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Desktop in D\My Work\Investors Relations\Earning Release\ER 2025 Q4\"/>
    </mc:Choice>
  </mc:AlternateContent>
  <xr:revisionPtr revIDLastSave="0" documentId="8_{361A880D-9CCA-4DF4-BF2B-408B203F51FA}" xr6:coauthVersionLast="47" xr6:coauthVersionMax="47" xr10:uidLastSave="{00000000-0000-0000-0000-000000000000}"/>
  <bookViews>
    <workbookView xWindow="-110" yWindow="-110" windowWidth="19420" windowHeight="10300" tabRatio="923" firstSheet="4" activeTab="4" xr2:uid="{00000000-000D-0000-FFFF-FFFF00000000}"/>
  </bookViews>
  <sheets>
    <sheet name="Securitization Profit   loss &amp; " sheetId="6" state="hidden" r:id="rId1"/>
    <sheet name="Segment" sheetId="5" state="hidden" r:id="rId2"/>
    <sheet name="Securitization P&amp;L IFRS17" sheetId="27" state="hidden" r:id="rId3"/>
    <sheet name="Segment IFRS17" sheetId="26" state="hidden" r:id="rId4"/>
    <sheet name="Quarterly I.S IFRS17" sheetId="24" r:id="rId5"/>
    <sheet name="Semi Ann. I.S IFRS17" sheetId="31" r:id="rId6"/>
    <sheet name="9 Mths I.S IFRS17" sheetId="33" r:id="rId7"/>
    <sheet name="FY I.S IFRS17" sheetId="37" r:id="rId8"/>
    <sheet name="Quarterly I.S" sheetId="14" r:id="rId9"/>
    <sheet name="Semi Ann. I.S" sheetId="19" r:id="rId10"/>
    <sheet name="9 Mths I.S" sheetId="21" r:id="rId11"/>
    <sheet name="FY I.S" sheetId="8" r:id="rId12"/>
  </sheets>
  <externalReferences>
    <externalReference r:id="rId13"/>
  </externalReferences>
  <definedNames>
    <definedName name="_xlnm._FilterDatabase" localSheetId="8" hidden="1">'Quarterly I.S'!$C$3:$W$193</definedName>
    <definedName name="_xlnm._FilterDatabase" localSheetId="5" hidden="1">'Semi Ann. I.S IFRS17'!$C$2:$I$185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76" i="37" l="1"/>
  <c r="Z175" i="37"/>
  <c r="Z171" i="37"/>
  <c r="Z170" i="37"/>
  <c r="Z168" i="37"/>
  <c r="Z167" i="37"/>
  <c r="Z166" i="37"/>
  <c r="Z161" i="37"/>
  <c r="Z160" i="37"/>
  <c r="Z159" i="37"/>
  <c r="Z155" i="37"/>
  <c r="Z153" i="37"/>
  <c r="Z152" i="37"/>
  <c r="Z151" i="37"/>
  <c r="Z150" i="37"/>
  <c r="Z149" i="37"/>
  <c r="Z146" i="37"/>
  <c r="Z141" i="37"/>
  <c r="Z139" i="37"/>
  <c r="Z136" i="37"/>
  <c r="Z134" i="37"/>
  <c r="Z133" i="37"/>
  <c r="Z132" i="37"/>
  <c r="Z131" i="37"/>
  <c r="Z130" i="37"/>
  <c r="Z129" i="37"/>
  <c r="Z128" i="37"/>
  <c r="Z123" i="37"/>
  <c r="Z121" i="37"/>
  <c r="Z120" i="37"/>
  <c r="Z119" i="37"/>
  <c r="Z118" i="37"/>
  <c r="Z115" i="37"/>
  <c r="Z103" i="37"/>
  <c r="Z102" i="37"/>
  <c r="Z101" i="37"/>
  <c r="Z100" i="37"/>
  <c r="M176" i="37"/>
  <c r="M175" i="37"/>
  <c r="M171" i="37"/>
  <c r="M170" i="37"/>
  <c r="M168" i="37"/>
  <c r="M167" i="37"/>
  <c r="M166" i="37"/>
  <c r="M161" i="37"/>
  <c r="M160" i="37"/>
  <c r="M159" i="37"/>
  <c r="M155" i="37"/>
  <c r="M153" i="37"/>
  <c r="M152" i="37"/>
  <c r="M151" i="37"/>
  <c r="M150" i="37"/>
  <c r="M149" i="37"/>
  <c r="M146" i="37"/>
  <c r="M141" i="37"/>
  <c r="M139" i="37"/>
  <c r="M136" i="37"/>
  <c r="M134" i="37"/>
  <c r="M133" i="37"/>
  <c r="M132" i="37"/>
  <c r="M131" i="37"/>
  <c r="M130" i="37"/>
  <c r="M129" i="37"/>
  <c r="M128" i="37"/>
  <c r="M123" i="37"/>
  <c r="M121" i="37"/>
  <c r="M120" i="37"/>
  <c r="M119" i="37"/>
  <c r="M118" i="37"/>
  <c r="M115" i="37"/>
  <c r="M103" i="37"/>
  <c r="M102" i="37"/>
  <c r="M101" i="37"/>
  <c r="M100" i="37"/>
  <c r="BD176" i="24"/>
  <c r="BD175" i="24"/>
  <c r="BD171" i="24"/>
  <c r="BD170" i="24"/>
  <c r="BD168" i="24"/>
  <c r="BD167" i="24"/>
  <c r="BD166" i="24"/>
  <c r="BD161" i="24"/>
  <c r="BD160" i="24"/>
  <c r="BD159" i="24"/>
  <c r="BD155" i="24"/>
  <c r="BD153" i="24"/>
  <c r="BD152" i="24"/>
  <c r="BD151" i="24"/>
  <c r="BD150" i="24"/>
  <c r="BD149" i="24"/>
  <c r="BD146" i="24"/>
  <c r="BD141" i="24"/>
  <c r="BD139" i="24"/>
  <c r="BD136" i="24"/>
  <c r="BD134" i="24"/>
  <c r="BD133" i="24"/>
  <c r="BD132" i="24"/>
  <c r="BD131" i="24"/>
  <c r="BD130" i="24"/>
  <c r="BD129" i="24"/>
  <c r="BD128" i="24"/>
  <c r="BD123" i="24"/>
  <c r="BD121" i="24"/>
  <c r="BD120" i="24"/>
  <c r="BD119" i="24"/>
  <c r="BD118" i="24"/>
  <c r="BD115" i="24"/>
  <c r="BD103" i="24"/>
  <c r="BD102" i="24"/>
  <c r="BD101" i="24"/>
  <c r="BD100" i="24"/>
  <c r="Y176" i="24"/>
  <c r="Y175" i="24"/>
  <c r="Y171" i="24"/>
  <c r="Y170" i="24"/>
  <c r="Y168" i="24"/>
  <c r="Y167" i="24"/>
  <c r="Y166" i="24"/>
  <c r="Y161" i="24"/>
  <c r="Y160" i="24"/>
  <c r="Y159" i="24"/>
  <c r="Y155" i="24"/>
  <c r="Y153" i="24"/>
  <c r="Y152" i="24"/>
  <c r="Y151" i="24"/>
  <c r="Y150" i="24"/>
  <c r="Y149" i="24"/>
  <c r="Y141" i="24"/>
  <c r="Y139" i="24"/>
  <c r="Y136" i="24"/>
  <c r="Y134" i="24"/>
  <c r="Y133" i="24"/>
  <c r="Y132" i="24"/>
  <c r="Y131" i="24"/>
  <c r="Y130" i="24"/>
  <c r="Y129" i="24"/>
  <c r="Y128" i="24"/>
  <c r="Y123" i="24"/>
  <c r="Y121" i="24"/>
  <c r="Y120" i="24"/>
  <c r="Y119" i="24"/>
  <c r="Y118" i="24"/>
  <c r="Y115" i="24"/>
  <c r="Y103" i="24"/>
  <c r="Y102" i="24"/>
  <c r="Y101" i="24"/>
  <c r="Y100" i="24"/>
  <c r="AD184" i="37"/>
  <c r="AC184" i="37"/>
  <c r="AB184" i="37"/>
  <c r="AB183" i="37"/>
  <c r="AB185" i="37" s="1"/>
  <c r="AD180" i="37"/>
  <c r="AB180" i="37"/>
  <c r="AB181" i="37" s="1"/>
  <c r="AB179" i="37"/>
  <c r="AD176" i="37"/>
  <c r="AC176" i="37"/>
  <c r="AB176" i="37"/>
  <c r="AD175" i="37"/>
  <c r="AC175" i="37"/>
  <c r="AB175" i="37"/>
  <c r="AD171" i="37"/>
  <c r="AC171" i="37"/>
  <c r="AB171" i="37"/>
  <c r="AD170" i="37"/>
  <c r="AC170" i="37"/>
  <c r="AB170" i="37"/>
  <c r="AD168" i="37"/>
  <c r="AC168" i="37"/>
  <c r="AB168" i="37"/>
  <c r="AD167" i="37"/>
  <c r="AD166" i="37" s="1"/>
  <c r="AC167" i="37"/>
  <c r="AB167" i="37"/>
  <c r="AC166" i="37"/>
  <c r="AB166" i="37"/>
  <c r="AD161" i="37"/>
  <c r="AC161" i="37"/>
  <c r="AB161" i="37"/>
  <c r="AD160" i="37"/>
  <c r="AC160" i="37"/>
  <c r="AB160" i="37"/>
  <c r="AB159" i="37" s="1"/>
  <c r="AD159" i="37"/>
  <c r="AC159" i="37"/>
  <c r="AD153" i="37"/>
  <c r="AC153" i="37"/>
  <c r="AB153" i="37"/>
  <c r="AD152" i="37"/>
  <c r="AC152" i="37"/>
  <c r="AB152" i="37"/>
  <c r="AD151" i="37"/>
  <c r="AC151" i="37"/>
  <c r="AB151" i="37"/>
  <c r="AD150" i="37"/>
  <c r="AD149" i="37" s="1"/>
  <c r="AD155" i="37" s="1"/>
  <c r="AC150" i="37"/>
  <c r="AB150" i="37"/>
  <c r="AB149" i="37" s="1"/>
  <c r="AC149" i="37"/>
  <c r="AD147" i="37"/>
  <c r="AC147" i="37"/>
  <c r="AB147" i="37"/>
  <c r="AD146" i="37"/>
  <c r="AC146" i="37"/>
  <c r="AC155" i="37" s="1"/>
  <c r="AB146" i="37"/>
  <c r="AB155" i="37" s="1"/>
  <c r="AD143" i="37"/>
  <c r="AC143" i="37"/>
  <c r="AB143" i="37"/>
  <c r="AD142" i="37"/>
  <c r="AC142" i="37"/>
  <c r="AB142" i="37"/>
  <c r="AD141" i="37"/>
  <c r="AC141" i="37"/>
  <c r="AB141" i="37"/>
  <c r="AD137" i="37"/>
  <c r="AC137" i="37"/>
  <c r="AB137" i="37"/>
  <c r="AB136" i="37" s="1"/>
  <c r="AD136" i="37"/>
  <c r="AC136" i="37"/>
  <c r="AD134" i="37"/>
  <c r="AC134" i="37"/>
  <c r="AB134" i="37"/>
  <c r="AD133" i="37"/>
  <c r="AC133" i="37"/>
  <c r="AC128" i="37" s="1"/>
  <c r="AC139" i="37" s="1"/>
  <c r="AB133" i="37"/>
  <c r="AD132" i="37"/>
  <c r="AC132" i="37"/>
  <c r="AB132" i="37"/>
  <c r="AD131" i="37"/>
  <c r="AC131" i="37"/>
  <c r="AB131" i="37"/>
  <c r="AD130" i="37"/>
  <c r="AC130" i="37"/>
  <c r="AB130" i="37"/>
  <c r="AD129" i="37"/>
  <c r="AD128" i="37" s="1"/>
  <c r="AD139" i="37" s="1"/>
  <c r="AC129" i="37"/>
  <c r="AB129" i="37"/>
  <c r="AB128" i="37"/>
  <c r="AD121" i="37"/>
  <c r="AC121" i="37"/>
  <c r="AB121" i="37"/>
  <c r="AD120" i="37"/>
  <c r="AC120" i="37"/>
  <c r="AC118" i="37" s="1"/>
  <c r="AB120" i="37"/>
  <c r="AD119" i="37"/>
  <c r="AC119" i="37"/>
  <c r="AB119" i="37"/>
  <c r="AD118" i="37"/>
  <c r="AB118" i="37"/>
  <c r="AB123" i="37" s="1"/>
  <c r="AD116" i="37"/>
  <c r="AD115" i="37" s="1"/>
  <c r="AC116" i="37"/>
  <c r="AC115" i="37" s="1"/>
  <c r="AB116" i="37"/>
  <c r="AB115" i="37"/>
  <c r="AD110" i="37"/>
  <c r="AC110" i="37"/>
  <c r="AB110" i="37"/>
  <c r="AD109" i="37"/>
  <c r="AC109" i="37"/>
  <c r="AB109" i="37"/>
  <c r="AD108" i="37"/>
  <c r="AC108" i="37"/>
  <c r="AB108" i="37"/>
  <c r="AD107" i="37"/>
  <c r="AC107" i="37"/>
  <c r="AB107" i="37"/>
  <c r="AD106" i="37"/>
  <c r="AC106" i="37"/>
  <c r="AB106" i="37"/>
  <c r="AD105" i="37"/>
  <c r="AC105" i="37"/>
  <c r="AB105" i="37"/>
  <c r="AD103" i="37"/>
  <c r="AC103" i="37"/>
  <c r="AB103" i="37"/>
  <c r="AD102" i="37"/>
  <c r="AC102" i="37"/>
  <c r="AB102" i="37"/>
  <c r="AD101" i="37"/>
  <c r="AC101" i="37"/>
  <c r="AB101" i="37"/>
  <c r="AD100" i="37"/>
  <c r="AC100" i="37"/>
  <c r="AB100" i="37"/>
  <c r="Y184" i="37"/>
  <c r="X184" i="37"/>
  <c r="W184" i="37"/>
  <c r="W183" i="37"/>
  <c r="W185" i="37" s="1"/>
  <c r="Y180" i="37"/>
  <c r="W180" i="37"/>
  <c r="W181" i="37" s="1"/>
  <c r="W179" i="37"/>
  <c r="Y176" i="37"/>
  <c r="X176" i="37"/>
  <c r="W176" i="37"/>
  <c r="Y175" i="37"/>
  <c r="X175" i="37"/>
  <c r="W175" i="37"/>
  <c r="Y171" i="37"/>
  <c r="X171" i="37"/>
  <c r="W171" i="37"/>
  <c r="Y170" i="37"/>
  <c r="X170" i="37"/>
  <c r="W170" i="37"/>
  <c r="Y168" i="37"/>
  <c r="Y166" i="37" s="1"/>
  <c r="X168" i="37"/>
  <c r="W168" i="37"/>
  <c r="Y167" i="37"/>
  <c r="X167" i="37"/>
  <c r="W167" i="37"/>
  <c r="X166" i="37"/>
  <c r="W166" i="37"/>
  <c r="Y161" i="37"/>
  <c r="X161" i="37"/>
  <c r="W161" i="37"/>
  <c r="Y160" i="37"/>
  <c r="X160" i="37"/>
  <c r="W160" i="37"/>
  <c r="W159" i="37" s="1"/>
  <c r="Y159" i="37"/>
  <c r="X159" i="37"/>
  <c r="Y153" i="37"/>
  <c r="X153" i="37"/>
  <c r="X149" i="37" s="1"/>
  <c r="W153" i="37"/>
  <c r="Y152" i="37"/>
  <c r="X152" i="37"/>
  <c r="W152" i="37"/>
  <c r="Y151" i="37"/>
  <c r="X151" i="37"/>
  <c r="W151" i="37"/>
  <c r="Y150" i="37"/>
  <c r="Y149" i="37" s="1"/>
  <c r="Y155" i="37" s="1"/>
  <c r="X150" i="37"/>
  <c r="W150" i="37"/>
  <c r="W149" i="37" s="1"/>
  <c r="Y147" i="37"/>
  <c r="X147" i="37"/>
  <c r="W147" i="37"/>
  <c r="W146" i="37" s="1"/>
  <c r="W155" i="37" s="1"/>
  <c r="Y146" i="37"/>
  <c r="X146" i="37"/>
  <c r="X155" i="37" s="1"/>
  <c r="Y143" i="37"/>
  <c r="X143" i="37"/>
  <c r="W143" i="37"/>
  <c r="Y142" i="37"/>
  <c r="X142" i="37"/>
  <c r="W142" i="37"/>
  <c r="Y141" i="37"/>
  <c r="X141" i="37"/>
  <c r="W141" i="37"/>
  <c r="Y137" i="37"/>
  <c r="Y136" i="37" s="1"/>
  <c r="X137" i="37"/>
  <c r="W137" i="37"/>
  <c r="W136" i="37" s="1"/>
  <c r="X136" i="37"/>
  <c r="Y134" i="37"/>
  <c r="X134" i="37"/>
  <c r="W134" i="37"/>
  <c r="Y133" i="37"/>
  <c r="X133" i="37"/>
  <c r="W133" i="37"/>
  <c r="Y132" i="37"/>
  <c r="X132" i="37"/>
  <c r="W132" i="37"/>
  <c r="Y131" i="37"/>
  <c r="X131" i="37"/>
  <c r="X128" i="37" s="1"/>
  <c r="X139" i="37" s="1"/>
  <c r="W131" i="37"/>
  <c r="Y130" i="37"/>
  <c r="Y128" i="37" s="1"/>
  <c r="Y139" i="37" s="1"/>
  <c r="X130" i="37"/>
  <c r="W130" i="37"/>
  <c r="Y129" i="37"/>
  <c r="X129" i="37"/>
  <c r="W129" i="37"/>
  <c r="W128" i="37"/>
  <c r="Y121" i="37"/>
  <c r="X121" i="37"/>
  <c r="W121" i="37"/>
  <c r="W118" i="37" s="1"/>
  <c r="W123" i="37" s="1"/>
  <c r="Y120" i="37"/>
  <c r="X120" i="37"/>
  <c r="X118" i="37" s="1"/>
  <c r="W120" i="37"/>
  <c r="Y119" i="37"/>
  <c r="Y118" i="37" s="1"/>
  <c r="Y123" i="37" s="1"/>
  <c r="X119" i="37"/>
  <c r="W119" i="37"/>
  <c r="Y116" i="37"/>
  <c r="Y115" i="37" s="1"/>
  <c r="X116" i="37"/>
  <c r="X115" i="37" s="1"/>
  <c r="W116" i="37"/>
  <c r="W115" i="37" s="1"/>
  <c r="W110" i="37"/>
  <c r="W109" i="37"/>
  <c r="Y108" i="37"/>
  <c r="X108" i="37"/>
  <c r="W108" i="37"/>
  <c r="Y107" i="37"/>
  <c r="X107" i="37"/>
  <c r="W107" i="37"/>
  <c r="Y106" i="37"/>
  <c r="X106" i="37"/>
  <c r="W106" i="37"/>
  <c r="Y105" i="37"/>
  <c r="X105" i="37"/>
  <c r="W105" i="37"/>
  <c r="Y103" i="37"/>
  <c r="X103" i="37"/>
  <c r="W103" i="37"/>
  <c r="Y102" i="37"/>
  <c r="X102" i="37"/>
  <c r="W102" i="37"/>
  <c r="Y101" i="37"/>
  <c r="X101" i="37"/>
  <c r="W101" i="37"/>
  <c r="Y100" i="37"/>
  <c r="X100" i="37"/>
  <c r="W100" i="37"/>
  <c r="U184" i="37"/>
  <c r="T184" i="37"/>
  <c r="S184" i="37"/>
  <c r="S185" i="37" s="1"/>
  <c r="S183" i="37"/>
  <c r="U180" i="37"/>
  <c r="S180" i="37"/>
  <c r="S179" i="37"/>
  <c r="S181" i="37" s="1"/>
  <c r="U176" i="37"/>
  <c r="T176" i="37"/>
  <c r="S176" i="37"/>
  <c r="U175" i="37"/>
  <c r="T175" i="37"/>
  <c r="S175" i="37"/>
  <c r="U171" i="37"/>
  <c r="T171" i="37"/>
  <c r="S171" i="37"/>
  <c r="U170" i="37"/>
  <c r="T170" i="37"/>
  <c r="S170" i="37"/>
  <c r="U168" i="37"/>
  <c r="T168" i="37"/>
  <c r="S168" i="37"/>
  <c r="U167" i="37"/>
  <c r="U166" i="37" s="1"/>
  <c r="T167" i="37"/>
  <c r="S167" i="37"/>
  <c r="T166" i="37"/>
  <c r="S166" i="37"/>
  <c r="U161" i="37"/>
  <c r="T161" i="37"/>
  <c r="S161" i="37"/>
  <c r="U160" i="37"/>
  <c r="T160" i="37"/>
  <c r="S160" i="37"/>
  <c r="S159" i="37" s="1"/>
  <c r="U159" i="37"/>
  <c r="T159" i="37"/>
  <c r="U153" i="37"/>
  <c r="T153" i="37"/>
  <c r="S153" i="37"/>
  <c r="U152" i="37"/>
  <c r="T152" i="37"/>
  <c r="S152" i="37"/>
  <c r="U151" i="37"/>
  <c r="T151" i="37"/>
  <c r="S151" i="37"/>
  <c r="U150" i="37"/>
  <c r="U149" i="37" s="1"/>
  <c r="T150" i="37"/>
  <c r="T149" i="37" s="1"/>
  <c r="S150" i="37"/>
  <c r="S149" i="37" s="1"/>
  <c r="U147" i="37"/>
  <c r="T147" i="37"/>
  <c r="S147" i="37"/>
  <c r="S146" i="37" s="1"/>
  <c r="U146" i="37"/>
  <c r="T146" i="37"/>
  <c r="U143" i="37"/>
  <c r="T143" i="37"/>
  <c r="S143" i="37"/>
  <c r="U142" i="37"/>
  <c r="T142" i="37"/>
  <c r="S142" i="37"/>
  <c r="U141" i="37"/>
  <c r="T141" i="37"/>
  <c r="S141" i="37"/>
  <c r="U137" i="37"/>
  <c r="U136" i="37" s="1"/>
  <c r="T137" i="37"/>
  <c r="T136" i="37" s="1"/>
  <c r="S137" i="37"/>
  <c r="S136" i="37" s="1"/>
  <c r="U134" i="37"/>
  <c r="T134" i="37"/>
  <c r="S134" i="37"/>
  <c r="U133" i="37"/>
  <c r="T133" i="37"/>
  <c r="S133" i="37"/>
  <c r="U132" i="37"/>
  <c r="T132" i="37"/>
  <c r="S132" i="37"/>
  <c r="U131" i="37"/>
  <c r="T131" i="37"/>
  <c r="T128" i="37" s="1"/>
  <c r="S131" i="37"/>
  <c r="U130" i="37"/>
  <c r="T130" i="37"/>
  <c r="S130" i="37"/>
  <c r="U129" i="37"/>
  <c r="U128" i="37" s="1"/>
  <c r="T129" i="37"/>
  <c r="S129" i="37"/>
  <c r="S128" i="37"/>
  <c r="U121" i="37"/>
  <c r="T121" i="37"/>
  <c r="S121" i="37"/>
  <c r="S118" i="37" s="1"/>
  <c r="S123" i="37" s="1"/>
  <c r="U120" i="37"/>
  <c r="U118" i="37" s="1"/>
  <c r="U123" i="37" s="1"/>
  <c r="T120" i="37"/>
  <c r="S120" i="37"/>
  <c r="U119" i="37"/>
  <c r="T119" i="37"/>
  <c r="T118" i="37" s="1"/>
  <c r="T123" i="37" s="1"/>
  <c r="S119" i="37"/>
  <c r="U116" i="37"/>
  <c r="U115" i="37" s="1"/>
  <c r="T116" i="37"/>
  <c r="S116" i="37"/>
  <c r="T115" i="37"/>
  <c r="S115" i="37"/>
  <c r="S110" i="37"/>
  <c r="S109" i="37"/>
  <c r="U108" i="37"/>
  <c r="T108" i="37"/>
  <c r="S108" i="37"/>
  <c r="U107" i="37"/>
  <c r="T107" i="37"/>
  <c r="S107" i="37"/>
  <c r="U106" i="37"/>
  <c r="T106" i="37"/>
  <c r="S106" i="37"/>
  <c r="U105" i="37"/>
  <c r="T105" i="37"/>
  <c r="S105" i="37"/>
  <c r="U103" i="37"/>
  <c r="T103" i="37"/>
  <c r="S103" i="37"/>
  <c r="U102" i="37"/>
  <c r="T102" i="37"/>
  <c r="S102" i="37"/>
  <c r="U101" i="37"/>
  <c r="T101" i="37"/>
  <c r="S101" i="37"/>
  <c r="U100" i="37"/>
  <c r="T100" i="37"/>
  <c r="S100" i="37"/>
  <c r="Q184" i="37"/>
  <c r="P184" i="37"/>
  <c r="O184" i="37"/>
  <c r="O183" i="37"/>
  <c r="O185" i="37" s="1"/>
  <c r="Q180" i="37"/>
  <c r="O180" i="37"/>
  <c r="O181" i="37" s="1"/>
  <c r="O179" i="37"/>
  <c r="Q176" i="37"/>
  <c r="P176" i="37"/>
  <c r="O176" i="37"/>
  <c r="Q175" i="37"/>
  <c r="P175" i="37"/>
  <c r="O175" i="37"/>
  <c r="Q171" i="37"/>
  <c r="P171" i="37"/>
  <c r="O171" i="37"/>
  <c r="Q170" i="37"/>
  <c r="P170" i="37"/>
  <c r="O170" i="37"/>
  <c r="Q168" i="37"/>
  <c r="Q166" i="37" s="1"/>
  <c r="P168" i="37"/>
  <c r="P166" i="37" s="1"/>
  <c r="O168" i="37"/>
  <c r="Q167" i="37"/>
  <c r="P167" i="37"/>
  <c r="O167" i="37"/>
  <c r="O166" i="37"/>
  <c r="Q161" i="37"/>
  <c r="Q159" i="37" s="1"/>
  <c r="P161" i="37"/>
  <c r="O161" i="37"/>
  <c r="Q160" i="37"/>
  <c r="P160" i="37"/>
  <c r="O160" i="37"/>
  <c r="P159" i="37"/>
  <c r="O159" i="37"/>
  <c r="Q153" i="37"/>
  <c r="P153" i="37"/>
  <c r="O153" i="37"/>
  <c r="Q152" i="37"/>
  <c r="P152" i="37"/>
  <c r="O152" i="37"/>
  <c r="Q151" i="37"/>
  <c r="P151" i="37"/>
  <c r="O151" i="37"/>
  <c r="Q150" i="37"/>
  <c r="P150" i="37"/>
  <c r="P149" i="37" s="1"/>
  <c r="O150" i="37"/>
  <c r="O149" i="37" s="1"/>
  <c r="Q149" i="37"/>
  <c r="Q147" i="37"/>
  <c r="P147" i="37"/>
  <c r="O147" i="37"/>
  <c r="Q146" i="37"/>
  <c r="Q155" i="37" s="1"/>
  <c r="P146" i="37"/>
  <c r="P155" i="37" s="1"/>
  <c r="O146" i="37"/>
  <c r="O155" i="37" s="1"/>
  <c r="Q143" i="37"/>
  <c r="P143" i="37"/>
  <c r="O143" i="37"/>
  <c r="Q142" i="37"/>
  <c r="P142" i="37"/>
  <c r="O142" i="37"/>
  <c r="Q141" i="37"/>
  <c r="P141" i="37"/>
  <c r="O141" i="37"/>
  <c r="Q137" i="37"/>
  <c r="P137" i="37"/>
  <c r="P136" i="37" s="1"/>
  <c r="O137" i="37"/>
  <c r="O136" i="37" s="1"/>
  <c r="Q136" i="37"/>
  <c r="Q134" i="37"/>
  <c r="P134" i="37"/>
  <c r="O134" i="37"/>
  <c r="Q133" i="37"/>
  <c r="P133" i="37"/>
  <c r="O133" i="37"/>
  <c r="O128" i="37" s="1"/>
  <c r="O139" i="37" s="1"/>
  <c r="Q132" i="37"/>
  <c r="P132" i="37"/>
  <c r="O132" i="37"/>
  <c r="Q131" i="37"/>
  <c r="P131" i="37"/>
  <c r="O131" i="37"/>
  <c r="Q130" i="37"/>
  <c r="P130" i="37"/>
  <c r="P128" i="37" s="1"/>
  <c r="P139" i="37" s="1"/>
  <c r="O130" i="37"/>
  <c r="Q129" i="37"/>
  <c r="Q128" i="37" s="1"/>
  <c r="Q139" i="37" s="1"/>
  <c r="P129" i="37"/>
  <c r="O129" i="37"/>
  <c r="Q121" i="37"/>
  <c r="P121" i="37"/>
  <c r="O121" i="37"/>
  <c r="Q120" i="37"/>
  <c r="P120" i="37"/>
  <c r="P118" i="37" s="1"/>
  <c r="O120" i="37"/>
  <c r="O118" i="37" s="1"/>
  <c r="O123" i="37" s="1"/>
  <c r="Q119" i="37"/>
  <c r="P119" i="37"/>
  <c r="O119" i="37"/>
  <c r="Q118" i="37"/>
  <c r="Q116" i="37"/>
  <c r="Q115" i="37" s="1"/>
  <c r="Q123" i="37" s="1"/>
  <c r="P116" i="37"/>
  <c r="P115" i="37" s="1"/>
  <c r="O116" i="37"/>
  <c r="O115" i="37"/>
  <c r="O110" i="37"/>
  <c r="O109" i="37"/>
  <c r="Q108" i="37"/>
  <c r="P108" i="37"/>
  <c r="O108" i="37"/>
  <c r="Q107" i="37"/>
  <c r="P107" i="37"/>
  <c r="O107" i="37"/>
  <c r="Q106" i="37"/>
  <c r="P106" i="37"/>
  <c r="O106" i="37"/>
  <c r="Q105" i="37"/>
  <c r="P105" i="37"/>
  <c r="O105" i="37"/>
  <c r="Q103" i="37"/>
  <c r="P103" i="37"/>
  <c r="O103" i="37"/>
  <c r="Q102" i="37"/>
  <c r="P102" i="37"/>
  <c r="O102" i="37"/>
  <c r="Q101" i="37"/>
  <c r="P101" i="37"/>
  <c r="O101" i="37"/>
  <c r="Q100" i="37"/>
  <c r="P100" i="37"/>
  <c r="O100" i="37"/>
  <c r="BN184" i="24"/>
  <c r="BM184" i="24"/>
  <c r="BL184" i="24"/>
  <c r="BK184" i="24"/>
  <c r="BJ184" i="24"/>
  <c r="BI184" i="24"/>
  <c r="BH184" i="24"/>
  <c r="BG184" i="24"/>
  <c r="BF184" i="24"/>
  <c r="BF185" i="24" s="1"/>
  <c r="BF183" i="24"/>
  <c r="BN180" i="24"/>
  <c r="BM180" i="24"/>
  <c r="BL180" i="24"/>
  <c r="BK180" i="24"/>
  <c r="BJ180" i="24"/>
  <c r="BI180" i="24"/>
  <c r="BH180" i="24"/>
  <c r="BG180" i="24"/>
  <c r="BF180" i="24"/>
  <c r="BF179" i="24"/>
  <c r="BF181" i="24" s="1"/>
  <c r="BN176" i="24"/>
  <c r="BM176" i="24"/>
  <c r="BL176" i="24"/>
  <c r="BK176" i="24"/>
  <c r="BJ176" i="24"/>
  <c r="BI176" i="24"/>
  <c r="BH176" i="24"/>
  <c r="BG176" i="24"/>
  <c r="BF176" i="24"/>
  <c r="BN175" i="24"/>
  <c r="BM175" i="24"/>
  <c r="BL175" i="24"/>
  <c r="BK175" i="24"/>
  <c r="BJ175" i="24"/>
  <c r="BI175" i="24"/>
  <c r="BH175" i="24"/>
  <c r="BG175" i="24"/>
  <c r="BF175" i="24"/>
  <c r="BN171" i="24"/>
  <c r="BM171" i="24"/>
  <c r="BL171" i="24"/>
  <c r="BK171" i="24"/>
  <c r="BJ171" i="24"/>
  <c r="BI171" i="24"/>
  <c r="BH171" i="24"/>
  <c r="BG171" i="24"/>
  <c r="BF171" i="24"/>
  <c r="BN170" i="24"/>
  <c r="BM170" i="24"/>
  <c r="BL170" i="24"/>
  <c r="BK170" i="24"/>
  <c r="BJ170" i="24"/>
  <c r="BI170" i="24"/>
  <c r="BH170" i="24"/>
  <c r="BG170" i="24"/>
  <c r="BF170" i="24"/>
  <c r="BN168" i="24"/>
  <c r="BM168" i="24"/>
  <c r="BL168" i="24"/>
  <c r="BK168" i="24"/>
  <c r="BJ168" i="24"/>
  <c r="BJ166" i="24" s="1"/>
  <c r="BI168" i="24"/>
  <c r="BH168" i="24"/>
  <c r="BG168" i="24"/>
  <c r="BG166" i="24" s="1"/>
  <c r="BF168" i="24"/>
  <c r="BN167" i="24"/>
  <c r="BM167" i="24"/>
  <c r="BL167" i="24"/>
  <c r="BK167" i="24"/>
  <c r="BK166" i="24" s="1"/>
  <c r="BJ167" i="24"/>
  <c r="BI167" i="24"/>
  <c r="BH167" i="24"/>
  <c r="BH166" i="24" s="1"/>
  <c r="BG167" i="24"/>
  <c r="BF167" i="24"/>
  <c r="BN166" i="24"/>
  <c r="BM166" i="24"/>
  <c r="BL166" i="24"/>
  <c r="BI166" i="24"/>
  <c r="BF166" i="24"/>
  <c r="BN161" i="24"/>
  <c r="BM161" i="24"/>
  <c r="BM159" i="24" s="1"/>
  <c r="BL161" i="24"/>
  <c r="BK161" i="24"/>
  <c r="BJ161" i="24"/>
  <c r="BJ159" i="24" s="1"/>
  <c r="BI161" i="24"/>
  <c r="BH161" i="24"/>
  <c r="BG161" i="24"/>
  <c r="BF161" i="24"/>
  <c r="BN160" i="24"/>
  <c r="BN159" i="24" s="1"/>
  <c r="BM160" i="24"/>
  <c r="BL160" i="24"/>
  <c r="BK160" i="24"/>
  <c r="BK159" i="24" s="1"/>
  <c r="BJ160" i="24"/>
  <c r="BI160" i="24"/>
  <c r="BH160" i="24"/>
  <c r="BG160" i="24"/>
  <c r="BF160" i="24"/>
  <c r="BF159" i="24" s="1"/>
  <c r="BL159" i="24"/>
  <c r="BI159" i="24"/>
  <c r="BH159" i="24"/>
  <c r="BG159" i="24"/>
  <c r="BN153" i="24"/>
  <c r="BN149" i="24" s="1"/>
  <c r="BM153" i="24"/>
  <c r="BL153" i="24"/>
  <c r="BK153" i="24"/>
  <c r="BJ153" i="24"/>
  <c r="BI153" i="24"/>
  <c r="BH153" i="24"/>
  <c r="BG153" i="24"/>
  <c r="BF153" i="24"/>
  <c r="BF149" i="24" s="1"/>
  <c r="BN152" i="24"/>
  <c r="BM152" i="24"/>
  <c r="BL152" i="24"/>
  <c r="BK152" i="24"/>
  <c r="BJ152" i="24"/>
  <c r="BI152" i="24"/>
  <c r="BH152" i="24"/>
  <c r="BG152" i="24"/>
  <c r="BG149" i="24" s="1"/>
  <c r="BF152" i="24"/>
  <c r="BN151" i="24"/>
  <c r="BM151" i="24"/>
  <c r="BL151" i="24"/>
  <c r="BK151" i="24"/>
  <c r="BK149" i="24" s="1"/>
  <c r="BJ151" i="24"/>
  <c r="BI151" i="24"/>
  <c r="BH151" i="24"/>
  <c r="BH149" i="24" s="1"/>
  <c r="BH155" i="24" s="1"/>
  <c r="BG151" i="24"/>
  <c r="BF151" i="24"/>
  <c r="BN150" i="24"/>
  <c r="BM150" i="24"/>
  <c r="BL150" i="24"/>
  <c r="BL149" i="24" s="1"/>
  <c r="BK150" i="24"/>
  <c r="BJ150" i="24"/>
  <c r="BJ149" i="24" s="1"/>
  <c r="BI150" i="24"/>
  <c r="BI149" i="24" s="1"/>
  <c r="BH150" i="24"/>
  <c r="BG150" i="24"/>
  <c r="BF150" i="24"/>
  <c r="BM149" i="24"/>
  <c r="BN147" i="24"/>
  <c r="BN146" i="24" s="1"/>
  <c r="BN155" i="24" s="1"/>
  <c r="BM147" i="24"/>
  <c r="BL147" i="24"/>
  <c r="BK147" i="24"/>
  <c r="BK146" i="24" s="1"/>
  <c r="BJ147" i="24"/>
  <c r="BI147" i="24"/>
  <c r="BH147" i="24"/>
  <c r="BG147" i="24"/>
  <c r="BF147" i="24"/>
  <c r="BF146" i="24" s="1"/>
  <c r="BF155" i="24" s="1"/>
  <c r="BM146" i="24"/>
  <c r="BM155" i="24" s="1"/>
  <c r="BL146" i="24"/>
  <c r="BJ146" i="24"/>
  <c r="BJ155" i="24" s="1"/>
  <c r="BI146" i="24"/>
  <c r="BI155" i="24" s="1"/>
  <c r="BH146" i="24"/>
  <c r="BG146" i="24"/>
  <c r="BG155" i="24" s="1"/>
  <c r="BN143" i="24"/>
  <c r="BM143" i="24"/>
  <c r="BM141" i="24" s="1"/>
  <c r="BL143" i="24"/>
  <c r="BK143" i="24"/>
  <c r="BJ143" i="24"/>
  <c r="BI143" i="24"/>
  <c r="BH143" i="24"/>
  <c r="BH141" i="24" s="1"/>
  <c r="BG143" i="24"/>
  <c r="BF143" i="24"/>
  <c r="BN142" i="24"/>
  <c r="BN141" i="24" s="1"/>
  <c r="BM142" i="24"/>
  <c r="BL142" i="24"/>
  <c r="BK142" i="24"/>
  <c r="BJ142" i="24"/>
  <c r="BI142" i="24"/>
  <c r="BI141" i="24" s="1"/>
  <c r="BH142" i="24"/>
  <c r="BG142" i="24"/>
  <c r="BF142" i="24"/>
  <c r="BF141" i="24" s="1"/>
  <c r="BL141" i="24"/>
  <c r="BK141" i="24"/>
  <c r="BJ141" i="24"/>
  <c r="BG141" i="24"/>
  <c r="BN137" i="24"/>
  <c r="BM137" i="24"/>
  <c r="BL137" i="24"/>
  <c r="BL136" i="24" s="1"/>
  <c r="BK137" i="24"/>
  <c r="BJ137" i="24"/>
  <c r="BI137" i="24"/>
  <c r="BI136" i="24" s="1"/>
  <c r="BH137" i="24"/>
  <c r="BG137" i="24"/>
  <c r="BF137" i="24"/>
  <c r="BN136" i="24"/>
  <c r="BM136" i="24"/>
  <c r="BK136" i="24"/>
  <c r="BJ136" i="24"/>
  <c r="BH136" i="24"/>
  <c r="BG136" i="24"/>
  <c r="BF136" i="24"/>
  <c r="BN134" i="24"/>
  <c r="BM134" i="24"/>
  <c r="BL134" i="24"/>
  <c r="BK134" i="24"/>
  <c r="BJ134" i="24"/>
  <c r="BI134" i="24"/>
  <c r="BH134" i="24"/>
  <c r="BG134" i="24"/>
  <c r="BF134" i="24"/>
  <c r="BN133" i="24"/>
  <c r="BM133" i="24"/>
  <c r="BL133" i="24"/>
  <c r="BK133" i="24"/>
  <c r="BJ133" i="24"/>
  <c r="BI133" i="24"/>
  <c r="BH133" i="24"/>
  <c r="BG133" i="24"/>
  <c r="BF133" i="24"/>
  <c r="BN132" i="24"/>
  <c r="BM132" i="24"/>
  <c r="BM128" i="24" s="1"/>
  <c r="BM139" i="24" s="1"/>
  <c r="BL132" i="24"/>
  <c r="BK132" i="24"/>
  <c r="BJ132" i="24"/>
  <c r="BI132" i="24"/>
  <c r="BH132" i="24"/>
  <c r="BG132" i="24"/>
  <c r="BF132" i="24"/>
  <c r="BN131" i="24"/>
  <c r="BN128" i="24" s="1"/>
  <c r="BN139" i="24" s="1"/>
  <c r="BM131" i="24"/>
  <c r="BL131" i="24"/>
  <c r="BK131" i="24"/>
  <c r="BJ131" i="24"/>
  <c r="BI131" i="24"/>
  <c r="BI128" i="24" s="1"/>
  <c r="BI139" i="24" s="1"/>
  <c r="BH131" i="24"/>
  <c r="BG131" i="24"/>
  <c r="BF131" i="24"/>
  <c r="BF128" i="24" s="1"/>
  <c r="BF139" i="24" s="1"/>
  <c r="BN130" i="24"/>
  <c r="BM130" i="24"/>
  <c r="BL130" i="24"/>
  <c r="BK130" i="24"/>
  <c r="BJ130" i="24"/>
  <c r="BJ128" i="24" s="1"/>
  <c r="BJ139" i="24" s="1"/>
  <c r="BI130" i="24"/>
  <c r="BH130" i="24"/>
  <c r="BG130" i="24"/>
  <c r="BG128" i="24" s="1"/>
  <c r="BG139" i="24" s="1"/>
  <c r="BF130" i="24"/>
  <c r="BN129" i="24"/>
  <c r="BM129" i="24"/>
  <c r="BL129" i="24"/>
  <c r="BK129" i="24"/>
  <c r="BK128" i="24" s="1"/>
  <c r="BK139" i="24" s="1"/>
  <c r="BJ129" i="24"/>
  <c r="BI129" i="24"/>
  <c r="BH129" i="24"/>
  <c r="BH128" i="24" s="1"/>
  <c r="BH139" i="24" s="1"/>
  <c r="BG129" i="24"/>
  <c r="BF129" i="24"/>
  <c r="BL128" i="24"/>
  <c r="BN121" i="24"/>
  <c r="BN118" i="24" s="1"/>
  <c r="BN123" i="24" s="1"/>
  <c r="BM121" i="24"/>
  <c r="BL121" i="24"/>
  <c r="BK121" i="24"/>
  <c r="BK118" i="24" s="1"/>
  <c r="BK123" i="24" s="1"/>
  <c r="BJ121" i="24"/>
  <c r="BI121" i="24"/>
  <c r="BH121" i="24"/>
  <c r="BG121" i="24"/>
  <c r="BF121" i="24"/>
  <c r="BF118" i="24" s="1"/>
  <c r="BF123" i="24" s="1"/>
  <c r="BN120" i="24"/>
  <c r="BM120" i="24"/>
  <c r="BL120" i="24"/>
  <c r="BL118" i="24" s="1"/>
  <c r="BL123" i="24" s="1"/>
  <c r="BK120" i="24"/>
  <c r="BJ120" i="24"/>
  <c r="BI120" i="24"/>
  <c r="BH120" i="24"/>
  <c r="BG120" i="24"/>
  <c r="BG118" i="24" s="1"/>
  <c r="BF120" i="24"/>
  <c r="BN119" i="24"/>
  <c r="BM119" i="24"/>
  <c r="BM118" i="24" s="1"/>
  <c r="BM123" i="24" s="1"/>
  <c r="BL119" i="24"/>
  <c r="BK119" i="24"/>
  <c r="BJ119" i="24"/>
  <c r="BI119" i="24"/>
  <c r="BH119" i="24"/>
  <c r="BH118" i="24" s="1"/>
  <c r="BH123" i="24" s="1"/>
  <c r="BG119" i="24"/>
  <c r="BF119" i="24"/>
  <c r="BJ118" i="24"/>
  <c r="BI118" i="24"/>
  <c r="BI123" i="24" s="1"/>
  <c r="BN116" i="24"/>
  <c r="BM116" i="24"/>
  <c r="BL116" i="24"/>
  <c r="BK116" i="24"/>
  <c r="BJ116" i="24"/>
  <c r="BJ115" i="24" s="1"/>
  <c r="BJ123" i="24" s="1"/>
  <c r="BI116" i="24"/>
  <c r="BH116" i="24"/>
  <c r="BG116" i="24"/>
  <c r="BG115" i="24" s="1"/>
  <c r="BF116" i="24"/>
  <c r="BN115" i="24"/>
  <c r="BM115" i="24"/>
  <c r="BL115" i="24"/>
  <c r="BK115" i="24"/>
  <c r="BI115" i="24"/>
  <c r="BH115" i="24"/>
  <c r="BF115" i="24"/>
  <c r="BN110" i="24"/>
  <c r="BM110" i="24"/>
  <c r="BL110" i="24"/>
  <c r="BK110" i="24"/>
  <c r="BJ110" i="24"/>
  <c r="BI110" i="24"/>
  <c r="BH110" i="24"/>
  <c r="BG110" i="24"/>
  <c r="BF110" i="24"/>
  <c r="BN109" i="24"/>
  <c r="BM109" i="24"/>
  <c r="BL109" i="24"/>
  <c r="BK109" i="24"/>
  <c r="BJ109" i="24"/>
  <c r="BI109" i="24"/>
  <c r="BH109" i="24"/>
  <c r="BG109" i="24"/>
  <c r="BF109" i="24"/>
  <c r="BN108" i="24"/>
  <c r="BM108" i="24"/>
  <c r="BL108" i="24"/>
  <c r="BK108" i="24"/>
  <c r="BJ108" i="24"/>
  <c r="BI108" i="24"/>
  <c r="BH108" i="24"/>
  <c r="BG108" i="24"/>
  <c r="BF108" i="24"/>
  <c r="BN107" i="24"/>
  <c r="BM107" i="24"/>
  <c r="BL107" i="24"/>
  <c r="BK107" i="24"/>
  <c r="BJ107" i="24"/>
  <c r="BI107" i="24"/>
  <c r="BH107" i="24"/>
  <c r="BG107" i="24"/>
  <c r="BF107" i="24"/>
  <c r="BN106" i="24"/>
  <c r="BM106" i="24"/>
  <c r="BL106" i="24"/>
  <c r="BK106" i="24"/>
  <c r="BJ106" i="24"/>
  <c r="BI106" i="24"/>
  <c r="BH106" i="24"/>
  <c r="BG106" i="24"/>
  <c r="BF106" i="24"/>
  <c r="BN105" i="24"/>
  <c r="BM105" i="24"/>
  <c r="BL105" i="24"/>
  <c r="BK105" i="24"/>
  <c r="BJ105" i="24"/>
  <c r="BI105" i="24"/>
  <c r="BH105" i="24"/>
  <c r="BG105" i="24"/>
  <c r="BF105" i="24"/>
  <c r="BN103" i="24"/>
  <c r="BM103" i="24"/>
  <c r="BL103" i="24"/>
  <c r="BK103" i="24"/>
  <c r="BJ103" i="24"/>
  <c r="BI103" i="24"/>
  <c r="BH103" i="24"/>
  <c r="BG103" i="24"/>
  <c r="BF103" i="24"/>
  <c r="BN102" i="24"/>
  <c r="BM102" i="24"/>
  <c r="BL102" i="24"/>
  <c r="BK102" i="24"/>
  <c r="BJ102" i="24"/>
  <c r="BI102" i="24"/>
  <c r="BH102" i="24"/>
  <c r="BG102" i="24"/>
  <c r="BF102" i="24"/>
  <c r="BN101" i="24"/>
  <c r="BM101" i="24"/>
  <c r="BL101" i="24"/>
  <c r="BK101" i="24"/>
  <c r="BJ101" i="24"/>
  <c r="BI101" i="24"/>
  <c r="BH101" i="24"/>
  <c r="BG101" i="24"/>
  <c r="BF101" i="24"/>
  <c r="BN100" i="24"/>
  <c r="BM100" i="24"/>
  <c r="BL100" i="24"/>
  <c r="BK100" i="24"/>
  <c r="BJ100" i="24"/>
  <c r="BI100" i="24"/>
  <c r="BH100" i="24"/>
  <c r="BG100" i="24"/>
  <c r="BF100" i="24"/>
  <c r="AU185" i="24"/>
  <c r="BC184" i="24"/>
  <c r="BB184" i="24"/>
  <c r="BA184" i="24"/>
  <c r="AZ184" i="24"/>
  <c r="AY184" i="24"/>
  <c r="AX184" i="24"/>
  <c r="AW184" i="24"/>
  <c r="AV184" i="24"/>
  <c r="AU184" i="24"/>
  <c r="AU183" i="24"/>
  <c r="AU181" i="24"/>
  <c r="BC180" i="24"/>
  <c r="BB180" i="24"/>
  <c r="BA180" i="24"/>
  <c r="AZ180" i="24"/>
  <c r="AY180" i="24"/>
  <c r="AX180" i="24"/>
  <c r="AW180" i="24"/>
  <c r="AV180" i="24"/>
  <c r="AU180" i="24"/>
  <c r="AU179" i="24"/>
  <c r="BC176" i="24"/>
  <c r="BB176" i="24"/>
  <c r="BA176" i="24"/>
  <c r="AZ176" i="24"/>
  <c r="AY176" i="24"/>
  <c r="AX176" i="24"/>
  <c r="AW176" i="24"/>
  <c r="AV176" i="24"/>
  <c r="AU176" i="24"/>
  <c r="BC175" i="24"/>
  <c r="BB175" i="24"/>
  <c r="BA175" i="24"/>
  <c r="AZ175" i="24"/>
  <c r="AY175" i="24"/>
  <c r="AX175" i="24"/>
  <c r="AW175" i="24"/>
  <c r="AV175" i="24"/>
  <c r="AU175" i="24"/>
  <c r="BC171" i="24"/>
  <c r="BB171" i="24"/>
  <c r="BA171" i="24"/>
  <c r="AZ171" i="24"/>
  <c r="AY171" i="24"/>
  <c r="AX171" i="24"/>
  <c r="AW171" i="24"/>
  <c r="AV171" i="24"/>
  <c r="AU171" i="24"/>
  <c r="BC170" i="24"/>
  <c r="BB170" i="24"/>
  <c r="BA170" i="24"/>
  <c r="AZ170" i="24"/>
  <c r="AY170" i="24"/>
  <c r="AX170" i="24"/>
  <c r="AW170" i="24"/>
  <c r="AV170" i="24"/>
  <c r="AU170" i="24"/>
  <c r="BC168" i="24"/>
  <c r="BB168" i="24"/>
  <c r="BB166" i="24" s="1"/>
  <c r="BA168" i="24"/>
  <c r="AZ168" i="24"/>
  <c r="AY168" i="24"/>
  <c r="AY166" i="24" s="1"/>
  <c r="AX168" i="24"/>
  <c r="AW168" i="24"/>
  <c r="AW166" i="24" s="1"/>
  <c r="AV168" i="24"/>
  <c r="AU168" i="24"/>
  <c r="BC167" i="24"/>
  <c r="BC166" i="24" s="1"/>
  <c r="BB167" i="24"/>
  <c r="BA167" i="24"/>
  <c r="AZ167" i="24"/>
  <c r="AZ166" i="24" s="1"/>
  <c r="AY167" i="24"/>
  <c r="AX167" i="24"/>
  <c r="AX166" i="24" s="1"/>
  <c r="AW167" i="24"/>
  <c r="AV167" i="24"/>
  <c r="AU167" i="24"/>
  <c r="AU166" i="24" s="1"/>
  <c r="BA166" i="24"/>
  <c r="AV166" i="24"/>
  <c r="BC161" i="24"/>
  <c r="BB161" i="24"/>
  <c r="BB159" i="24" s="1"/>
  <c r="BA161" i="24"/>
  <c r="AZ161" i="24"/>
  <c r="AZ159" i="24" s="1"/>
  <c r="AY161" i="24"/>
  <c r="AX161" i="24"/>
  <c r="AW161" i="24"/>
  <c r="AW159" i="24" s="1"/>
  <c r="AV161" i="24"/>
  <c r="AU161" i="24"/>
  <c r="BC160" i="24"/>
  <c r="BC159" i="24" s="1"/>
  <c r="BB160" i="24"/>
  <c r="BA160" i="24"/>
  <c r="BA159" i="24" s="1"/>
  <c r="AZ160" i="24"/>
  <c r="AY160" i="24"/>
  <c r="AX160" i="24"/>
  <c r="AX159" i="24" s="1"/>
  <c r="AW160" i="24"/>
  <c r="AV160" i="24"/>
  <c r="AU160" i="24"/>
  <c r="AU159" i="24" s="1"/>
  <c r="AY159" i="24"/>
  <c r="AV159" i="24"/>
  <c r="AW155" i="24"/>
  <c r="BC153" i="24"/>
  <c r="BB153" i="24"/>
  <c r="BA153" i="24"/>
  <c r="AZ153" i="24"/>
  <c r="AY153" i="24"/>
  <c r="AX153" i="24"/>
  <c r="AW153" i="24"/>
  <c r="AV153" i="24"/>
  <c r="AU153" i="24"/>
  <c r="BC152" i="24"/>
  <c r="BB152" i="24"/>
  <c r="BA152" i="24"/>
  <c r="AZ152" i="24"/>
  <c r="AY152" i="24"/>
  <c r="AX152" i="24"/>
  <c r="AW152" i="24"/>
  <c r="AV152" i="24"/>
  <c r="AU152" i="24"/>
  <c r="BC151" i="24"/>
  <c r="BC149" i="24" s="1"/>
  <c r="BB151" i="24"/>
  <c r="BA151" i="24"/>
  <c r="AZ151" i="24"/>
  <c r="AZ149" i="24" s="1"/>
  <c r="AZ155" i="24" s="1"/>
  <c r="AY151" i="24"/>
  <c r="AX151" i="24"/>
  <c r="AX149" i="24" s="1"/>
  <c r="AW151" i="24"/>
  <c r="AV151" i="24"/>
  <c r="AU151" i="24"/>
  <c r="AU149" i="24" s="1"/>
  <c r="BC150" i="24"/>
  <c r="BB150" i="24"/>
  <c r="BA150" i="24"/>
  <c r="BA149" i="24" s="1"/>
  <c r="AZ150" i="24"/>
  <c r="AY150" i="24"/>
  <c r="AY149" i="24" s="1"/>
  <c r="AX150" i="24"/>
  <c r="AW150" i="24"/>
  <c r="AV150" i="24"/>
  <c r="AV149" i="24" s="1"/>
  <c r="AU150" i="24"/>
  <c r="BB149" i="24"/>
  <c r="AW149" i="24"/>
  <c r="BC147" i="24"/>
  <c r="BC146" i="24" s="1"/>
  <c r="BC155" i="24" s="1"/>
  <c r="BB147" i="24"/>
  <c r="BA147" i="24"/>
  <c r="BA146" i="24" s="1"/>
  <c r="AZ147" i="24"/>
  <c r="AY147" i="24"/>
  <c r="AX147" i="24"/>
  <c r="AX146" i="24" s="1"/>
  <c r="AX155" i="24" s="1"/>
  <c r="AW147" i="24"/>
  <c r="AV147" i="24"/>
  <c r="AU147" i="24"/>
  <c r="AU146" i="24" s="1"/>
  <c r="AU155" i="24" s="1"/>
  <c r="BB146" i="24"/>
  <c r="BB155" i="24" s="1"/>
  <c r="AZ146" i="24"/>
  <c r="AY146" i="24"/>
  <c r="AY155" i="24" s="1"/>
  <c r="AW146" i="24"/>
  <c r="AV146" i="24"/>
  <c r="AV155" i="24" s="1"/>
  <c r="BC143" i="24"/>
  <c r="BC141" i="24" s="1"/>
  <c r="BB143" i="24"/>
  <c r="BA143" i="24"/>
  <c r="AZ143" i="24"/>
  <c r="AZ141" i="24" s="1"/>
  <c r="AY143" i="24"/>
  <c r="AX143" i="24"/>
  <c r="AW143" i="24"/>
  <c r="AW141" i="24" s="1"/>
  <c r="AV143" i="24"/>
  <c r="AU143" i="24"/>
  <c r="AU141" i="24" s="1"/>
  <c r="BC142" i="24"/>
  <c r="BB142" i="24"/>
  <c r="BA142" i="24"/>
  <c r="BA141" i="24" s="1"/>
  <c r="AZ142" i="24"/>
  <c r="AY142" i="24"/>
  <c r="AX142" i="24"/>
  <c r="AX141" i="24" s="1"/>
  <c r="AW142" i="24"/>
  <c r="AV142" i="24"/>
  <c r="AV141" i="24" s="1"/>
  <c r="AU142" i="24"/>
  <c r="BB141" i="24"/>
  <c r="AY141" i="24"/>
  <c r="BC137" i="24"/>
  <c r="BB137" i="24"/>
  <c r="BA137" i="24"/>
  <c r="BA136" i="24" s="1"/>
  <c r="AZ137" i="24"/>
  <c r="AY137" i="24"/>
  <c r="AY136" i="24" s="1"/>
  <c r="AX137" i="24"/>
  <c r="AW137" i="24"/>
  <c r="AV137" i="24"/>
  <c r="AV136" i="24" s="1"/>
  <c r="AU137" i="24"/>
  <c r="BC136" i="24"/>
  <c r="BB136" i="24"/>
  <c r="AZ136" i="24"/>
  <c r="AX136" i="24"/>
  <c r="AW136" i="24"/>
  <c r="AU136" i="24"/>
  <c r="BC134" i="24"/>
  <c r="BB134" i="24"/>
  <c r="BA134" i="24"/>
  <c r="AZ134" i="24"/>
  <c r="AY134" i="24"/>
  <c r="AX134" i="24"/>
  <c r="AW134" i="24"/>
  <c r="AV134" i="24"/>
  <c r="AU134" i="24"/>
  <c r="BC133" i="24"/>
  <c r="BB133" i="24"/>
  <c r="BA133" i="24"/>
  <c r="AZ133" i="24"/>
  <c r="AY133" i="24"/>
  <c r="AX133" i="24"/>
  <c r="AW133" i="24"/>
  <c r="AV133" i="24"/>
  <c r="AV128" i="24" s="1"/>
  <c r="AV139" i="24" s="1"/>
  <c r="AU133" i="24"/>
  <c r="BC132" i="24"/>
  <c r="BB132" i="24"/>
  <c r="BA132" i="24"/>
  <c r="AZ132" i="24"/>
  <c r="AY132" i="24"/>
  <c r="AX132" i="24"/>
  <c r="AW132" i="24"/>
  <c r="AV132" i="24"/>
  <c r="AU132" i="24"/>
  <c r="BC131" i="24"/>
  <c r="BB131" i="24"/>
  <c r="BA131" i="24"/>
  <c r="AZ131" i="24"/>
  <c r="AY131" i="24"/>
  <c r="AX131" i="24"/>
  <c r="AW131" i="24"/>
  <c r="AV131" i="24"/>
  <c r="AU131" i="24"/>
  <c r="BC130" i="24"/>
  <c r="BB130" i="24"/>
  <c r="BB128" i="24" s="1"/>
  <c r="BB139" i="24" s="1"/>
  <c r="BA130" i="24"/>
  <c r="AZ130" i="24"/>
  <c r="AY130" i="24"/>
  <c r="AY128" i="24" s="1"/>
  <c r="AX130" i="24"/>
  <c r="AW130" i="24"/>
  <c r="AW128" i="24" s="1"/>
  <c r="AW139" i="24" s="1"/>
  <c r="AV130" i="24"/>
  <c r="AU130" i="24"/>
  <c r="BC129" i="24"/>
  <c r="BC128" i="24" s="1"/>
  <c r="BC139" i="24" s="1"/>
  <c r="BB129" i="24"/>
  <c r="BA129" i="24"/>
  <c r="AZ129" i="24"/>
  <c r="AZ128" i="24" s="1"/>
  <c r="AZ139" i="24" s="1"/>
  <c r="AY129" i="24"/>
  <c r="AX129" i="24"/>
  <c r="AX128" i="24" s="1"/>
  <c r="AX139" i="24" s="1"/>
  <c r="AW129" i="24"/>
  <c r="AV129" i="24"/>
  <c r="AU129" i="24"/>
  <c r="AU128" i="24" s="1"/>
  <c r="AU139" i="24" s="1"/>
  <c r="BA128" i="24"/>
  <c r="BA139" i="24" s="1"/>
  <c r="BC121" i="24"/>
  <c r="BB121" i="24"/>
  <c r="BA121" i="24"/>
  <c r="AZ121" i="24"/>
  <c r="AY121" i="24"/>
  <c r="AX121" i="24"/>
  <c r="AW121" i="24"/>
  <c r="AV121" i="24"/>
  <c r="AU121" i="24"/>
  <c r="BC120" i="24"/>
  <c r="BB120" i="24"/>
  <c r="BB118" i="24" s="1"/>
  <c r="BA120" i="24"/>
  <c r="AZ120" i="24"/>
  <c r="AY120" i="24"/>
  <c r="AY118" i="24" s="1"/>
  <c r="AY123" i="24" s="1"/>
  <c r="AX120" i="24"/>
  <c r="AW120" i="24"/>
  <c r="AV120" i="24"/>
  <c r="AV118" i="24" s="1"/>
  <c r="AV123" i="24" s="1"/>
  <c r="AU120" i="24"/>
  <c r="BC119" i="24"/>
  <c r="BC118" i="24" s="1"/>
  <c r="BC123" i="24" s="1"/>
  <c r="BB119" i="24"/>
  <c r="BA119" i="24"/>
  <c r="AZ119" i="24"/>
  <c r="AZ118" i="24" s="1"/>
  <c r="AZ123" i="24" s="1"/>
  <c r="AY119" i="24"/>
  <c r="AX119" i="24"/>
  <c r="AW119" i="24"/>
  <c r="AW118" i="24" s="1"/>
  <c r="AW123" i="24" s="1"/>
  <c r="AV119" i="24"/>
  <c r="AU119" i="24"/>
  <c r="AU118" i="24" s="1"/>
  <c r="AU123" i="24" s="1"/>
  <c r="BA118" i="24"/>
  <c r="BA123" i="24" s="1"/>
  <c r="AX118" i="24"/>
  <c r="AX123" i="24" s="1"/>
  <c r="BC116" i="24"/>
  <c r="BB116" i="24"/>
  <c r="BB115" i="24" s="1"/>
  <c r="BA116" i="24"/>
  <c r="AZ116" i="24"/>
  <c r="AY116" i="24"/>
  <c r="AY115" i="24" s="1"/>
  <c r="AX116" i="24"/>
  <c r="AW116" i="24"/>
  <c r="AW115" i="24" s="1"/>
  <c r="AV116" i="24"/>
  <c r="AU116" i="24"/>
  <c r="BC115" i="24"/>
  <c r="BA115" i="24"/>
  <c r="AZ115" i="24"/>
  <c r="AX115" i="24"/>
  <c r="AV115" i="24"/>
  <c r="AU115" i="24"/>
  <c r="AU110" i="24"/>
  <c r="AU109" i="24"/>
  <c r="BC108" i="24"/>
  <c r="BB108" i="24"/>
  <c r="BA108" i="24"/>
  <c r="AZ108" i="24"/>
  <c r="AY108" i="24"/>
  <c r="AX108" i="24"/>
  <c r="AW108" i="24"/>
  <c r="AV108" i="24"/>
  <c r="AU108" i="24"/>
  <c r="BC107" i="24"/>
  <c r="BB107" i="24"/>
  <c r="BA107" i="24"/>
  <c r="AZ107" i="24"/>
  <c r="AY107" i="24"/>
  <c r="AX107" i="24"/>
  <c r="AW107" i="24"/>
  <c r="AV107" i="24"/>
  <c r="AU107" i="24"/>
  <c r="BC106" i="24"/>
  <c r="BB106" i="24"/>
  <c r="BA106" i="24"/>
  <c r="AZ106" i="24"/>
  <c r="AY106" i="24"/>
  <c r="AX106" i="24"/>
  <c r="AW106" i="24"/>
  <c r="AV106" i="24"/>
  <c r="AU106" i="24"/>
  <c r="BC105" i="24"/>
  <c r="BB105" i="24"/>
  <c r="BA105" i="24"/>
  <c r="AZ105" i="24"/>
  <c r="AY105" i="24"/>
  <c r="AX105" i="24"/>
  <c r="AW105" i="24"/>
  <c r="AV105" i="24"/>
  <c r="AU105" i="24"/>
  <c r="BC103" i="24"/>
  <c r="BB103" i="24"/>
  <c r="BA103" i="24"/>
  <c r="AZ103" i="24"/>
  <c r="AY103" i="24"/>
  <c r="AX103" i="24"/>
  <c r="AW103" i="24"/>
  <c r="AV103" i="24"/>
  <c r="AU103" i="24"/>
  <c r="BC102" i="24"/>
  <c r="BB102" i="24"/>
  <c r="BA102" i="24"/>
  <c r="AZ102" i="24"/>
  <c r="AY102" i="24"/>
  <c r="AX102" i="24"/>
  <c r="AW102" i="24"/>
  <c r="AV102" i="24"/>
  <c r="AU102" i="24"/>
  <c r="BC101" i="24"/>
  <c r="BB101" i="24"/>
  <c r="BA101" i="24"/>
  <c r="AZ101" i="24"/>
  <c r="AY101" i="24"/>
  <c r="AX101" i="24"/>
  <c r="AW101" i="24"/>
  <c r="AV101" i="24"/>
  <c r="AU101" i="24"/>
  <c r="BC100" i="24"/>
  <c r="BB100" i="24"/>
  <c r="BA100" i="24"/>
  <c r="AZ100" i="24"/>
  <c r="AY100" i="24"/>
  <c r="AX100" i="24"/>
  <c r="AW100" i="24"/>
  <c r="AV100" i="24"/>
  <c r="AU100" i="24"/>
  <c r="AS184" i="24"/>
  <c r="AR184" i="24"/>
  <c r="AQ184" i="24"/>
  <c r="AP184" i="24"/>
  <c r="AO184" i="24"/>
  <c r="AN184" i="24"/>
  <c r="AM184" i="24"/>
  <c r="AL184" i="24"/>
  <c r="AK184" i="24"/>
  <c r="AK183" i="24"/>
  <c r="AK185" i="24" s="1"/>
  <c r="AK181" i="24"/>
  <c r="AS180" i="24"/>
  <c r="AR180" i="24"/>
  <c r="AQ180" i="24"/>
  <c r="AP180" i="24"/>
  <c r="AO180" i="24"/>
  <c r="AN180" i="24"/>
  <c r="AM180" i="24"/>
  <c r="AL180" i="24"/>
  <c r="AK180" i="24"/>
  <c r="AK179" i="24"/>
  <c r="AS176" i="24"/>
  <c r="AR176" i="24"/>
  <c r="AQ176" i="24"/>
  <c r="AP176" i="24"/>
  <c r="AO176" i="24"/>
  <c r="AN176" i="24"/>
  <c r="AM176" i="24"/>
  <c r="AL176" i="24"/>
  <c r="AK176" i="24"/>
  <c r="AS175" i="24"/>
  <c r="AR175" i="24"/>
  <c r="AQ175" i="24"/>
  <c r="AP175" i="24"/>
  <c r="AO175" i="24"/>
  <c r="AN175" i="24"/>
  <c r="AM175" i="24"/>
  <c r="AL175" i="24"/>
  <c r="AK175" i="24"/>
  <c r="AS171" i="24"/>
  <c r="AR171" i="24"/>
  <c r="AQ171" i="24"/>
  <c r="AP171" i="24"/>
  <c r="AO171" i="24"/>
  <c r="AN171" i="24"/>
  <c r="AM171" i="24"/>
  <c r="AL171" i="24"/>
  <c r="AK171" i="24"/>
  <c r="AS170" i="24"/>
  <c r="AR170" i="24"/>
  <c r="AQ170" i="24"/>
  <c r="AP170" i="24"/>
  <c r="AO170" i="24"/>
  <c r="AN170" i="24"/>
  <c r="AM170" i="24"/>
  <c r="AL170" i="24"/>
  <c r="AK170" i="24"/>
  <c r="AS168" i="24"/>
  <c r="AR168" i="24"/>
  <c r="AQ168" i="24"/>
  <c r="AP168" i="24"/>
  <c r="AO168" i="24"/>
  <c r="AN168" i="24"/>
  <c r="AN166" i="24" s="1"/>
  <c r="AM168" i="24"/>
  <c r="AL168" i="24"/>
  <c r="AK168" i="24"/>
  <c r="AS167" i="24"/>
  <c r="AS166" i="24" s="1"/>
  <c r="AR167" i="24"/>
  <c r="AQ167" i="24"/>
  <c r="AP167" i="24"/>
  <c r="AO167" i="24"/>
  <c r="AO166" i="24" s="1"/>
  <c r="AN167" i="24"/>
  <c r="AM167" i="24"/>
  <c r="AL167" i="24"/>
  <c r="AK167" i="24"/>
  <c r="AR166" i="24"/>
  <c r="AQ166" i="24"/>
  <c r="AP166" i="24"/>
  <c r="AM166" i="24"/>
  <c r="AL166" i="24"/>
  <c r="AK166" i="24"/>
  <c r="AS161" i="24"/>
  <c r="AR161" i="24"/>
  <c r="AQ161" i="24"/>
  <c r="AQ159" i="24" s="1"/>
  <c r="AP161" i="24"/>
  <c r="AO161" i="24"/>
  <c r="AN161" i="24"/>
  <c r="AM161" i="24"/>
  <c r="AL161" i="24"/>
  <c r="AK161" i="24"/>
  <c r="AS160" i="24"/>
  <c r="AR160" i="24"/>
  <c r="AR159" i="24" s="1"/>
  <c r="AQ160" i="24"/>
  <c r="AP160" i="24"/>
  <c r="AO160" i="24"/>
  <c r="AN160" i="24"/>
  <c r="AN159" i="24" s="1"/>
  <c r="AM160" i="24"/>
  <c r="AM159" i="24" s="1"/>
  <c r="AL160" i="24"/>
  <c r="AK160" i="24"/>
  <c r="AS159" i="24"/>
  <c r="AP159" i="24"/>
  <c r="AO159" i="24"/>
  <c r="AL159" i="24"/>
  <c r="AK159" i="24"/>
  <c r="AS153" i="24"/>
  <c r="AR153" i="24"/>
  <c r="AQ153" i="24"/>
  <c r="AP153" i="24"/>
  <c r="AO153" i="24"/>
  <c r="AN153" i="24"/>
  <c r="AM153" i="24"/>
  <c r="AM149" i="24" s="1"/>
  <c r="AM155" i="24" s="1"/>
  <c r="AL153" i="24"/>
  <c r="AK153" i="24"/>
  <c r="AS152" i="24"/>
  <c r="AR152" i="24"/>
  <c r="AQ152" i="24"/>
  <c r="AP152" i="24"/>
  <c r="AO152" i="24"/>
  <c r="AN152" i="24"/>
  <c r="AN149" i="24" s="1"/>
  <c r="AM152" i="24"/>
  <c r="AL152" i="24"/>
  <c r="AK152" i="24"/>
  <c r="AS151" i="24"/>
  <c r="AS149" i="24" s="1"/>
  <c r="AR151" i="24"/>
  <c r="AQ151" i="24"/>
  <c r="AP151" i="24"/>
  <c r="AO151" i="24"/>
  <c r="AO149" i="24" s="1"/>
  <c r="AN151" i="24"/>
  <c r="AM151" i="24"/>
  <c r="AL151" i="24"/>
  <c r="AK151" i="24"/>
  <c r="AK149" i="24" s="1"/>
  <c r="AS150" i="24"/>
  <c r="AR150" i="24"/>
  <c r="AQ150" i="24"/>
  <c r="AP150" i="24"/>
  <c r="AP149" i="24" s="1"/>
  <c r="AO150" i="24"/>
  <c r="AN150" i="24"/>
  <c r="AM150" i="24"/>
  <c r="AL150" i="24"/>
  <c r="AL149" i="24" s="1"/>
  <c r="AL155" i="24" s="1"/>
  <c r="AK150" i="24"/>
  <c r="AR149" i="24"/>
  <c r="AQ149" i="24"/>
  <c r="AS147" i="24"/>
  <c r="AR147" i="24"/>
  <c r="AR146" i="24" s="1"/>
  <c r="AR155" i="24" s="1"/>
  <c r="AQ147" i="24"/>
  <c r="AP147" i="24"/>
  <c r="AO147" i="24"/>
  <c r="AN147" i="24"/>
  <c r="AN146" i="24" s="1"/>
  <c r="AN155" i="24" s="1"/>
  <c r="AM147" i="24"/>
  <c r="AL147" i="24"/>
  <c r="AK147" i="24"/>
  <c r="AS146" i="24"/>
  <c r="AQ146" i="24"/>
  <c r="AQ155" i="24" s="1"/>
  <c r="AP146" i="24"/>
  <c r="AO146" i="24"/>
  <c r="AO155" i="24" s="1"/>
  <c r="AM146" i="24"/>
  <c r="AL146" i="24"/>
  <c r="AK146" i="24"/>
  <c r="AS143" i="24"/>
  <c r="AR143" i="24"/>
  <c r="AQ143" i="24"/>
  <c r="AP143" i="24"/>
  <c r="AP141" i="24" s="1"/>
  <c r="AO143" i="24"/>
  <c r="AN143" i="24"/>
  <c r="AM143" i="24"/>
  <c r="AL143" i="24"/>
  <c r="AL141" i="24" s="1"/>
  <c r="AK143" i="24"/>
  <c r="AS142" i="24"/>
  <c r="AR142" i="24"/>
  <c r="AQ142" i="24"/>
  <c r="AQ141" i="24" s="1"/>
  <c r="AP142" i="24"/>
  <c r="AO142" i="24"/>
  <c r="AN142" i="24"/>
  <c r="AM142" i="24"/>
  <c r="AM141" i="24" s="1"/>
  <c r="AL142" i="24"/>
  <c r="AK142" i="24"/>
  <c r="AS141" i="24"/>
  <c r="AR141" i="24"/>
  <c r="AO141" i="24"/>
  <c r="AN141" i="24"/>
  <c r="AK141" i="24"/>
  <c r="AS137" i="24"/>
  <c r="AR137" i="24"/>
  <c r="AQ137" i="24"/>
  <c r="AP137" i="24"/>
  <c r="AP136" i="24" s="1"/>
  <c r="AO137" i="24"/>
  <c r="AN137" i="24"/>
  <c r="AM137" i="24"/>
  <c r="AL137" i="24"/>
  <c r="AL136" i="24" s="1"/>
  <c r="AK137" i="24"/>
  <c r="AS136" i="24"/>
  <c r="AR136" i="24"/>
  <c r="AQ136" i="24"/>
  <c r="AO136" i="24"/>
  <c r="AN136" i="24"/>
  <c r="AM136" i="24"/>
  <c r="AK136" i="24"/>
  <c r="AS134" i="24"/>
  <c r="AR134" i="24"/>
  <c r="AR128" i="24" s="1"/>
  <c r="AR139" i="24" s="1"/>
  <c r="AQ134" i="24"/>
  <c r="AP134" i="24"/>
  <c r="AO134" i="24"/>
  <c r="AN134" i="24"/>
  <c r="AM134" i="24"/>
  <c r="AL134" i="24"/>
  <c r="AK134" i="24"/>
  <c r="AS133" i="24"/>
  <c r="AS128" i="24" s="1"/>
  <c r="AS139" i="24" s="1"/>
  <c r="AR133" i="24"/>
  <c r="AQ133" i="24"/>
  <c r="AP133" i="24"/>
  <c r="AO133" i="24"/>
  <c r="AN133" i="24"/>
  <c r="AM133" i="24"/>
  <c r="AL133" i="24"/>
  <c r="AK133" i="24"/>
  <c r="AK128" i="24" s="1"/>
  <c r="AK139" i="24" s="1"/>
  <c r="AS132" i="24"/>
  <c r="AR132" i="24"/>
  <c r="AQ132" i="24"/>
  <c r="AP132" i="24"/>
  <c r="AO132" i="24"/>
  <c r="AN132" i="24"/>
  <c r="AM132" i="24"/>
  <c r="AL132" i="24"/>
  <c r="AL128" i="24" s="1"/>
  <c r="AK132" i="24"/>
  <c r="AS131" i="24"/>
  <c r="AR131" i="24"/>
  <c r="AQ131" i="24"/>
  <c r="AP131" i="24"/>
  <c r="AO131" i="24"/>
  <c r="AN131" i="24"/>
  <c r="AM131" i="24"/>
  <c r="AM128" i="24" s="1"/>
  <c r="AM139" i="24" s="1"/>
  <c r="AL131" i="24"/>
  <c r="AK131" i="24"/>
  <c r="AS130" i="24"/>
  <c r="AR130" i="24"/>
  <c r="AQ130" i="24"/>
  <c r="AP130" i="24"/>
  <c r="AO130" i="24"/>
  <c r="AN130" i="24"/>
  <c r="AN128" i="24" s="1"/>
  <c r="AN139" i="24" s="1"/>
  <c r="AM130" i="24"/>
  <c r="AL130" i="24"/>
  <c r="AK130" i="24"/>
  <c r="AS129" i="24"/>
  <c r="AR129" i="24"/>
  <c r="AQ129" i="24"/>
  <c r="AP129" i="24"/>
  <c r="AO129" i="24"/>
  <c r="AO128" i="24" s="1"/>
  <c r="AO139" i="24" s="1"/>
  <c r="AN129" i="24"/>
  <c r="AM129" i="24"/>
  <c r="AL129" i="24"/>
  <c r="AK129" i="24"/>
  <c r="AQ128" i="24"/>
  <c r="AQ139" i="24" s="1"/>
  <c r="AP128" i="24"/>
  <c r="AP139" i="24" s="1"/>
  <c r="AQ123" i="24"/>
  <c r="AS121" i="24"/>
  <c r="AR121" i="24"/>
  <c r="AR118" i="24" s="1"/>
  <c r="AR123" i="24" s="1"/>
  <c r="AQ121" i="24"/>
  <c r="AP121" i="24"/>
  <c r="AO121" i="24"/>
  <c r="AN121" i="24"/>
  <c r="AM121" i="24"/>
  <c r="AL121" i="24"/>
  <c r="AK121" i="24"/>
  <c r="AS120" i="24"/>
  <c r="AS118" i="24" s="1"/>
  <c r="AS123" i="24" s="1"/>
  <c r="AR120" i="24"/>
  <c r="AQ120" i="24"/>
  <c r="AP120" i="24"/>
  <c r="AO120" i="24"/>
  <c r="AN120" i="24"/>
  <c r="AM120" i="24"/>
  <c r="AL120" i="24"/>
  <c r="AK120" i="24"/>
  <c r="AK118" i="24" s="1"/>
  <c r="AK123" i="24" s="1"/>
  <c r="AS119" i="24"/>
  <c r="AR119" i="24"/>
  <c r="AQ119" i="24"/>
  <c r="AP119" i="24"/>
  <c r="AO119" i="24"/>
  <c r="AN119" i="24"/>
  <c r="AM119" i="24"/>
  <c r="AL119" i="24"/>
  <c r="AL118" i="24" s="1"/>
  <c r="AL123" i="24" s="1"/>
  <c r="AK119" i="24"/>
  <c r="AQ118" i="24"/>
  <c r="AP118" i="24"/>
  <c r="AP123" i="24" s="1"/>
  <c r="AO118" i="24"/>
  <c r="AO123" i="24" s="1"/>
  <c r="AN118" i="24"/>
  <c r="AM118" i="24"/>
  <c r="AM123" i="24" s="1"/>
  <c r="AS116" i="24"/>
  <c r="AR116" i="24"/>
  <c r="AQ116" i="24"/>
  <c r="AP116" i="24"/>
  <c r="AO116" i="24"/>
  <c r="AN116" i="24"/>
  <c r="AN115" i="24" s="1"/>
  <c r="AM116" i="24"/>
  <c r="AL116" i="24"/>
  <c r="AK116" i="24"/>
  <c r="AS115" i="24"/>
  <c r="AR115" i="24"/>
  <c r="AQ115" i="24"/>
  <c r="AP115" i="24"/>
  <c r="AO115" i="24"/>
  <c r="AM115" i="24"/>
  <c r="AL115" i="24"/>
  <c r="AK115" i="24"/>
  <c r="AK110" i="24"/>
  <c r="AK109" i="24"/>
  <c r="AS108" i="24"/>
  <c r="AR108" i="24"/>
  <c r="AQ108" i="24"/>
  <c r="AP108" i="24"/>
  <c r="AO108" i="24"/>
  <c r="AN108" i="24"/>
  <c r="AM108" i="24"/>
  <c r="AL108" i="24"/>
  <c r="AK108" i="24"/>
  <c r="AS107" i="24"/>
  <c r="AR107" i="24"/>
  <c r="AQ107" i="24"/>
  <c r="AP107" i="24"/>
  <c r="AO107" i="24"/>
  <c r="AN107" i="24"/>
  <c r="AM107" i="24"/>
  <c r="AL107" i="24"/>
  <c r="AK107" i="24"/>
  <c r="AS106" i="24"/>
  <c r="AR106" i="24"/>
  <c r="AQ106" i="24"/>
  <c r="AP106" i="24"/>
  <c r="AO106" i="24"/>
  <c r="AN106" i="24"/>
  <c r="AM106" i="24"/>
  <c r="AL106" i="24"/>
  <c r="AK106" i="24"/>
  <c r="AS105" i="24"/>
  <c r="AR105" i="24"/>
  <c r="AQ105" i="24"/>
  <c r="AP105" i="24"/>
  <c r="AO105" i="24"/>
  <c r="AN105" i="24"/>
  <c r="AM105" i="24"/>
  <c r="AL105" i="24"/>
  <c r="AK105" i="24"/>
  <c r="AS103" i="24"/>
  <c r="AR103" i="24"/>
  <c r="AQ103" i="24"/>
  <c r="AP103" i="24"/>
  <c r="AO103" i="24"/>
  <c r="AN103" i="24"/>
  <c r="AM103" i="24"/>
  <c r="AL103" i="24"/>
  <c r="AK103" i="24"/>
  <c r="AS102" i="24"/>
  <c r="AR102" i="24"/>
  <c r="AQ102" i="24"/>
  <c r="AP102" i="24"/>
  <c r="AO102" i="24"/>
  <c r="AN102" i="24"/>
  <c r="AM102" i="24"/>
  <c r="AL102" i="24"/>
  <c r="AK102" i="24"/>
  <c r="AS101" i="24"/>
  <c r="AR101" i="24"/>
  <c r="AQ101" i="24"/>
  <c r="AP101" i="24"/>
  <c r="AO101" i="24"/>
  <c r="AN101" i="24"/>
  <c r="AM101" i="24"/>
  <c r="AL101" i="24"/>
  <c r="AK101" i="24"/>
  <c r="AS100" i="24"/>
  <c r="AR100" i="24"/>
  <c r="AQ100" i="24"/>
  <c r="AP100" i="24"/>
  <c r="AO100" i="24"/>
  <c r="AN100" i="24"/>
  <c r="AM100" i="24"/>
  <c r="AL100" i="24"/>
  <c r="AK100" i="24"/>
  <c r="AA185" i="24"/>
  <c r="AI184" i="24"/>
  <c r="AH184" i="24"/>
  <c r="AG184" i="24"/>
  <c r="AF184" i="24"/>
  <c r="AE184" i="24"/>
  <c r="AD184" i="24"/>
  <c r="AC184" i="24"/>
  <c r="AB184" i="24"/>
  <c r="AA184" i="24"/>
  <c r="AA183" i="24"/>
  <c r="AA181" i="24"/>
  <c r="AI180" i="24"/>
  <c r="AH180" i="24"/>
  <c r="AG180" i="24"/>
  <c r="AF180" i="24"/>
  <c r="AE180" i="24"/>
  <c r="AD180" i="24"/>
  <c r="AC180" i="24"/>
  <c r="AB180" i="24"/>
  <c r="AA180" i="24"/>
  <c r="AA179" i="24"/>
  <c r="AI176" i="24"/>
  <c r="AH176" i="24"/>
  <c r="AG176" i="24"/>
  <c r="AF176" i="24"/>
  <c r="AE176" i="24"/>
  <c r="AD176" i="24"/>
  <c r="AC176" i="24"/>
  <c r="AB176" i="24"/>
  <c r="AA176" i="24"/>
  <c r="AI175" i="24"/>
  <c r="AH175" i="24"/>
  <c r="AG175" i="24"/>
  <c r="AF175" i="24"/>
  <c r="AE175" i="24"/>
  <c r="AD175" i="24"/>
  <c r="AC175" i="24"/>
  <c r="AB175" i="24"/>
  <c r="AA175" i="24"/>
  <c r="AI171" i="24"/>
  <c r="AH171" i="24"/>
  <c r="AG171" i="24"/>
  <c r="AF171" i="24"/>
  <c r="AE171" i="24"/>
  <c r="AD171" i="24"/>
  <c r="AC171" i="24"/>
  <c r="AB171" i="24"/>
  <c r="AA171" i="24"/>
  <c r="AI170" i="24"/>
  <c r="AH170" i="24"/>
  <c r="AG170" i="24"/>
  <c r="AF170" i="24"/>
  <c r="AE170" i="24"/>
  <c r="AD170" i="24"/>
  <c r="AC170" i="24"/>
  <c r="AB170" i="24"/>
  <c r="AA170" i="24"/>
  <c r="AI168" i="24"/>
  <c r="AH168" i="24"/>
  <c r="AG168" i="24"/>
  <c r="AG166" i="24" s="1"/>
  <c r="AF168" i="24"/>
  <c r="AE168" i="24"/>
  <c r="AD168" i="24"/>
  <c r="AC168" i="24"/>
  <c r="AB168" i="24"/>
  <c r="AA168" i="24"/>
  <c r="AI167" i="24"/>
  <c r="AI166" i="24" s="1"/>
  <c r="AH167" i="24"/>
  <c r="AH166" i="24" s="1"/>
  <c r="AG167" i="24"/>
  <c r="AF167" i="24"/>
  <c r="AF166" i="24" s="1"/>
  <c r="AE167" i="24"/>
  <c r="AD167" i="24"/>
  <c r="AD166" i="24" s="1"/>
  <c r="AC167" i="24"/>
  <c r="AC166" i="24" s="1"/>
  <c r="AB167" i="24"/>
  <c r="AA167" i="24"/>
  <c r="AE166" i="24"/>
  <c r="AB166" i="24"/>
  <c r="AA166" i="24"/>
  <c r="AI161" i="24"/>
  <c r="AI159" i="24" s="1"/>
  <c r="AH161" i="24"/>
  <c r="AG161" i="24"/>
  <c r="AF161" i="24"/>
  <c r="AE161" i="24"/>
  <c r="AD161" i="24"/>
  <c r="AC161" i="24"/>
  <c r="AB161" i="24"/>
  <c r="AA161" i="24"/>
  <c r="AA159" i="24" s="1"/>
  <c r="AI160" i="24"/>
  <c r="AH160" i="24"/>
  <c r="AH159" i="24" s="1"/>
  <c r="AG160" i="24"/>
  <c r="AF160" i="24"/>
  <c r="AF159" i="24" s="1"/>
  <c r="AE160" i="24"/>
  <c r="AE159" i="24" s="1"/>
  <c r="AD160" i="24"/>
  <c r="AC160" i="24"/>
  <c r="AB160" i="24"/>
  <c r="AB159" i="24" s="1"/>
  <c r="AA160" i="24"/>
  <c r="AG159" i="24"/>
  <c r="AD159" i="24"/>
  <c r="AC159" i="24"/>
  <c r="AI153" i="24"/>
  <c r="AH153" i="24"/>
  <c r="AG153" i="24"/>
  <c r="AF153" i="24"/>
  <c r="AE153" i="24"/>
  <c r="AD153" i="24"/>
  <c r="AC153" i="24"/>
  <c r="AB153" i="24"/>
  <c r="AA153" i="24"/>
  <c r="AI152" i="24"/>
  <c r="AH152" i="24"/>
  <c r="AG152" i="24"/>
  <c r="AF152" i="24"/>
  <c r="AE152" i="24"/>
  <c r="AE149" i="24" s="1"/>
  <c r="AD152" i="24"/>
  <c r="AC152" i="24"/>
  <c r="AB152" i="24"/>
  <c r="AA152" i="24"/>
  <c r="AI151" i="24"/>
  <c r="AH151" i="24"/>
  <c r="AG151" i="24"/>
  <c r="AF151" i="24"/>
  <c r="AE151" i="24"/>
  <c r="AD151" i="24"/>
  <c r="AC151" i="24"/>
  <c r="AB151" i="24"/>
  <c r="AA151" i="24"/>
  <c r="AI150" i="24"/>
  <c r="AH150" i="24"/>
  <c r="AH149" i="24" s="1"/>
  <c r="AG150" i="24"/>
  <c r="AG149" i="24" s="1"/>
  <c r="AF150" i="24"/>
  <c r="AF149" i="24" s="1"/>
  <c r="AE150" i="24"/>
  <c r="AD150" i="24"/>
  <c r="AD149" i="24" s="1"/>
  <c r="AC150" i="24"/>
  <c r="AB150" i="24"/>
  <c r="AB149" i="24" s="1"/>
  <c r="AA150" i="24"/>
  <c r="AI149" i="24"/>
  <c r="AC149" i="24"/>
  <c r="AA149" i="24"/>
  <c r="AI147" i="24"/>
  <c r="AI146" i="24" s="1"/>
  <c r="AI155" i="24" s="1"/>
  <c r="AH147" i="24"/>
  <c r="AH146" i="24" s="1"/>
  <c r="AH155" i="24" s="1"/>
  <c r="AG147" i="24"/>
  <c r="AF147" i="24"/>
  <c r="AF146" i="24" s="1"/>
  <c r="AE147" i="24"/>
  <c r="AD147" i="24"/>
  <c r="AD146" i="24" s="1"/>
  <c r="AC147" i="24"/>
  <c r="AB147" i="24"/>
  <c r="AB146" i="24" s="1"/>
  <c r="AB155" i="24" s="1"/>
  <c r="AA147" i="24"/>
  <c r="AA146" i="24" s="1"/>
  <c r="AA155" i="24" s="1"/>
  <c r="AG146" i="24"/>
  <c r="AG155" i="24" s="1"/>
  <c r="AE146" i="24"/>
  <c r="AC146" i="24"/>
  <c r="AC155" i="24" s="1"/>
  <c r="AI143" i="24"/>
  <c r="AH143" i="24"/>
  <c r="AG143" i="24"/>
  <c r="AF143" i="24"/>
  <c r="AE143" i="24"/>
  <c r="AD143" i="24"/>
  <c r="AC143" i="24"/>
  <c r="AB143" i="24"/>
  <c r="AA143" i="24"/>
  <c r="AI142" i="24"/>
  <c r="AI141" i="24" s="1"/>
  <c r="AH142" i="24"/>
  <c r="AG142" i="24"/>
  <c r="AG141" i="24" s="1"/>
  <c r="AF142" i="24"/>
  <c r="AE142" i="24"/>
  <c r="AE141" i="24" s="1"/>
  <c r="AD142" i="24"/>
  <c r="AD141" i="24" s="1"/>
  <c r="AC142" i="24"/>
  <c r="AC141" i="24" s="1"/>
  <c r="AB142" i="24"/>
  <c r="AA142" i="24"/>
  <c r="AA141" i="24" s="1"/>
  <c r="AH141" i="24"/>
  <c r="AF141" i="24"/>
  <c r="AB141" i="24"/>
  <c r="AI137" i="24"/>
  <c r="AH137" i="24"/>
  <c r="AH136" i="24" s="1"/>
  <c r="AG137" i="24"/>
  <c r="AG136" i="24" s="1"/>
  <c r="AF137" i="24"/>
  <c r="AF136" i="24" s="1"/>
  <c r="AE137" i="24"/>
  <c r="AD137" i="24"/>
  <c r="AD136" i="24" s="1"/>
  <c r="AC137" i="24"/>
  <c r="AB137" i="24"/>
  <c r="AB136" i="24" s="1"/>
  <c r="AA137" i="24"/>
  <c r="AI136" i="24"/>
  <c r="AE136" i="24"/>
  <c r="AC136" i="24"/>
  <c r="AA136" i="24"/>
  <c r="AI134" i="24"/>
  <c r="AH134" i="24"/>
  <c r="AG134" i="24"/>
  <c r="AF134" i="24"/>
  <c r="AE134" i="24"/>
  <c r="AD134" i="24"/>
  <c r="AC134" i="24"/>
  <c r="AB134" i="24"/>
  <c r="AA134" i="24"/>
  <c r="AI133" i="24"/>
  <c r="AH133" i="24"/>
  <c r="AG133" i="24"/>
  <c r="AF133" i="24"/>
  <c r="AE133" i="24"/>
  <c r="AD133" i="24"/>
  <c r="AC133" i="24"/>
  <c r="AB133" i="24"/>
  <c r="AB128" i="24" s="1"/>
  <c r="AA133" i="24"/>
  <c r="AI132" i="24"/>
  <c r="AH132" i="24"/>
  <c r="AG132" i="24"/>
  <c r="AF132" i="24"/>
  <c r="AE132" i="24"/>
  <c r="AD132" i="24"/>
  <c r="AC132" i="24"/>
  <c r="AB132" i="24"/>
  <c r="AA132" i="24"/>
  <c r="AI131" i="24"/>
  <c r="AH131" i="24"/>
  <c r="AG131" i="24"/>
  <c r="AF131" i="24"/>
  <c r="AE131" i="24"/>
  <c r="AD131" i="24"/>
  <c r="AD128" i="24" s="1"/>
  <c r="AD139" i="24" s="1"/>
  <c r="AC131" i="24"/>
  <c r="AB131" i="24"/>
  <c r="AA131" i="24"/>
  <c r="AI130" i="24"/>
  <c r="AH130" i="24"/>
  <c r="AG130" i="24"/>
  <c r="AF130" i="24"/>
  <c r="AE130" i="24"/>
  <c r="AD130" i="24"/>
  <c r="AC130" i="24"/>
  <c r="AB130" i="24"/>
  <c r="AA130" i="24"/>
  <c r="AI129" i="24"/>
  <c r="AI128" i="24" s="1"/>
  <c r="AI139" i="24" s="1"/>
  <c r="AH129" i="24"/>
  <c r="AG129" i="24"/>
  <c r="AG128" i="24" s="1"/>
  <c r="AG139" i="24" s="1"/>
  <c r="AF129" i="24"/>
  <c r="AF128" i="24" s="1"/>
  <c r="AF139" i="24" s="1"/>
  <c r="AE129" i="24"/>
  <c r="AE128" i="24" s="1"/>
  <c r="AE139" i="24" s="1"/>
  <c r="AD129" i="24"/>
  <c r="AC129" i="24"/>
  <c r="AC128" i="24" s="1"/>
  <c r="AC139" i="24" s="1"/>
  <c r="AB129" i="24"/>
  <c r="AA129" i="24"/>
  <c r="AA128" i="24" s="1"/>
  <c r="AA139" i="24" s="1"/>
  <c r="AH128" i="24"/>
  <c r="AH139" i="24" s="1"/>
  <c r="AI121" i="24"/>
  <c r="AI118" i="24" s="1"/>
  <c r="AI123" i="24" s="1"/>
  <c r="AH121" i="24"/>
  <c r="AG121" i="24"/>
  <c r="AF121" i="24"/>
  <c r="AE121" i="24"/>
  <c r="AD121" i="24"/>
  <c r="AC121" i="24"/>
  <c r="AB121" i="24"/>
  <c r="AA121" i="24"/>
  <c r="AA118" i="24" s="1"/>
  <c r="AA123" i="24" s="1"/>
  <c r="AI120" i="24"/>
  <c r="AH120" i="24"/>
  <c r="AG120" i="24"/>
  <c r="AF120" i="24"/>
  <c r="AE120" i="24"/>
  <c r="AD120" i="24"/>
  <c r="AC120" i="24"/>
  <c r="AB120" i="24"/>
  <c r="AA120" i="24"/>
  <c r="AI119" i="24"/>
  <c r="AH119" i="24"/>
  <c r="AH118" i="24" s="1"/>
  <c r="AH123" i="24" s="1"/>
  <c r="AG119" i="24"/>
  <c r="AF119" i="24"/>
  <c r="AF118" i="24" s="1"/>
  <c r="AE119" i="24"/>
  <c r="AD119" i="24"/>
  <c r="AD118" i="24" s="1"/>
  <c r="AC119" i="24"/>
  <c r="AC118" i="24" s="1"/>
  <c r="AC123" i="24" s="1"/>
  <c r="AB119" i="24"/>
  <c r="AB118" i="24" s="1"/>
  <c r="AA119" i="24"/>
  <c r="AG118" i="24"/>
  <c r="AG123" i="24" s="1"/>
  <c r="AE118" i="24"/>
  <c r="AE123" i="24" s="1"/>
  <c r="AI116" i="24"/>
  <c r="AH116" i="24"/>
  <c r="AH115" i="24" s="1"/>
  <c r="AG116" i="24"/>
  <c r="AF116" i="24"/>
  <c r="AF115" i="24" s="1"/>
  <c r="AE116" i="24"/>
  <c r="AE115" i="24" s="1"/>
  <c r="AD116" i="24"/>
  <c r="AD115" i="24" s="1"/>
  <c r="AC116" i="24"/>
  <c r="AB116" i="24"/>
  <c r="AB115" i="24" s="1"/>
  <c r="AA116" i="24"/>
  <c r="AI115" i="24"/>
  <c r="AG115" i="24"/>
  <c r="AC115" i="24"/>
  <c r="AA115" i="24"/>
  <c r="AA110" i="24"/>
  <c r="AA109" i="24"/>
  <c r="AI108" i="24"/>
  <c r="AH108" i="24"/>
  <c r="AG108" i="24"/>
  <c r="AF108" i="24"/>
  <c r="AE108" i="24"/>
  <c r="AD108" i="24"/>
  <c r="AC108" i="24"/>
  <c r="AB108" i="24"/>
  <c r="AA108" i="24"/>
  <c r="AI107" i="24"/>
  <c r="AH107" i="24"/>
  <c r="AG107" i="24"/>
  <c r="AF107" i="24"/>
  <c r="AE107" i="24"/>
  <c r="AD107" i="24"/>
  <c r="AC107" i="24"/>
  <c r="AB107" i="24"/>
  <c r="AA107" i="24"/>
  <c r="AI106" i="24"/>
  <c r="AH106" i="24"/>
  <c r="AG106" i="24"/>
  <c r="AF106" i="24"/>
  <c r="AE106" i="24"/>
  <c r="AD106" i="24"/>
  <c r="AC106" i="24"/>
  <c r="AB106" i="24"/>
  <c r="AA106" i="24"/>
  <c r="AI105" i="24"/>
  <c r="AH105" i="24"/>
  <c r="AG105" i="24"/>
  <c r="AF105" i="24"/>
  <c r="AE105" i="24"/>
  <c r="AD105" i="24"/>
  <c r="AC105" i="24"/>
  <c r="AB105" i="24"/>
  <c r="AA105" i="24"/>
  <c r="AI103" i="24"/>
  <c r="AH103" i="24"/>
  <c r="AG103" i="24"/>
  <c r="AF103" i="24"/>
  <c r="AE103" i="24"/>
  <c r="AD103" i="24"/>
  <c r="AC103" i="24"/>
  <c r="AB103" i="24"/>
  <c r="AA103" i="24"/>
  <c r="AI102" i="24"/>
  <c r="AH102" i="24"/>
  <c r="AG102" i="24"/>
  <c r="AF102" i="24"/>
  <c r="AE102" i="24"/>
  <c r="AD102" i="24"/>
  <c r="AC102" i="24"/>
  <c r="AB102" i="24"/>
  <c r="AA102" i="24"/>
  <c r="AI101" i="24"/>
  <c r="AH101" i="24"/>
  <c r="AG101" i="24"/>
  <c r="AF101" i="24"/>
  <c r="AE101" i="24"/>
  <c r="AD101" i="24"/>
  <c r="AC101" i="24"/>
  <c r="AB101" i="24"/>
  <c r="AA101" i="24"/>
  <c r="AI100" i="24"/>
  <c r="AH100" i="24"/>
  <c r="AG100" i="24"/>
  <c r="AF100" i="24"/>
  <c r="AE100" i="24"/>
  <c r="AD100" i="24"/>
  <c r="AC100" i="24"/>
  <c r="AB100" i="24"/>
  <c r="AA100" i="24"/>
  <c r="X184" i="24"/>
  <c r="X180" i="24"/>
  <c r="X176" i="24"/>
  <c r="X175" i="24"/>
  <c r="X171" i="24"/>
  <c r="X170" i="24"/>
  <c r="X168" i="24"/>
  <c r="X167" i="24"/>
  <c r="X161" i="24"/>
  <c r="X160" i="24"/>
  <c r="X153" i="24"/>
  <c r="X152" i="24"/>
  <c r="X151" i="24"/>
  <c r="X150" i="24"/>
  <c r="X147" i="24"/>
  <c r="X143" i="24"/>
  <c r="X142" i="24"/>
  <c r="X137" i="24"/>
  <c r="X134" i="24"/>
  <c r="X133" i="24"/>
  <c r="X132" i="24"/>
  <c r="X131" i="24"/>
  <c r="X130" i="24"/>
  <c r="X129" i="24"/>
  <c r="X121" i="24"/>
  <c r="X120" i="24"/>
  <c r="X119" i="24"/>
  <c r="X116" i="24"/>
  <c r="X108" i="24"/>
  <c r="X107" i="24"/>
  <c r="X106" i="24"/>
  <c r="X105" i="24"/>
  <c r="X103" i="24"/>
  <c r="X102" i="24"/>
  <c r="X101" i="24"/>
  <c r="X100" i="24"/>
  <c r="AD123" i="37" l="1"/>
  <c r="AB139" i="37"/>
  <c r="AC123" i="37"/>
  <c r="X123" i="37"/>
  <c r="W139" i="37"/>
  <c r="S155" i="37"/>
  <c r="U139" i="37"/>
  <c r="T155" i="37"/>
  <c r="S139" i="37"/>
  <c r="T139" i="37"/>
  <c r="U155" i="37"/>
  <c r="P123" i="37"/>
  <c r="BG123" i="24"/>
  <c r="BL139" i="24"/>
  <c r="BK155" i="24"/>
  <c r="BL155" i="24"/>
  <c r="BB123" i="24"/>
  <c r="BA155" i="24"/>
  <c r="AY139" i="24"/>
  <c r="AP155" i="24"/>
  <c r="AS155" i="24"/>
  <c r="AL139" i="24"/>
  <c r="AK155" i="24"/>
  <c r="AN123" i="24"/>
  <c r="AB123" i="24"/>
  <c r="AB139" i="24"/>
  <c r="AD155" i="24"/>
  <c r="AD123" i="24"/>
  <c r="AF155" i="24"/>
  <c r="AF123" i="24"/>
  <c r="AE155" i="24"/>
  <c r="F184" i="37" l="1"/>
  <c r="F180" i="37"/>
  <c r="G184" i="37"/>
  <c r="G180" i="37"/>
  <c r="H176" i="37"/>
  <c r="H175" i="37"/>
  <c r="H171" i="37"/>
  <c r="H168" i="37"/>
  <c r="H167" i="37"/>
  <c r="H166" i="37"/>
  <c r="H161" i="37"/>
  <c r="H160" i="37"/>
  <c r="H159" i="37"/>
  <c r="H155" i="37"/>
  <c r="H153" i="37"/>
  <c r="H152" i="37"/>
  <c r="H151" i="37"/>
  <c r="H150" i="37"/>
  <c r="H149" i="37"/>
  <c r="H146" i="37"/>
  <c r="H141" i="37"/>
  <c r="H139" i="37"/>
  <c r="H136" i="37"/>
  <c r="H134" i="37"/>
  <c r="H133" i="37"/>
  <c r="H132" i="37"/>
  <c r="H131" i="37"/>
  <c r="H130" i="37"/>
  <c r="H129" i="37"/>
  <c r="H128" i="37"/>
  <c r="H123" i="37"/>
  <c r="H121" i="37"/>
  <c r="H120" i="37"/>
  <c r="H119" i="37"/>
  <c r="H118" i="37"/>
  <c r="H115" i="37"/>
  <c r="H103" i="37"/>
  <c r="H102" i="37"/>
  <c r="H101" i="37"/>
  <c r="H100" i="37"/>
  <c r="AC180" i="37" l="1"/>
  <c r="T180" i="37"/>
  <c r="X180" i="37"/>
  <c r="P180" i="37"/>
  <c r="L130" i="37"/>
  <c r="M152" i="24"/>
  <c r="G152" i="37" s="1"/>
  <c r="L152" i="37" s="1"/>
  <c r="M151" i="24"/>
  <c r="G151" i="37" s="1"/>
  <c r="L151" i="37" s="1"/>
  <c r="M150" i="24"/>
  <c r="G150" i="37" s="1"/>
  <c r="L150" i="37" s="1"/>
  <c r="M153" i="24"/>
  <c r="M147" i="24"/>
  <c r="G147" i="37" s="1"/>
  <c r="L147" i="37" s="1"/>
  <c r="G176" i="37"/>
  <c r="L176" i="37" s="1"/>
  <c r="F176" i="37"/>
  <c r="G175" i="37"/>
  <c r="L175" i="37" s="1"/>
  <c r="F175" i="37"/>
  <c r="E171" i="37"/>
  <c r="E170" i="37"/>
  <c r="G171" i="37"/>
  <c r="L171" i="37" s="1"/>
  <c r="F171" i="37"/>
  <c r="G170" i="37"/>
  <c r="F170" i="37"/>
  <c r="G168" i="37"/>
  <c r="L168" i="37" s="1"/>
  <c r="F168" i="37"/>
  <c r="G167" i="37"/>
  <c r="L167" i="37" s="1"/>
  <c r="F167" i="37"/>
  <c r="G161" i="37"/>
  <c r="L161" i="37" s="1"/>
  <c r="F161" i="37"/>
  <c r="G160" i="37"/>
  <c r="L160" i="37" s="1"/>
  <c r="G153" i="37"/>
  <c r="L153" i="37" s="1"/>
  <c r="F153" i="37"/>
  <c r="E153" i="37"/>
  <c r="F152" i="37"/>
  <c r="E152" i="37"/>
  <c r="F151" i="37"/>
  <c r="E151" i="37"/>
  <c r="F150" i="37"/>
  <c r="E150" i="37"/>
  <c r="F147" i="37"/>
  <c r="E147" i="37"/>
  <c r="G143" i="37"/>
  <c r="L143" i="37" s="1"/>
  <c r="F143" i="37"/>
  <c r="G142" i="37"/>
  <c r="L142" i="37" s="1"/>
  <c r="F142" i="37"/>
  <c r="G137" i="37"/>
  <c r="L137" i="37" s="1"/>
  <c r="G130" i="37"/>
  <c r="G131" i="37"/>
  <c r="L131" i="37" s="1"/>
  <c r="G132" i="37"/>
  <c r="L132" i="37" s="1"/>
  <c r="G133" i="37"/>
  <c r="L133" i="37" s="1"/>
  <c r="G134" i="37"/>
  <c r="L134" i="37" s="1"/>
  <c r="G129" i="37"/>
  <c r="L129" i="37" s="1"/>
  <c r="F137" i="37"/>
  <c r="F130" i="37"/>
  <c r="F131" i="37"/>
  <c r="F132" i="37"/>
  <c r="F133" i="37"/>
  <c r="F134" i="37"/>
  <c r="F129" i="37"/>
  <c r="G121" i="37"/>
  <c r="L121" i="37" s="1"/>
  <c r="F121" i="37"/>
  <c r="E121" i="37"/>
  <c r="G120" i="37"/>
  <c r="L120" i="37" s="1"/>
  <c r="F120" i="37"/>
  <c r="E120" i="37"/>
  <c r="G119" i="37"/>
  <c r="L119" i="37" s="1"/>
  <c r="F119" i="37"/>
  <c r="E119" i="37"/>
  <c r="G116" i="37"/>
  <c r="L116" i="37" s="1"/>
  <c r="F116" i="37"/>
  <c r="E116" i="37"/>
  <c r="G108" i="37"/>
  <c r="L108" i="37" s="1"/>
  <c r="F108" i="37"/>
  <c r="G107" i="37"/>
  <c r="L107" i="37" s="1"/>
  <c r="F107" i="37"/>
  <c r="G105" i="37"/>
  <c r="L105" i="37" s="1"/>
  <c r="F105" i="37"/>
  <c r="G103" i="37"/>
  <c r="L103" i="37" s="1"/>
  <c r="G102" i="37"/>
  <c r="L102" i="37" s="1"/>
  <c r="G100" i="37"/>
  <c r="L100" i="37" s="1"/>
  <c r="F103" i="37"/>
  <c r="F102" i="37"/>
  <c r="F100" i="37"/>
  <c r="E103" i="37"/>
  <c r="E102" i="37"/>
  <c r="E100" i="37"/>
  <c r="F92" i="37"/>
  <c r="F93" i="37"/>
  <c r="F94" i="37"/>
  <c r="G94" i="37"/>
  <c r="F95" i="37"/>
  <c r="G95" i="37"/>
  <c r="F91" i="37"/>
  <c r="L170" i="37" l="1"/>
  <c r="H170" i="37"/>
  <c r="AB49" i="37"/>
  <c r="W49" i="37"/>
  <c r="S49" i="37"/>
  <c r="O49" i="37"/>
  <c r="L3" i="37"/>
  <c r="L65" i="37"/>
  <c r="L136" i="37"/>
  <c r="L128" i="37" l="1"/>
  <c r="AC81" i="37"/>
  <c r="T81" i="37"/>
  <c r="P81" i="37"/>
  <c r="K81" i="37"/>
  <c r="AC78" i="37"/>
  <c r="T78" i="37"/>
  <c r="P78" i="37"/>
  <c r="K78" i="37"/>
  <c r="AC75" i="37"/>
  <c r="T75" i="37"/>
  <c r="P75" i="37"/>
  <c r="K75" i="37"/>
  <c r="AC74" i="37"/>
  <c r="T74" i="37"/>
  <c r="P74" i="37"/>
  <c r="K74" i="37"/>
  <c r="AC73" i="37"/>
  <c r="T73" i="37"/>
  <c r="P73" i="37"/>
  <c r="K73" i="37"/>
  <c r="AC72" i="37"/>
  <c r="T72" i="37"/>
  <c r="P72" i="37"/>
  <c r="K72" i="37"/>
  <c r="AC71" i="37"/>
  <c r="T71" i="37"/>
  <c r="P71" i="37"/>
  <c r="K71" i="37"/>
  <c r="AC70" i="37"/>
  <c r="T70" i="37"/>
  <c r="P70" i="37"/>
  <c r="K70" i="37"/>
  <c r="AC68" i="37"/>
  <c r="T68" i="37"/>
  <c r="P68" i="37"/>
  <c r="K68" i="37"/>
  <c r="AC67" i="37"/>
  <c r="T67" i="37"/>
  <c r="P67" i="37"/>
  <c r="K67" i="37"/>
  <c r="AC66" i="37"/>
  <c r="T66" i="37"/>
  <c r="P66" i="37"/>
  <c r="K66" i="37"/>
  <c r="AC61" i="37"/>
  <c r="T61" i="37"/>
  <c r="P61" i="37"/>
  <c r="K61" i="37"/>
  <c r="AC60" i="37"/>
  <c r="T60" i="37"/>
  <c r="P60" i="37"/>
  <c r="K60" i="37"/>
  <c r="AC54" i="37"/>
  <c r="T54" i="37"/>
  <c r="P54" i="37"/>
  <c r="K54" i="37"/>
  <c r="AC53" i="37"/>
  <c r="T53" i="37"/>
  <c r="P53" i="37"/>
  <c r="K53" i="37"/>
  <c r="AC51" i="37"/>
  <c r="T51" i="37"/>
  <c r="P51" i="37"/>
  <c r="K51" i="37"/>
  <c r="AC48" i="37"/>
  <c r="T48" i="37"/>
  <c r="P48" i="37"/>
  <c r="K48" i="37"/>
  <c r="AC47" i="37"/>
  <c r="T47" i="37"/>
  <c r="P47" i="37"/>
  <c r="X47" i="37" s="1"/>
  <c r="K47" i="37"/>
  <c r="K45" i="37"/>
  <c r="AC44" i="37"/>
  <c r="T44" i="37"/>
  <c r="P44" i="37"/>
  <c r="K44" i="37"/>
  <c r="K46" i="37" s="1"/>
  <c r="AC42" i="37"/>
  <c r="T42" i="37"/>
  <c r="P42" i="37"/>
  <c r="K42" i="37"/>
  <c r="AC41" i="37"/>
  <c r="T41" i="37"/>
  <c r="P41" i="37"/>
  <c r="K41" i="37"/>
  <c r="AC33" i="37"/>
  <c r="T33" i="37"/>
  <c r="P33" i="37"/>
  <c r="K33" i="37"/>
  <c r="AC32" i="37"/>
  <c r="T32" i="37"/>
  <c r="P32" i="37"/>
  <c r="K32" i="37"/>
  <c r="AC30" i="37"/>
  <c r="T30" i="37"/>
  <c r="P30" i="37"/>
  <c r="K30" i="37"/>
  <c r="AC24" i="37"/>
  <c r="AC183" i="37" s="1"/>
  <c r="AC185" i="37" s="1"/>
  <c r="T24" i="37"/>
  <c r="T183" i="37" s="1"/>
  <c r="T185" i="37" s="1"/>
  <c r="P24" i="37"/>
  <c r="P183" i="37" s="1"/>
  <c r="P185" i="37" s="1"/>
  <c r="K24" i="37"/>
  <c r="AC21" i="37"/>
  <c r="AC179" i="37" s="1"/>
  <c r="AC181" i="37" s="1"/>
  <c r="T21" i="37"/>
  <c r="T179" i="37" s="1"/>
  <c r="T181" i="37" s="1"/>
  <c r="P21" i="37"/>
  <c r="P179" i="37" s="1"/>
  <c r="P181" i="37" s="1"/>
  <c r="K21" i="37"/>
  <c r="AC17" i="37"/>
  <c r="T17" i="37"/>
  <c r="P17" i="37"/>
  <c r="K17" i="37"/>
  <c r="AC16" i="37"/>
  <c r="T16" i="37"/>
  <c r="P16" i="37"/>
  <c r="K16" i="37"/>
  <c r="AC15" i="37"/>
  <c r="T15" i="37"/>
  <c r="P15" i="37"/>
  <c r="K15" i="37"/>
  <c r="AC14" i="37"/>
  <c r="T14" i="37"/>
  <c r="P14" i="37"/>
  <c r="K14" i="37"/>
  <c r="AC10" i="37"/>
  <c r="T10" i="37"/>
  <c r="P10" i="37"/>
  <c r="K10" i="37"/>
  <c r="AC9" i="37"/>
  <c r="T9" i="37"/>
  <c r="P9" i="37"/>
  <c r="K9" i="37"/>
  <c r="AC7" i="37"/>
  <c r="T7" i="37"/>
  <c r="P7" i="37"/>
  <c r="K7" i="37"/>
  <c r="AC5" i="37"/>
  <c r="T5" i="37"/>
  <c r="P5" i="37"/>
  <c r="K5" i="37"/>
  <c r="X44" i="37" l="1"/>
  <c r="X51" i="37"/>
  <c r="X48" i="37"/>
  <c r="T45" i="37"/>
  <c r="T46" i="37" s="1"/>
  <c r="AC45" i="37"/>
  <c r="AC46" i="37" s="1"/>
  <c r="AC43" i="37"/>
  <c r="P45" i="37"/>
  <c r="P43" i="37"/>
  <c r="L139" i="37"/>
  <c r="T43" i="37"/>
  <c r="X9" i="37"/>
  <c r="X14" i="37"/>
  <c r="X16" i="37"/>
  <c r="X21" i="37"/>
  <c r="X179" i="37" s="1"/>
  <c r="X181" i="37" s="1"/>
  <c r="X30" i="37"/>
  <c r="X33" i="37"/>
  <c r="X42" i="37"/>
  <c r="K43" i="37"/>
  <c r="K49" i="37" s="1"/>
  <c r="X7" i="37"/>
  <c r="X10" i="37"/>
  <c r="X15" i="37"/>
  <c r="X24" i="37"/>
  <c r="X183" i="37" s="1"/>
  <c r="X185" i="37" s="1"/>
  <c r="X32" i="37"/>
  <c r="X54" i="37"/>
  <c r="X61" i="37"/>
  <c r="X66" i="37"/>
  <c r="X68" i="37"/>
  <c r="X71" i="37"/>
  <c r="X73" i="37"/>
  <c r="X53" i="37"/>
  <c r="X60" i="37"/>
  <c r="X67" i="37"/>
  <c r="X70" i="37"/>
  <c r="X72" i="37"/>
  <c r="X74" i="37"/>
  <c r="X78" i="37"/>
  <c r="X17" i="37"/>
  <c r="X75" i="37"/>
  <c r="X81" i="37"/>
  <c r="X41" i="37"/>
  <c r="X43" i="37" s="1"/>
  <c r="N176" i="24"/>
  <c r="N175" i="24"/>
  <c r="N171" i="24"/>
  <c r="N170" i="24"/>
  <c r="N168" i="24"/>
  <c r="N167" i="24"/>
  <c r="N161" i="24"/>
  <c r="N153" i="24"/>
  <c r="N152" i="24"/>
  <c r="N151" i="24"/>
  <c r="N150" i="24"/>
  <c r="N134" i="24"/>
  <c r="N133" i="24"/>
  <c r="N132" i="24"/>
  <c r="N131" i="24"/>
  <c r="N130" i="24"/>
  <c r="N129" i="24"/>
  <c r="N121" i="24"/>
  <c r="N120" i="24"/>
  <c r="N119" i="24"/>
  <c r="N103" i="24"/>
  <c r="N102" i="24"/>
  <c r="N100" i="24"/>
  <c r="T49" i="37" l="1"/>
  <c r="AC49" i="37"/>
  <c r="P46" i="37"/>
  <c r="P49" i="37" s="1"/>
  <c r="X45" i="37"/>
  <c r="X46" i="37" s="1"/>
  <c r="X49" i="37" s="1"/>
  <c r="G65" i="37"/>
  <c r="G115" i="37"/>
  <c r="G128" i="37"/>
  <c r="G136" i="37"/>
  <c r="G146" i="37"/>
  <c r="L180" i="37"/>
  <c r="L184" i="37"/>
  <c r="AD3" i="37"/>
  <c r="AD65" i="37"/>
  <c r="Y3" i="37"/>
  <c r="U3" i="37"/>
  <c r="U65" i="37"/>
  <c r="Q3" i="37"/>
  <c r="Q65" i="37"/>
  <c r="E176" i="37"/>
  <c r="E175" i="37"/>
  <c r="J175" i="37" s="1"/>
  <c r="E168" i="37"/>
  <c r="E167" i="37"/>
  <c r="J167" i="37" s="1"/>
  <c r="E161" i="37"/>
  <c r="E160" i="37"/>
  <c r="J152" i="37"/>
  <c r="J151" i="37"/>
  <c r="K137" i="37"/>
  <c r="K136" i="37" s="1"/>
  <c r="F136" i="37"/>
  <c r="K134" i="37"/>
  <c r="J134" i="37"/>
  <c r="K133" i="37"/>
  <c r="K132" i="37"/>
  <c r="J132" i="37"/>
  <c r="K131" i="37"/>
  <c r="K130" i="37"/>
  <c r="K129" i="37"/>
  <c r="F128" i="37"/>
  <c r="E115" i="37"/>
  <c r="J103" i="37"/>
  <c r="J102" i="37"/>
  <c r="C95" i="37"/>
  <c r="C94" i="37"/>
  <c r="C93" i="37"/>
  <c r="C92" i="37"/>
  <c r="C91" i="37"/>
  <c r="AC65" i="37"/>
  <c r="T65" i="37"/>
  <c r="P65" i="37"/>
  <c r="K65" i="37"/>
  <c r="F65" i="37"/>
  <c r="AC62" i="37"/>
  <c r="K183" i="37"/>
  <c r="J183" i="37"/>
  <c r="K179" i="37"/>
  <c r="J179" i="37"/>
  <c r="AC3" i="37"/>
  <c r="AB3" i="37"/>
  <c r="Z3" i="37"/>
  <c r="X3" i="37"/>
  <c r="W3" i="37"/>
  <c r="T3" i="37"/>
  <c r="S3" i="37"/>
  <c r="P3" i="37"/>
  <c r="O3" i="37"/>
  <c r="M3" i="37"/>
  <c r="K3" i="37"/>
  <c r="J3" i="37"/>
  <c r="AD81" i="37"/>
  <c r="U81" i="37"/>
  <c r="Q81" i="37"/>
  <c r="AD78" i="37"/>
  <c r="U78" i="37"/>
  <c r="Q78" i="37"/>
  <c r="AD75" i="37"/>
  <c r="Q75" i="37"/>
  <c r="L75" i="37"/>
  <c r="M75" i="37" s="1"/>
  <c r="AD74" i="37"/>
  <c r="U74" i="37"/>
  <c r="Q74" i="37"/>
  <c r="L74" i="37"/>
  <c r="M74" i="37" s="1"/>
  <c r="AD73" i="37"/>
  <c r="Q73" i="37"/>
  <c r="L73" i="37"/>
  <c r="M73" i="37" s="1"/>
  <c r="AD72" i="37"/>
  <c r="U72" i="37"/>
  <c r="Q72" i="37"/>
  <c r="L72" i="37"/>
  <c r="M72" i="37" s="1"/>
  <c r="AD71" i="37"/>
  <c r="Q71" i="37"/>
  <c r="L71" i="37"/>
  <c r="M71" i="37" s="1"/>
  <c r="AD70" i="37"/>
  <c r="U70" i="37"/>
  <c r="Q70" i="37"/>
  <c r="AD68" i="37"/>
  <c r="Q68" i="37"/>
  <c r="L68" i="37"/>
  <c r="M68" i="37" s="1"/>
  <c r="AD67" i="37"/>
  <c r="U67" i="37"/>
  <c r="Q67" i="37"/>
  <c r="AD66" i="37"/>
  <c r="Q66" i="37"/>
  <c r="L66" i="37"/>
  <c r="Q61" i="37"/>
  <c r="L61" i="37"/>
  <c r="M61" i="37" s="1"/>
  <c r="AD60" i="37"/>
  <c r="U60" i="37"/>
  <c r="L60" i="37"/>
  <c r="AD54" i="37"/>
  <c r="Q54" i="37"/>
  <c r="AD53" i="37"/>
  <c r="U53" i="37"/>
  <c r="Q53" i="37"/>
  <c r="Y53" i="37" s="1"/>
  <c r="AD51" i="37"/>
  <c r="U51" i="37"/>
  <c r="Q51" i="37"/>
  <c r="AD48" i="37"/>
  <c r="U48" i="37"/>
  <c r="Q48" i="37"/>
  <c r="L48" i="37"/>
  <c r="AD47" i="37"/>
  <c r="U47" i="37"/>
  <c r="Q47" i="37"/>
  <c r="AD45" i="37"/>
  <c r="Q45" i="37"/>
  <c r="AD44" i="37"/>
  <c r="U44" i="37"/>
  <c r="Q44" i="37"/>
  <c r="AD42" i="37"/>
  <c r="U42" i="37"/>
  <c r="Q42" i="37"/>
  <c r="L42" i="37"/>
  <c r="AD41" i="37"/>
  <c r="U41" i="37"/>
  <c r="U43" i="37" s="1"/>
  <c r="Q41" i="37"/>
  <c r="AD33" i="37"/>
  <c r="U33" i="37"/>
  <c r="Q33" i="37"/>
  <c r="Y33" i="37" s="1"/>
  <c r="L33" i="37"/>
  <c r="M33" i="37" s="1"/>
  <c r="AD32" i="37"/>
  <c r="AD30" i="37"/>
  <c r="U30" i="37"/>
  <c r="Q30" i="37"/>
  <c r="U24" i="37"/>
  <c r="U183" i="37" s="1"/>
  <c r="U185" i="37" s="1"/>
  <c r="L24" i="37"/>
  <c r="AD21" i="37"/>
  <c r="AD179" i="37" s="1"/>
  <c r="AD181" i="37" s="1"/>
  <c r="L21" i="37"/>
  <c r="AD17" i="37"/>
  <c r="U17" i="37"/>
  <c r="Q17" i="37"/>
  <c r="AD16" i="37"/>
  <c r="U16" i="37"/>
  <c r="Q16" i="37"/>
  <c r="Y16" i="37" s="1"/>
  <c r="AD15" i="37"/>
  <c r="Q15" i="37"/>
  <c r="AD14" i="37"/>
  <c r="U14" i="37"/>
  <c r="Q14" i="37"/>
  <c r="Y14" i="37" s="1"/>
  <c r="AD10" i="37"/>
  <c r="U10" i="37"/>
  <c r="Q10" i="37"/>
  <c r="AD9" i="37"/>
  <c r="U9" i="37"/>
  <c r="Q9" i="37"/>
  <c r="Y9" i="37" s="1"/>
  <c r="AD7" i="37"/>
  <c r="U7" i="37"/>
  <c r="Q7" i="37"/>
  <c r="AD5" i="37"/>
  <c r="U5" i="37"/>
  <c r="Q5" i="37"/>
  <c r="Y5" i="37" s="1"/>
  <c r="L5" i="37"/>
  <c r="Y30" i="37" l="1"/>
  <c r="Y48" i="37"/>
  <c r="Z48" i="37" s="1"/>
  <c r="Y81" i="37"/>
  <c r="Y42" i="37"/>
  <c r="Z42" i="37" s="1"/>
  <c r="U32" i="37"/>
  <c r="U34" i="37" s="1"/>
  <c r="U21" i="37"/>
  <c r="U179" i="37" s="1"/>
  <c r="U181" i="37" s="1"/>
  <c r="G61" i="37"/>
  <c r="AD46" i="37"/>
  <c r="G33" i="37"/>
  <c r="AD18" i="37"/>
  <c r="AD55" i="37"/>
  <c r="Y7" i="37"/>
  <c r="Y10" i="37"/>
  <c r="Y17" i="37"/>
  <c r="Y47" i="37"/>
  <c r="Z47" i="37" s="1"/>
  <c r="Y51" i="37"/>
  <c r="Z51" i="37" s="1"/>
  <c r="Y67" i="37"/>
  <c r="Y70" i="37"/>
  <c r="Y72" i="37"/>
  <c r="Y74" i="37"/>
  <c r="Y78" i="37"/>
  <c r="E185" i="37"/>
  <c r="AD34" i="37"/>
  <c r="AD43" i="37"/>
  <c r="AD49" i="37" s="1"/>
  <c r="U11" i="37"/>
  <c r="G48" i="37"/>
  <c r="Q55" i="37"/>
  <c r="G72" i="37"/>
  <c r="U15" i="37"/>
  <c r="U18" i="37" s="1"/>
  <c r="U54" i="37"/>
  <c r="U55" i="37" s="1"/>
  <c r="U58" i="37"/>
  <c r="AD76" i="37"/>
  <c r="Q32" i="37"/>
  <c r="Q60" i="37"/>
  <c r="G74" i="37"/>
  <c r="AD24" i="37"/>
  <c r="AD183" i="37" s="1"/>
  <c r="AD185" i="37" s="1"/>
  <c r="Q43" i="37"/>
  <c r="Y41" i="37"/>
  <c r="Z41" i="37" s="1"/>
  <c r="M5" i="37"/>
  <c r="G9" i="37"/>
  <c r="L9" i="37"/>
  <c r="M9" i="37" s="1"/>
  <c r="L14" i="37"/>
  <c r="G16" i="37"/>
  <c r="L16" i="37"/>
  <c r="M16" i="37" s="1"/>
  <c r="L27" i="37"/>
  <c r="L28" i="37" s="1"/>
  <c r="L179" i="37"/>
  <c r="L181" i="37" s="1"/>
  <c r="L23" i="37" s="1"/>
  <c r="M21" i="37"/>
  <c r="L22" i="37"/>
  <c r="G30" i="37"/>
  <c r="L30" i="37"/>
  <c r="M30" i="37" s="1"/>
  <c r="G45" i="37"/>
  <c r="L45" i="37"/>
  <c r="L53" i="37"/>
  <c r="M66" i="37"/>
  <c r="G81" i="37"/>
  <c r="L81" i="37"/>
  <c r="M81" i="37" s="1"/>
  <c r="Q18" i="37"/>
  <c r="Q21" i="37"/>
  <c r="Q179" i="37" s="1"/>
  <c r="Q181" i="37" s="1"/>
  <c r="Q11" i="37"/>
  <c r="U27" i="37"/>
  <c r="AD58" i="37"/>
  <c r="Y44" i="37"/>
  <c r="Z44" i="37" s="1"/>
  <c r="Q46" i="37"/>
  <c r="U45" i="37"/>
  <c r="Y45" i="37" s="1"/>
  <c r="Z45" i="37" s="1"/>
  <c r="U61" i="37"/>
  <c r="U62" i="37" s="1"/>
  <c r="U66" i="37"/>
  <c r="Y66" i="37" s="1"/>
  <c r="G68" i="37"/>
  <c r="U68" i="37"/>
  <c r="Y68" i="37" s="1"/>
  <c r="G71" i="37"/>
  <c r="U71" i="37"/>
  <c r="Y71" i="37" s="1"/>
  <c r="G73" i="37"/>
  <c r="U73" i="37"/>
  <c r="G75" i="37"/>
  <c r="U75" i="37"/>
  <c r="Y75" i="37" s="1"/>
  <c r="G24" i="37"/>
  <c r="G183" i="37" s="1"/>
  <c r="G185" i="37" s="1"/>
  <c r="G26" i="37" s="1"/>
  <c r="Q24" i="37"/>
  <c r="Q183" i="37" s="1"/>
  <c r="Q185" i="37" s="1"/>
  <c r="AD61" i="37"/>
  <c r="AD62" i="37" s="1"/>
  <c r="G42" i="37"/>
  <c r="G7" i="37"/>
  <c r="L7" i="37"/>
  <c r="M7" i="37" s="1"/>
  <c r="G10" i="37"/>
  <c r="L10" i="37"/>
  <c r="M10" i="37" s="1"/>
  <c r="G15" i="37"/>
  <c r="L15" i="37"/>
  <c r="M15" i="37" s="1"/>
  <c r="G17" i="37"/>
  <c r="L17" i="37"/>
  <c r="M17" i="37" s="1"/>
  <c r="L183" i="37"/>
  <c r="L185" i="37" s="1"/>
  <c r="L26" i="37" s="1"/>
  <c r="M24" i="37"/>
  <c r="L25" i="37"/>
  <c r="G32" i="37"/>
  <c r="G34" i="37" s="1"/>
  <c r="L32" i="37"/>
  <c r="G41" i="37"/>
  <c r="L41" i="37"/>
  <c r="L43" i="37" s="1"/>
  <c r="G44" i="37"/>
  <c r="L44" i="37"/>
  <c r="G47" i="37"/>
  <c r="L47" i="37"/>
  <c r="G51" i="37"/>
  <c r="L51" i="37"/>
  <c r="G54" i="37"/>
  <c r="L54" i="37"/>
  <c r="L62" i="37"/>
  <c r="M60" i="37"/>
  <c r="L67" i="37"/>
  <c r="M67" i="37" s="1"/>
  <c r="G70" i="37"/>
  <c r="L70" i="37"/>
  <c r="M70" i="37" s="1"/>
  <c r="G78" i="37"/>
  <c r="L78" i="37"/>
  <c r="M78" i="37" s="1"/>
  <c r="Q58" i="37"/>
  <c r="G166" i="37"/>
  <c r="G106" i="37"/>
  <c r="L106" i="37" s="1"/>
  <c r="G101" i="37"/>
  <c r="L101" i="37" s="1"/>
  <c r="Y65" i="37"/>
  <c r="G118" i="37"/>
  <c r="G123" i="37" s="1"/>
  <c r="Q76" i="37"/>
  <c r="G149" i="37"/>
  <c r="G155" i="37" s="1"/>
  <c r="AD6" i="37"/>
  <c r="K100" i="37"/>
  <c r="AC6" i="37"/>
  <c r="K151" i="37"/>
  <c r="K161" i="37"/>
  <c r="L159" i="37"/>
  <c r="G141" i="37"/>
  <c r="L141" i="37" s="1"/>
  <c r="F115" i="37"/>
  <c r="L115" i="37"/>
  <c r="L146" i="37"/>
  <c r="K168" i="37"/>
  <c r="K176" i="37"/>
  <c r="G139" i="37"/>
  <c r="G159" i="37"/>
  <c r="G164" i="37" s="1"/>
  <c r="AD11" i="37"/>
  <c r="T34" i="37"/>
  <c r="K55" i="37"/>
  <c r="K57" i="37" s="1"/>
  <c r="T58" i="37"/>
  <c r="F166" i="37"/>
  <c r="T62" i="37"/>
  <c r="E141" i="37"/>
  <c r="J141" i="37" s="1"/>
  <c r="K152" i="37"/>
  <c r="F139" i="37"/>
  <c r="J116" i="37"/>
  <c r="J115" i="37" s="1"/>
  <c r="P76" i="37"/>
  <c r="E101" i="37"/>
  <c r="AC25" i="37"/>
  <c r="AC18" i="37"/>
  <c r="K34" i="37"/>
  <c r="J100" i="37"/>
  <c r="J153" i="37"/>
  <c r="AC55" i="37"/>
  <c r="AC57" i="37" s="1"/>
  <c r="F106" i="37"/>
  <c r="T11" i="37"/>
  <c r="J108" i="37"/>
  <c r="E159" i="37"/>
  <c r="E164" i="37" s="1"/>
  <c r="J160" i="37"/>
  <c r="AC11" i="37"/>
  <c r="P55" i="37"/>
  <c r="P57" i="37" s="1"/>
  <c r="P18" i="37"/>
  <c r="K18" i="37"/>
  <c r="AC34" i="37"/>
  <c r="P27" i="37"/>
  <c r="P58" i="37"/>
  <c r="P34" i="37"/>
  <c r="T55" i="37"/>
  <c r="AC76" i="37"/>
  <c r="E166" i="37"/>
  <c r="F101" i="37"/>
  <c r="T18" i="37"/>
  <c r="J129" i="37"/>
  <c r="K103" i="37"/>
  <c r="K119" i="37"/>
  <c r="E106" i="37"/>
  <c r="K27" i="37"/>
  <c r="K102" i="37"/>
  <c r="E118" i="37"/>
  <c r="E123" i="37" s="1"/>
  <c r="F141" i="37"/>
  <c r="E146" i="37"/>
  <c r="F146" i="37"/>
  <c r="X5" i="37"/>
  <c r="AC27" i="37"/>
  <c r="K11" i="37"/>
  <c r="P11" i="37"/>
  <c r="E181" i="37"/>
  <c r="P62" i="37"/>
  <c r="T27" i="37"/>
  <c r="T76" i="37"/>
  <c r="AC58" i="37"/>
  <c r="X34" i="37"/>
  <c r="K62" i="37"/>
  <c r="X65" i="37"/>
  <c r="K76" i="37"/>
  <c r="K121" i="37"/>
  <c r="F118" i="37"/>
  <c r="J121" i="37"/>
  <c r="J143" i="37"/>
  <c r="K108" i="37"/>
  <c r="K116" i="37"/>
  <c r="K115" i="37" s="1"/>
  <c r="J105" i="37"/>
  <c r="E128" i="37"/>
  <c r="K128" i="37"/>
  <c r="K105" i="37"/>
  <c r="J107" i="37"/>
  <c r="K107" i="37"/>
  <c r="J137" i="37"/>
  <c r="J136" i="37" s="1"/>
  <c r="E136" i="37"/>
  <c r="J131" i="37"/>
  <c r="K143" i="37"/>
  <c r="K175" i="37"/>
  <c r="K180" i="37"/>
  <c r="K181" i="37" s="1"/>
  <c r="J120" i="37"/>
  <c r="E149" i="37"/>
  <c r="J150" i="37"/>
  <c r="J171" i="37"/>
  <c r="K120" i="37"/>
  <c r="J133" i="37"/>
  <c r="F149" i="37"/>
  <c r="K150" i="37"/>
  <c r="K171" i="37"/>
  <c r="J119" i="37"/>
  <c r="J130" i="37"/>
  <c r="J170" i="37"/>
  <c r="J142" i="37"/>
  <c r="K167" i="37"/>
  <c r="K142" i="37"/>
  <c r="K6" i="37" s="1"/>
  <c r="J180" i="37"/>
  <c r="J181" i="37" s="1"/>
  <c r="J184" i="37"/>
  <c r="J185" i="37" s="1"/>
  <c r="J147" i="37"/>
  <c r="J146" i="37" s="1"/>
  <c r="K184" i="37"/>
  <c r="K185" i="37" s="1"/>
  <c r="K147" i="37"/>
  <c r="K146" i="37" s="1"/>
  <c r="K170" i="37"/>
  <c r="K153" i="37"/>
  <c r="J161" i="37"/>
  <c r="J168" i="37"/>
  <c r="J176" i="37"/>
  <c r="G66" i="37"/>
  <c r="G60" i="37"/>
  <c r="G53" i="37"/>
  <c r="M62" i="37" l="1"/>
  <c r="AD25" i="37"/>
  <c r="G62" i="37"/>
  <c r="AD27" i="37"/>
  <c r="Y58" i="37"/>
  <c r="G55" i="37"/>
  <c r="Y11" i="37"/>
  <c r="AD57" i="37"/>
  <c r="G25" i="37"/>
  <c r="Y15" i="37"/>
  <c r="Y18" i="37" s="1"/>
  <c r="Y43" i="37"/>
  <c r="Z43" i="37" s="1"/>
  <c r="Y54" i="37"/>
  <c r="Y55" i="37" s="1"/>
  <c r="Q49" i="37"/>
  <c r="Q57" i="37" s="1"/>
  <c r="L46" i="37"/>
  <c r="L49" i="37" s="1"/>
  <c r="U76" i="37"/>
  <c r="U35" i="37"/>
  <c r="U59" i="37"/>
  <c r="G67" i="37"/>
  <c r="G76" i="37" s="1"/>
  <c r="L11" i="37"/>
  <c r="L12" i="37" s="1"/>
  <c r="Y21" i="37"/>
  <c r="Y179" i="37" s="1"/>
  <c r="Y181" i="37" s="1"/>
  <c r="Q27" i="37"/>
  <c r="Y60" i="37"/>
  <c r="Q62" i="37"/>
  <c r="Y73" i="37"/>
  <c r="Y76" i="37" s="1"/>
  <c r="G46" i="37"/>
  <c r="Y46" i="37"/>
  <c r="Z46" i="37" s="1"/>
  <c r="L18" i="37"/>
  <c r="L19" i="37" s="1"/>
  <c r="M14" i="37"/>
  <c r="Y32" i="37"/>
  <c r="Y34" i="37" s="1"/>
  <c r="Q34" i="37"/>
  <c r="G14" i="37"/>
  <c r="G18" i="37" s="1"/>
  <c r="G19" i="37" s="1"/>
  <c r="U56" i="37"/>
  <c r="U46" i="37"/>
  <c r="U49" i="37" s="1"/>
  <c r="U57" i="37" s="1"/>
  <c r="G21" i="37"/>
  <c r="G43" i="37"/>
  <c r="G58" i="37"/>
  <c r="Y24" i="37"/>
  <c r="Y183" i="37" s="1"/>
  <c r="Y185" i="37" s="1"/>
  <c r="L34" i="37"/>
  <c r="M32" i="37"/>
  <c r="Y61" i="37"/>
  <c r="L76" i="37"/>
  <c r="M76" i="37" s="1"/>
  <c r="G5" i="37"/>
  <c r="L55" i="37"/>
  <c r="T59" i="37"/>
  <c r="T57" i="37"/>
  <c r="AD12" i="37"/>
  <c r="G8" i="37"/>
  <c r="L166" i="37"/>
  <c r="L149" i="37"/>
  <c r="L155" i="37" s="1"/>
  <c r="L6" i="37"/>
  <c r="L118" i="37"/>
  <c r="L123" i="37" s="1"/>
  <c r="AD22" i="37"/>
  <c r="K141" i="37"/>
  <c r="AC12" i="37"/>
  <c r="G163" i="37"/>
  <c r="AD28" i="37"/>
  <c r="AD35" i="37"/>
  <c r="M27" i="37"/>
  <c r="K106" i="37"/>
  <c r="K28" i="37"/>
  <c r="E155" i="37"/>
  <c r="E163" i="37"/>
  <c r="X55" i="37"/>
  <c r="K101" i="37"/>
  <c r="J101" i="37"/>
  <c r="AC22" i="37"/>
  <c r="M18" i="37"/>
  <c r="X76" i="37"/>
  <c r="AC28" i="37"/>
  <c r="X11" i="37"/>
  <c r="X58" i="37"/>
  <c r="J149" i="37"/>
  <c r="J155" i="37" s="1"/>
  <c r="T35" i="37"/>
  <c r="X18" i="37"/>
  <c r="J106" i="37"/>
  <c r="P35" i="37"/>
  <c r="J118" i="37"/>
  <c r="J123" i="37" s="1"/>
  <c r="K23" i="37"/>
  <c r="T56" i="37"/>
  <c r="K35" i="37"/>
  <c r="AC35" i="37"/>
  <c r="K26" i="37"/>
  <c r="X27" i="37"/>
  <c r="X62" i="37"/>
  <c r="E139" i="37"/>
  <c r="J128" i="37"/>
  <c r="J159" i="37"/>
  <c r="F155" i="37"/>
  <c r="F123" i="37"/>
  <c r="K19" i="37"/>
  <c r="M11" i="37"/>
  <c r="K12" i="37"/>
  <c r="J166" i="37"/>
  <c r="K166" i="37"/>
  <c r="K118" i="37"/>
  <c r="K149" i="37"/>
  <c r="K155" i="37" s="1"/>
  <c r="K139" i="37"/>
  <c r="K22" i="37"/>
  <c r="K25" i="37"/>
  <c r="Y49" i="37" l="1"/>
  <c r="Z76" i="37"/>
  <c r="L57" i="37"/>
  <c r="L35" i="37"/>
  <c r="M35" i="37" s="1"/>
  <c r="U77" i="37"/>
  <c r="U80" i="37" s="1"/>
  <c r="U83" i="37" s="1"/>
  <c r="U84" i="37" s="1"/>
  <c r="U64" i="37"/>
  <c r="U69" i="37" s="1"/>
  <c r="Y62" i="37"/>
  <c r="Z62" i="37" s="1"/>
  <c r="G179" i="37"/>
  <c r="G181" i="37" s="1"/>
  <c r="G23" i="37" s="1"/>
  <c r="G27" i="37"/>
  <c r="G28" i="37" s="1"/>
  <c r="G22" i="37"/>
  <c r="G6" i="37"/>
  <c r="G11" i="37"/>
  <c r="G12" i="37" s="1"/>
  <c r="Q35" i="37"/>
  <c r="Y27" i="37"/>
  <c r="Y35" i="37" s="1"/>
  <c r="G49" i="37"/>
  <c r="G57" i="37" s="1"/>
  <c r="X57" i="37"/>
  <c r="Z55" i="37"/>
  <c r="L8" i="37"/>
  <c r="P77" i="37"/>
  <c r="P80" i="37" s="1"/>
  <c r="T77" i="37"/>
  <c r="T79" i="37" s="1"/>
  <c r="AD36" i="37"/>
  <c r="AD77" i="37"/>
  <c r="AD64" i="37"/>
  <c r="K77" i="37"/>
  <c r="K80" i="37" s="1"/>
  <c r="X35" i="37"/>
  <c r="T64" i="37"/>
  <c r="T69" i="37" s="1"/>
  <c r="K64" i="37"/>
  <c r="AC77" i="37"/>
  <c r="AC79" i="37" s="1"/>
  <c r="K8" i="37"/>
  <c r="K36" i="37"/>
  <c r="K37" i="37" s="1"/>
  <c r="P64" i="37"/>
  <c r="P69" i="37" s="1"/>
  <c r="AC64" i="37"/>
  <c r="AC36" i="37"/>
  <c r="AC37" i="37" s="1"/>
  <c r="K123" i="37"/>
  <c r="J139" i="37"/>
  <c r="K87" i="37" l="1"/>
  <c r="Y57" i="37"/>
  <c r="Z49" i="37"/>
  <c r="Z57" i="37"/>
  <c r="U82" i="37"/>
  <c r="U85" i="37"/>
  <c r="U109" i="37" s="1"/>
  <c r="L64" i="37"/>
  <c r="L36" i="37"/>
  <c r="U86" i="37"/>
  <c r="U110" i="37" s="1"/>
  <c r="L77" i="37"/>
  <c r="U79" i="37"/>
  <c r="G35" i="37"/>
  <c r="Y64" i="37"/>
  <c r="Y69" i="37" s="1"/>
  <c r="Y77" i="37"/>
  <c r="Q64" i="37"/>
  <c r="Q69" i="37" s="1"/>
  <c r="Q77" i="37"/>
  <c r="T80" i="37"/>
  <c r="T83" i="37" s="1"/>
  <c r="P79" i="37"/>
  <c r="AD80" i="37"/>
  <c r="AD79" i="37"/>
  <c r="AD37" i="37"/>
  <c r="AD38" i="37"/>
  <c r="K79" i="37"/>
  <c r="AC38" i="37"/>
  <c r="K69" i="37"/>
  <c r="AC80" i="37"/>
  <c r="AC83" i="37" s="1"/>
  <c r="K83" i="37"/>
  <c r="K82" i="37"/>
  <c r="K38" i="37"/>
  <c r="X64" i="37"/>
  <c r="P83" i="37"/>
  <c r="P82" i="37"/>
  <c r="X77" i="37"/>
  <c r="L69" i="37" l="1"/>
  <c r="M64" i="37"/>
  <c r="L37" i="37"/>
  <c r="M36" i="37"/>
  <c r="L80" i="37"/>
  <c r="M80" i="37" s="1"/>
  <c r="M77" i="37"/>
  <c r="Z64" i="37"/>
  <c r="L38" i="37"/>
  <c r="L79" i="37"/>
  <c r="Z77" i="37"/>
  <c r="Q79" i="37"/>
  <c r="Q80" i="37"/>
  <c r="Y80" i="37"/>
  <c r="Y79" i="37"/>
  <c r="G77" i="37"/>
  <c r="G64" i="37"/>
  <c r="G69" i="37" s="1"/>
  <c r="G36" i="37"/>
  <c r="L82" i="37"/>
  <c r="T82" i="37"/>
  <c r="AD83" i="37"/>
  <c r="AD84" i="37" s="1"/>
  <c r="AD82" i="37"/>
  <c r="AC82" i="37"/>
  <c r="J110" i="37"/>
  <c r="J109" i="37"/>
  <c r="X69" i="37"/>
  <c r="P85" i="37"/>
  <c r="P109" i="37" s="1"/>
  <c r="P86" i="37"/>
  <c r="P110" i="37" s="1"/>
  <c r="K86" i="37"/>
  <c r="K110" i="37" s="1"/>
  <c r="K85" i="37"/>
  <c r="K109" i="37" s="1"/>
  <c r="X80" i="37"/>
  <c r="X79" i="37"/>
  <c r="T86" i="37"/>
  <c r="T110" i="37" s="1"/>
  <c r="T85" i="37"/>
  <c r="T109" i="37" s="1"/>
  <c r="W184" i="24"/>
  <c r="W180" i="24"/>
  <c r="W176" i="24"/>
  <c r="W175" i="24"/>
  <c r="W171" i="24"/>
  <c r="W170" i="24"/>
  <c r="W168" i="24"/>
  <c r="W167" i="24"/>
  <c r="W161" i="24"/>
  <c r="W160" i="24"/>
  <c r="W153" i="24"/>
  <c r="W152" i="24"/>
  <c r="W151" i="24"/>
  <c r="W150" i="24"/>
  <c r="W147" i="24"/>
  <c r="W143" i="24"/>
  <c r="W142" i="24"/>
  <c r="W137" i="24"/>
  <c r="W134" i="24"/>
  <c r="W133" i="24"/>
  <c r="W132" i="24"/>
  <c r="W131" i="24"/>
  <c r="W130" i="24"/>
  <c r="W129" i="24"/>
  <c r="W121" i="24"/>
  <c r="W120" i="24"/>
  <c r="W119" i="24"/>
  <c r="W116" i="24"/>
  <c r="W108" i="24"/>
  <c r="W107" i="24"/>
  <c r="W105" i="24"/>
  <c r="W103" i="24"/>
  <c r="W102" i="24"/>
  <c r="W100" i="24"/>
  <c r="F184" i="33"/>
  <c r="H180" i="33"/>
  <c r="F180" i="33"/>
  <c r="H176" i="33"/>
  <c r="F176" i="33"/>
  <c r="H175" i="33"/>
  <c r="F175" i="33"/>
  <c r="H171" i="33"/>
  <c r="F171" i="33"/>
  <c r="H170" i="33"/>
  <c r="F170" i="33"/>
  <c r="H168" i="33"/>
  <c r="F168" i="33"/>
  <c r="H167" i="33"/>
  <c r="F167" i="33"/>
  <c r="H161" i="33"/>
  <c r="F161" i="33"/>
  <c r="H160" i="33"/>
  <c r="F160" i="33"/>
  <c r="H153" i="33"/>
  <c r="F153" i="33"/>
  <c r="H152" i="33"/>
  <c r="F152" i="33"/>
  <c r="H151" i="33"/>
  <c r="F151" i="33"/>
  <c r="H150" i="33"/>
  <c r="F150" i="33"/>
  <c r="H147" i="33"/>
  <c r="F147" i="33"/>
  <c r="H143" i="33"/>
  <c r="F143" i="33"/>
  <c r="H142" i="33"/>
  <c r="F142" i="33"/>
  <c r="H137" i="33"/>
  <c r="F137" i="33"/>
  <c r="H134" i="33"/>
  <c r="F134" i="33"/>
  <c r="H133" i="33"/>
  <c r="F133" i="33"/>
  <c r="H132" i="33"/>
  <c r="F132" i="33"/>
  <c r="H131" i="33"/>
  <c r="F131" i="33"/>
  <c r="H130" i="33"/>
  <c r="F130" i="33"/>
  <c r="H129" i="33"/>
  <c r="F129" i="33"/>
  <c r="H121" i="33"/>
  <c r="G121" i="33"/>
  <c r="F121" i="33"/>
  <c r="E121" i="33"/>
  <c r="H120" i="33"/>
  <c r="G120" i="33"/>
  <c r="F120" i="33"/>
  <c r="E120" i="33"/>
  <c r="H119" i="33"/>
  <c r="G119" i="33"/>
  <c r="F119" i="33"/>
  <c r="E119" i="33"/>
  <c r="H116" i="33"/>
  <c r="G116" i="33"/>
  <c r="F116" i="33"/>
  <c r="E116" i="33"/>
  <c r="H108" i="33"/>
  <c r="G108" i="33"/>
  <c r="F108" i="33"/>
  <c r="E108" i="33"/>
  <c r="H107" i="33"/>
  <c r="G107" i="33"/>
  <c r="F107" i="33"/>
  <c r="E107" i="33"/>
  <c r="H105" i="33"/>
  <c r="G105" i="33"/>
  <c r="F105" i="33"/>
  <c r="E105" i="33"/>
  <c r="H103" i="33"/>
  <c r="G103" i="33"/>
  <c r="F103" i="33"/>
  <c r="E103" i="33"/>
  <c r="H102" i="33"/>
  <c r="G102" i="33"/>
  <c r="F102" i="33"/>
  <c r="E102" i="33"/>
  <c r="H100" i="33"/>
  <c r="G100" i="33"/>
  <c r="F100" i="33"/>
  <c r="E100" i="33"/>
  <c r="F92" i="33"/>
  <c r="F93" i="33"/>
  <c r="F94" i="33"/>
  <c r="H94" i="33"/>
  <c r="F95" i="33"/>
  <c r="H95" i="33"/>
  <c r="F91" i="33"/>
  <c r="L83" i="37" l="1"/>
  <c r="M83" i="37" s="1"/>
  <c r="L87" i="37"/>
  <c r="Z80" i="37"/>
  <c r="G38" i="37"/>
  <c r="G37" i="37"/>
  <c r="G80" i="37"/>
  <c r="G79" i="37"/>
  <c r="Y83" i="37"/>
  <c r="Y82" i="37"/>
  <c r="Q83" i="37"/>
  <c r="Q82" i="37"/>
  <c r="X83" i="37"/>
  <c r="X82" i="37"/>
  <c r="E110" i="37"/>
  <c r="E109" i="37"/>
  <c r="E90" i="37"/>
  <c r="L84" i="37" l="1"/>
  <c r="L85" i="37"/>
  <c r="L109" i="37" s="1"/>
  <c r="L86" i="37"/>
  <c r="L110" i="37" s="1"/>
  <c r="Y84" i="37"/>
  <c r="Y85" i="37"/>
  <c r="Y109" i="37" s="1"/>
  <c r="Y86" i="37"/>
  <c r="Y110" i="37" s="1"/>
  <c r="G83" i="37"/>
  <c r="G82" i="37"/>
  <c r="Q84" i="37"/>
  <c r="Q86" i="37"/>
  <c r="Q110" i="37" s="1"/>
  <c r="Q85" i="37"/>
  <c r="Q109" i="37" s="1"/>
  <c r="Z83" i="37"/>
  <c r="X84" i="37"/>
  <c r="X86" i="37"/>
  <c r="X110" i="37" s="1"/>
  <c r="X85" i="37"/>
  <c r="X109" i="37" s="1"/>
  <c r="BN81" i="24"/>
  <c r="AS81" i="24"/>
  <c r="AI81" i="24"/>
  <c r="X81" i="24"/>
  <c r="M81" i="24"/>
  <c r="BN78" i="24"/>
  <c r="AS78" i="24"/>
  <c r="AI78" i="24"/>
  <c r="X78" i="24"/>
  <c r="M78" i="24"/>
  <c r="BN75" i="24"/>
  <c r="AS75" i="24"/>
  <c r="AI75" i="24"/>
  <c r="X75" i="24"/>
  <c r="M75" i="24"/>
  <c r="BN74" i="24"/>
  <c r="AS74" i="24"/>
  <c r="AI74" i="24"/>
  <c r="X74" i="24"/>
  <c r="M74" i="24"/>
  <c r="BN73" i="24"/>
  <c r="AS73" i="24"/>
  <c r="AI73" i="24"/>
  <c r="X73" i="24"/>
  <c r="M73" i="24"/>
  <c r="BN72" i="24"/>
  <c r="AS72" i="24"/>
  <c r="AI72" i="24"/>
  <c r="X72" i="24"/>
  <c r="M72" i="24"/>
  <c r="BN71" i="24"/>
  <c r="AS71" i="24"/>
  <c r="AI71" i="24"/>
  <c r="X71" i="24"/>
  <c r="M71" i="24"/>
  <c r="BN70" i="24"/>
  <c r="AS70" i="24"/>
  <c r="AI70" i="24"/>
  <c r="X70" i="24"/>
  <c r="M70" i="24"/>
  <c r="BN68" i="24"/>
  <c r="AS68" i="24"/>
  <c r="AI68" i="24"/>
  <c r="X68" i="24"/>
  <c r="M68" i="24"/>
  <c r="BN67" i="24"/>
  <c r="AS67" i="24"/>
  <c r="AI67" i="24"/>
  <c r="X67" i="24"/>
  <c r="M67" i="24"/>
  <c r="BN66" i="24"/>
  <c r="AS66" i="24"/>
  <c r="AI66" i="24"/>
  <c r="X66" i="24"/>
  <c r="M66" i="24"/>
  <c r="BN61" i="24"/>
  <c r="AS61" i="24"/>
  <c r="AI61" i="24"/>
  <c r="X61" i="24"/>
  <c r="M61" i="24"/>
  <c r="BN60" i="24"/>
  <c r="AS60" i="24"/>
  <c r="AI60" i="24"/>
  <c r="X60" i="24"/>
  <c r="M60" i="24"/>
  <c r="BN54" i="24"/>
  <c r="AS54" i="24"/>
  <c r="AI54" i="24"/>
  <c r="X54" i="24"/>
  <c r="M54" i="24"/>
  <c r="BN53" i="24"/>
  <c r="AS53" i="24"/>
  <c r="AI53" i="24"/>
  <c r="X53" i="24"/>
  <c r="M53" i="24"/>
  <c r="BN51" i="24"/>
  <c r="AS51" i="24"/>
  <c r="AI51" i="24"/>
  <c r="X51" i="24"/>
  <c r="M51" i="24"/>
  <c r="BN48" i="24"/>
  <c r="AS48" i="24"/>
  <c r="AI48" i="24"/>
  <c r="X48" i="24"/>
  <c r="M48" i="24"/>
  <c r="BN47" i="24"/>
  <c r="AS47" i="24"/>
  <c r="AI47" i="24"/>
  <c r="X47" i="24"/>
  <c r="M47" i="24"/>
  <c r="BN45" i="24"/>
  <c r="BJ45" i="24"/>
  <c r="AS45" i="24"/>
  <c r="AO45" i="24"/>
  <c r="AI45" i="24"/>
  <c r="AE45" i="24"/>
  <c r="X45" i="24"/>
  <c r="T45" i="24"/>
  <c r="M45" i="24"/>
  <c r="BN44" i="24"/>
  <c r="AS44" i="24"/>
  <c r="AI44" i="24"/>
  <c r="X44" i="24"/>
  <c r="M44" i="24"/>
  <c r="BN42" i="24"/>
  <c r="AS42" i="24"/>
  <c r="AI42" i="24"/>
  <c r="X42" i="24"/>
  <c r="M42" i="24"/>
  <c r="BN41" i="24"/>
  <c r="AS41" i="24"/>
  <c r="AI41" i="24"/>
  <c r="X41" i="24"/>
  <c r="M41" i="24"/>
  <c r="BN33" i="24"/>
  <c r="AS33" i="24"/>
  <c r="AI33" i="24"/>
  <c r="X33" i="24"/>
  <c r="M33" i="24"/>
  <c r="BN32" i="24"/>
  <c r="BJ32" i="24"/>
  <c r="AS32" i="24"/>
  <c r="AO32" i="24"/>
  <c r="AI32" i="24"/>
  <c r="AE32" i="24"/>
  <c r="X32" i="24"/>
  <c r="T32" i="24"/>
  <c r="M32" i="24"/>
  <c r="BN30" i="24"/>
  <c r="AS30" i="24"/>
  <c r="AI30" i="24"/>
  <c r="X30" i="24"/>
  <c r="M30" i="24"/>
  <c r="BN24" i="24"/>
  <c r="BN183" i="24" s="1"/>
  <c r="BN185" i="24" s="1"/>
  <c r="AS24" i="24"/>
  <c r="AS183" i="24" s="1"/>
  <c r="AS185" i="24" s="1"/>
  <c r="AI24" i="24"/>
  <c r="AI183" i="24" s="1"/>
  <c r="AI185" i="24" s="1"/>
  <c r="X24" i="24"/>
  <c r="M24" i="24"/>
  <c r="BN21" i="24"/>
  <c r="BN179" i="24" s="1"/>
  <c r="BN181" i="24" s="1"/>
  <c r="AS21" i="24"/>
  <c r="AS179" i="24" s="1"/>
  <c r="AS181" i="24" s="1"/>
  <c r="AI21" i="24"/>
  <c r="AI179" i="24" s="1"/>
  <c r="AI181" i="24" s="1"/>
  <c r="X21" i="24"/>
  <c r="M21" i="24"/>
  <c r="BN17" i="24"/>
  <c r="AS17" i="24"/>
  <c r="AI17" i="24"/>
  <c r="X17" i="24"/>
  <c r="M17" i="24"/>
  <c r="BN16" i="24"/>
  <c r="AS16" i="24"/>
  <c r="AI16" i="24"/>
  <c r="X16" i="24"/>
  <c r="M16" i="24"/>
  <c r="BN15" i="24"/>
  <c r="AS15" i="24"/>
  <c r="AI15" i="24"/>
  <c r="X15" i="24"/>
  <c r="M15" i="24"/>
  <c r="BN14" i="24"/>
  <c r="AS14" i="24"/>
  <c r="AI14" i="24"/>
  <c r="X14" i="24"/>
  <c r="M14" i="24"/>
  <c r="BN10" i="24"/>
  <c r="AS10" i="24"/>
  <c r="AI10" i="24"/>
  <c r="X10" i="24"/>
  <c r="M10" i="24"/>
  <c r="BN9" i="24"/>
  <c r="AS9" i="24"/>
  <c r="AI9" i="24"/>
  <c r="X9" i="24"/>
  <c r="M9" i="24"/>
  <c r="BN7" i="24"/>
  <c r="AS7" i="24"/>
  <c r="AI7" i="24"/>
  <c r="X7" i="24"/>
  <c r="M7" i="24"/>
  <c r="BN5" i="24"/>
  <c r="AS5" i="24"/>
  <c r="AI5" i="24"/>
  <c r="X5" i="24"/>
  <c r="M5" i="24"/>
  <c r="G84" i="37" l="1"/>
  <c r="G85" i="37"/>
  <c r="G109" i="37" s="1"/>
  <c r="G86" i="37"/>
  <c r="G110" i="37" s="1"/>
  <c r="G90" i="37"/>
  <c r="BC66" i="24"/>
  <c r="BC71" i="24"/>
  <c r="BC81" i="24"/>
  <c r="BC75" i="24"/>
  <c r="BC78" i="24"/>
  <c r="BC74" i="24"/>
  <c r="BC67" i="24"/>
  <c r="BC73" i="24"/>
  <c r="BC54" i="24"/>
  <c r="BC17" i="24"/>
  <c r="BC10" i="24"/>
  <c r="BC44" i="24"/>
  <c r="BC51" i="24"/>
  <c r="BC70" i="24"/>
  <c r="BC32" i="24"/>
  <c r="BC72" i="24"/>
  <c r="BC9" i="24"/>
  <c r="BC42" i="24"/>
  <c r="BC68" i="24"/>
  <c r="BC47" i="24"/>
  <c r="BC45" i="24"/>
  <c r="BC60" i="24"/>
  <c r="AY45" i="24"/>
  <c r="BC61" i="24"/>
  <c r="BC7" i="24"/>
  <c r="BC15" i="24"/>
  <c r="BC24" i="24"/>
  <c r="BC183" i="24" s="1"/>
  <c r="BC185" i="24" s="1"/>
  <c r="BC33" i="24"/>
  <c r="BC41" i="24"/>
  <c r="BC14" i="24"/>
  <c r="BC21" i="24"/>
  <c r="BC179" i="24" s="1"/>
  <c r="BC181" i="24" s="1"/>
  <c r="BC53" i="24"/>
  <c r="BC16" i="24"/>
  <c r="BC30" i="24"/>
  <c r="BC48" i="24"/>
  <c r="AY32" i="24"/>
  <c r="BM3" i="24"/>
  <c r="BN3" i="24"/>
  <c r="BN18" i="24"/>
  <c r="BN34" i="24"/>
  <c r="BN43" i="24"/>
  <c r="BN46" i="24"/>
  <c r="BN55" i="24"/>
  <c r="BN62" i="24"/>
  <c r="BN6" i="24"/>
  <c r="BB3" i="24"/>
  <c r="BC3" i="24"/>
  <c r="BC5" i="24"/>
  <c r="AR3" i="24"/>
  <c r="AS3" i="24"/>
  <c r="AS11" i="24"/>
  <c r="AS18" i="24"/>
  <c r="AS27" i="24"/>
  <c r="AS34" i="24"/>
  <c r="AS43" i="24"/>
  <c r="AS46" i="24"/>
  <c r="AS55" i="24"/>
  <c r="AS62" i="24"/>
  <c r="AH3" i="24"/>
  <c r="AI3" i="24"/>
  <c r="AI11" i="24"/>
  <c r="AI18" i="24"/>
  <c r="AI34" i="24"/>
  <c r="AI43" i="24"/>
  <c r="AI46" i="24"/>
  <c r="AI55" i="24"/>
  <c r="AI62" i="24"/>
  <c r="W3" i="24"/>
  <c r="X3" i="24"/>
  <c r="X11" i="24"/>
  <c r="X18" i="24"/>
  <c r="X34" i="24"/>
  <c r="X43" i="24"/>
  <c r="X46" i="24"/>
  <c r="X55" i="24"/>
  <c r="X62" i="24"/>
  <c r="W115" i="24"/>
  <c r="X115" i="24"/>
  <c r="W136" i="24"/>
  <c r="X136" i="24"/>
  <c r="X6" i="24"/>
  <c r="W159" i="24"/>
  <c r="X159" i="24"/>
  <c r="X179" i="24"/>
  <c r="M6" i="24"/>
  <c r="M11" i="24"/>
  <c r="M12" i="24" s="1"/>
  <c r="M18" i="24"/>
  <c r="M34" i="24"/>
  <c r="M43" i="24"/>
  <c r="M46" i="24"/>
  <c r="M55" i="24"/>
  <c r="M58" i="24"/>
  <c r="M62" i="24"/>
  <c r="L101" i="24"/>
  <c r="M101" i="24"/>
  <c r="L106" i="24"/>
  <c r="M106" i="24"/>
  <c r="L113" i="24"/>
  <c r="M113" i="24"/>
  <c r="L115" i="24"/>
  <c r="M115" i="24"/>
  <c r="L118" i="24"/>
  <c r="M118" i="24"/>
  <c r="L128" i="24"/>
  <c r="M128" i="24"/>
  <c r="L136" i="24"/>
  <c r="M136" i="24"/>
  <c r="L141" i="24"/>
  <c r="M141" i="24"/>
  <c r="L145" i="24"/>
  <c r="M145" i="24"/>
  <c r="L146" i="24"/>
  <c r="M146" i="24"/>
  <c r="L149" i="24"/>
  <c r="M149" i="24"/>
  <c r="L158" i="24"/>
  <c r="M158" i="24"/>
  <c r="L159" i="24"/>
  <c r="L164" i="24" s="1"/>
  <c r="M159" i="24"/>
  <c r="L166" i="24"/>
  <c r="M166" i="24"/>
  <c r="M179" i="24"/>
  <c r="M181" i="24" s="1"/>
  <c r="M183" i="24"/>
  <c r="G185" i="33"/>
  <c r="E185" i="33"/>
  <c r="AJ184" i="33"/>
  <c r="AH184" i="33"/>
  <c r="AC184" i="33"/>
  <c r="AA184" i="33"/>
  <c r="X184" i="33"/>
  <c r="V184" i="33"/>
  <c r="S184" i="33"/>
  <c r="Q184" i="33"/>
  <c r="M184" i="33"/>
  <c r="K184" i="33"/>
  <c r="AB184" i="33"/>
  <c r="AJ183" i="33"/>
  <c r="AH183" i="33"/>
  <c r="AC183" i="33"/>
  <c r="AA183" i="33"/>
  <c r="X183" i="33"/>
  <c r="V183" i="33"/>
  <c r="S183" i="33"/>
  <c r="Q183" i="33"/>
  <c r="M183" i="33"/>
  <c r="K183" i="33"/>
  <c r="G181" i="33"/>
  <c r="E181" i="33"/>
  <c r="AJ180" i="33"/>
  <c r="AH180" i="33"/>
  <c r="AC180" i="33"/>
  <c r="AA180" i="33"/>
  <c r="X180" i="33"/>
  <c r="V180" i="33"/>
  <c r="S180" i="33"/>
  <c r="Q180" i="33"/>
  <c r="M180" i="33"/>
  <c r="K180" i="33"/>
  <c r="AK180" i="33"/>
  <c r="AB180" i="33"/>
  <c r="AJ179" i="33"/>
  <c r="AH179" i="33"/>
  <c r="AC179" i="33"/>
  <c r="AA179" i="33"/>
  <c r="X179" i="33"/>
  <c r="V179" i="33"/>
  <c r="S179" i="33"/>
  <c r="Q179" i="33"/>
  <c r="M179" i="33"/>
  <c r="K179" i="33"/>
  <c r="AJ176" i="33"/>
  <c r="AH176" i="33"/>
  <c r="AC176" i="33"/>
  <c r="AA176" i="33"/>
  <c r="X176" i="33"/>
  <c r="V176" i="33"/>
  <c r="S176" i="33"/>
  <c r="Q176" i="33"/>
  <c r="M176" i="33"/>
  <c r="K176" i="33"/>
  <c r="AD176" i="33"/>
  <c r="AB176" i="33"/>
  <c r="AJ175" i="33"/>
  <c r="AH175" i="33"/>
  <c r="AC175" i="33"/>
  <c r="AA175" i="33"/>
  <c r="X175" i="33"/>
  <c r="V175" i="33"/>
  <c r="S175" i="33"/>
  <c r="Q175" i="33"/>
  <c r="M175" i="33"/>
  <c r="K175" i="33"/>
  <c r="AD175" i="33"/>
  <c r="AI175" i="33"/>
  <c r="AJ171" i="33"/>
  <c r="AH171" i="33"/>
  <c r="AC171" i="33"/>
  <c r="AA171" i="33"/>
  <c r="X171" i="33"/>
  <c r="V171" i="33"/>
  <c r="S171" i="33"/>
  <c r="Q171" i="33"/>
  <c r="M171" i="33"/>
  <c r="K171" i="33"/>
  <c r="N171" i="33"/>
  <c r="AI171" i="33"/>
  <c r="AJ170" i="33"/>
  <c r="AH170" i="33"/>
  <c r="AC170" i="33"/>
  <c r="AA170" i="33"/>
  <c r="X170" i="33"/>
  <c r="V170" i="33"/>
  <c r="S170" i="33"/>
  <c r="Q170" i="33"/>
  <c r="M170" i="33"/>
  <c r="K170" i="33"/>
  <c r="AK170" i="33"/>
  <c r="L170" i="33"/>
  <c r="AJ168" i="33"/>
  <c r="AH168" i="33"/>
  <c r="AC168" i="33"/>
  <c r="AA168" i="33"/>
  <c r="X168" i="33"/>
  <c r="V168" i="33"/>
  <c r="S168" i="33"/>
  <c r="Q168" i="33"/>
  <c r="M168" i="33"/>
  <c r="K168" i="33"/>
  <c r="AD168" i="33"/>
  <c r="AB168" i="33"/>
  <c r="AJ167" i="33"/>
  <c r="AH167" i="33"/>
  <c r="AC167" i="33"/>
  <c r="AA167" i="33"/>
  <c r="X167" i="33"/>
  <c r="V167" i="33"/>
  <c r="S167" i="33"/>
  <c r="Q167" i="33"/>
  <c r="M167" i="33"/>
  <c r="K167" i="33"/>
  <c r="AD167" i="33"/>
  <c r="AI167" i="33"/>
  <c r="G166" i="33"/>
  <c r="E166" i="33"/>
  <c r="AJ161" i="33"/>
  <c r="AH161" i="33"/>
  <c r="AC161" i="33"/>
  <c r="AA161" i="33"/>
  <c r="X161" i="33"/>
  <c r="V161" i="33"/>
  <c r="S161" i="33"/>
  <c r="Q161" i="33"/>
  <c r="M161" i="33"/>
  <c r="K161" i="33"/>
  <c r="N161" i="33"/>
  <c r="L161" i="33"/>
  <c r="AJ160" i="33"/>
  <c r="AH160" i="33"/>
  <c r="AC160" i="33"/>
  <c r="AA160" i="33"/>
  <c r="X160" i="33"/>
  <c r="V160" i="33"/>
  <c r="S160" i="33"/>
  <c r="Q160" i="33"/>
  <c r="M160" i="33"/>
  <c r="K160" i="33"/>
  <c r="N160" i="33"/>
  <c r="L160" i="33"/>
  <c r="G159" i="33"/>
  <c r="E159" i="33"/>
  <c r="AJ153" i="33"/>
  <c r="AH153" i="33"/>
  <c r="AC153" i="33"/>
  <c r="AA153" i="33"/>
  <c r="X153" i="33"/>
  <c r="V153" i="33"/>
  <c r="S153" i="33"/>
  <c r="Q153" i="33"/>
  <c r="M153" i="33"/>
  <c r="K153" i="33"/>
  <c r="AK153" i="33"/>
  <c r="AI153" i="33"/>
  <c r="AJ152" i="33"/>
  <c r="AH152" i="33"/>
  <c r="AC152" i="33"/>
  <c r="AA152" i="33"/>
  <c r="X152" i="33"/>
  <c r="V152" i="33"/>
  <c r="S152" i="33"/>
  <c r="Q152" i="33"/>
  <c r="M152" i="33"/>
  <c r="K152" i="33"/>
  <c r="AD152" i="33"/>
  <c r="AB152" i="33"/>
  <c r="AJ151" i="33"/>
  <c r="AH151" i="33"/>
  <c r="AC151" i="33"/>
  <c r="AA151" i="33"/>
  <c r="X151" i="33"/>
  <c r="V151" i="33"/>
  <c r="S151" i="33"/>
  <c r="Q151" i="33"/>
  <c r="M151" i="33"/>
  <c r="K151" i="33"/>
  <c r="AK151" i="33"/>
  <c r="AI151" i="33"/>
  <c r="AJ150" i="33"/>
  <c r="AH150" i="33"/>
  <c r="AC150" i="33"/>
  <c r="AA150" i="33"/>
  <c r="X150" i="33"/>
  <c r="V150" i="33"/>
  <c r="S150" i="33"/>
  <c r="Q150" i="33"/>
  <c r="M150" i="33"/>
  <c r="K150" i="33"/>
  <c r="N150" i="33"/>
  <c r="AI150" i="33"/>
  <c r="E149" i="33"/>
  <c r="AJ147" i="33"/>
  <c r="AJ146" i="33" s="1"/>
  <c r="AH147" i="33"/>
  <c r="AH146" i="33" s="1"/>
  <c r="AC147" i="33"/>
  <c r="AC146" i="33" s="1"/>
  <c r="AA147" i="33"/>
  <c r="AA146" i="33" s="1"/>
  <c r="X147" i="33"/>
  <c r="X146" i="33" s="1"/>
  <c r="V147" i="33"/>
  <c r="V146" i="33" s="1"/>
  <c r="S147" i="33"/>
  <c r="S146" i="33" s="1"/>
  <c r="Q147" i="33"/>
  <c r="Q146" i="33" s="1"/>
  <c r="M147" i="33"/>
  <c r="M146" i="33" s="1"/>
  <c r="K147" i="33"/>
  <c r="K146" i="33" s="1"/>
  <c r="AK147" i="33"/>
  <c r="AK146" i="33" s="1"/>
  <c r="AI147" i="33"/>
  <c r="AI146" i="33" s="1"/>
  <c r="E146" i="33"/>
  <c r="AJ143" i="33"/>
  <c r="AH143" i="33"/>
  <c r="AC143" i="33"/>
  <c r="AA143" i="33"/>
  <c r="X143" i="33"/>
  <c r="V143" i="33"/>
  <c r="S143" i="33"/>
  <c r="Q143" i="33"/>
  <c r="M143" i="33"/>
  <c r="K143" i="33"/>
  <c r="Y143" i="33"/>
  <c r="AI143" i="33"/>
  <c r="AJ142" i="33"/>
  <c r="AH142" i="33"/>
  <c r="AC142" i="33"/>
  <c r="AA142" i="33"/>
  <c r="X142" i="33"/>
  <c r="V142" i="33"/>
  <c r="S142" i="33"/>
  <c r="Q142" i="33"/>
  <c r="M142" i="33"/>
  <c r="K142" i="33"/>
  <c r="AK142" i="33"/>
  <c r="AI142" i="33"/>
  <c r="E141" i="33"/>
  <c r="AJ137" i="33"/>
  <c r="AJ136" i="33" s="1"/>
  <c r="AH137" i="33"/>
  <c r="AH136" i="33" s="1"/>
  <c r="AC137" i="33"/>
  <c r="AC136" i="33" s="1"/>
  <c r="AA137" i="33"/>
  <c r="AA136" i="33" s="1"/>
  <c r="X137" i="33"/>
  <c r="X136" i="33" s="1"/>
  <c r="V137" i="33"/>
  <c r="V136" i="33" s="1"/>
  <c r="S137" i="33"/>
  <c r="S136" i="33" s="1"/>
  <c r="Q137" i="33"/>
  <c r="Q136" i="33" s="1"/>
  <c r="M137" i="33"/>
  <c r="M136" i="33" s="1"/>
  <c r="K137" i="33"/>
  <c r="K136" i="33" s="1"/>
  <c r="Y137" i="33"/>
  <c r="Y136" i="33" s="1"/>
  <c r="F136" i="33"/>
  <c r="E136" i="33"/>
  <c r="AJ134" i="33"/>
  <c r="AH134" i="33"/>
  <c r="AC134" i="33"/>
  <c r="AA134" i="33"/>
  <c r="X134" i="33"/>
  <c r="V134" i="33"/>
  <c r="S134" i="33"/>
  <c r="Q134" i="33"/>
  <c r="M134" i="33"/>
  <c r="K134" i="33"/>
  <c r="AK134" i="33"/>
  <c r="L134" i="33"/>
  <c r="AJ133" i="33"/>
  <c r="AH133" i="33"/>
  <c r="AC133" i="33"/>
  <c r="AA133" i="33"/>
  <c r="X133" i="33"/>
  <c r="V133" i="33"/>
  <c r="S133" i="33"/>
  <c r="Q133" i="33"/>
  <c r="M133" i="33"/>
  <c r="K133" i="33"/>
  <c r="AI133" i="33"/>
  <c r="AJ132" i="33"/>
  <c r="AH132" i="33"/>
  <c r="AC132" i="33"/>
  <c r="AA132" i="33"/>
  <c r="X132" i="33"/>
  <c r="V132" i="33"/>
  <c r="S132" i="33"/>
  <c r="Q132" i="33"/>
  <c r="M132" i="33"/>
  <c r="K132" i="33"/>
  <c r="AI132" i="33"/>
  <c r="AJ131" i="33"/>
  <c r="AH131" i="33"/>
  <c r="AC131" i="33"/>
  <c r="AA131" i="33"/>
  <c r="X131" i="33"/>
  <c r="V131" i="33"/>
  <c r="S131" i="33"/>
  <c r="Q131" i="33"/>
  <c r="M131" i="33"/>
  <c r="K131" i="33"/>
  <c r="AD131" i="33"/>
  <c r="L131" i="33"/>
  <c r="AJ130" i="33"/>
  <c r="AH130" i="33"/>
  <c r="AC130" i="33"/>
  <c r="AA130" i="33"/>
  <c r="X130" i="33"/>
  <c r="V130" i="33"/>
  <c r="S130" i="33"/>
  <c r="Q130" i="33"/>
  <c r="M130" i="33"/>
  <c r="K130" i="33"/>
  <c r="AK130" i="33"/>
  <c r="AI130" i="33"/>
  <c r="AJ129" i="33"/>
  <c r="AH129" i="33"/>
  <c r="AC129" i="33"/>
  <c r="AA129" i="33"/>
  <c r="X129" i="33"/>
  <c r="V129" i="33"/>
  <c r="S129" i="33"/>
  <c r="Q129" i="33"/>
  <c r="M129" i="33"/>
  <c r="K129" i="33"/>
  <c r="AD129" i="33"/>
  <c r="AB129" i="33"/>
  <c r="E128" i="33"/>
  <c r="AK121" i="33"/>
  <c r="W121" i="33"/>
  <c r="AA121" i="33"/>
  <c r="AJ120" i="33"/>
  <c r="L120" i="33"/>
  <c r="AA120" i="33"/>
  <c r="AD119" i="33"/>
  <c r="AJ119" i="33"/>
  <c r="AI119" i="33"/>
  <c r="Y116" i="33"/>
  <c r="Y115" i="33" s="1"/>
  <c r="AJ116" i="33"/>
  <c r="AJ115" i="33" s="1"/>
  <c r="F115" i="33"/>
  <c r="AH116" i="33"/>
  <c r="AH115" i="33" s="1"/>
  <c r="AK110" i="33"/>
  <c r="AJ110" i="33"/>
  <c r="AI110" i="33"/>
  <c r="AH110" i="33"/>
  <c r="AC110" i="33"/>
  <c r="AA110" i="33"/>
  <c r="X110" i="33"/>
  <c r="V110" i="33"/>
  <c r="S110" i="33"/>
  <c r="Q110" i="33"/>
  <c r="M110" i="33"/>
  <c r="K110" i="33"/>
  <c r="G110" i="33"/>
  <c r="AK109" i="33"/>
  <c r="AJ109" i="33"/>
  <c r="AI109" i="33"/>
  <c r="AH109" i="33"/>
  <c r="AC109" i="33"/>
  <c r="AA109" i="33"/>
  <c r="X109" i="33"/>
  <c r="V109" i="33"/>
  <c r="S109" i="33"/>
  <c r="Q109" i="33"/>
  <c r="M109" i="33"/>
  <c r="K109" i="33"/>
  <c r="G109" i="33"/>
  <c r="AK108" i="33"/>
  <c r="AJ108" i="33"/>
  <c r="R108" i="33"/>
  <c r="Q108" i="33"/>
  <c r="AK107" i="33"/>
  <c r="AJ107" i="33"/>
  <c r="AI107" i="33"/>
  <c r="Q107" i="33"/>
  <c r="N103" i="33"/>
  <c r="AJ103" i="33"/>
  <c r="L103" i="33"/>
  <c r="K103" i="33"/>
  <c r="M102" i="33"/>
  <c r="AI102" i="33"/>
  <c r="AH102" i="33"/>
  <c r="AC100" i="33"/>
  <c r="K100" i="33"/>
  <c r="G96" i="33"/>
  <c r="C95" i="33"/>
  <c r="C94" i="33"/>
  <c r="C93" i="33"/>
  <c r="C92" i="33"/>
  <c r="C91" i="33"/>
  <c r="E90" i="33"/>
  <c r="E96" i="33" s="1"/>
  <c r="AK3" i="33"/>
  <c r="AJ3" i="33"/>
  <c r="AI3" i="33"/>
  <c r="AH3" i="33"/>
  <c r="AD3" i="33"/>
  <c r="AC3" i="33"/>
  <c r="AB3" i="33"/>
  <c r="AA3" i="33"/>
  <c r="Y3" i="33"/>
  <c r="X3" i="33"/>
  <c r="W3" i="33"/>
  <c r="V3" i="33"/>
  <c r="T3" i="33"/>
  <c r="S3" i="33"/>
  <c r="R3" i="33"/>
  <c r="Q3" i="33"/>
  <c r="N3" i="33"/>
  <c r="M3" i="33"/>
  <c r="L3" i="33"/>
  <c r="K3" i="33"/>
  <c r="M141" i="33" l="1"/>
  <c r="M25" i="24"/>
  <c r="M163" i="24"/>
  <c r="BC46" i="24"/>
  <c r="BC55" i="24"/>
  <c r="BC34" i="24"/>
  <c r="BC62" i="24"/>
  <c r="BC43" i="24"/>
  <c r="W106" i="24"/>
  <c r="W101" i="24"/>
  <c r="X181" i="24"/>
  <c r="M23" i="24"/>
  <c r="M139" i="24"/>
  <c r="BC18" i="24"/>
  <c r="X118" i="24"/>
  <c r="X123" i="24" s="1"/>
  <c r="AS56" i="24"/>
  <c r="W118" i="24"/>
  <c r="W123" i="24" s="1"/>
  <c r="M185" i="24"/>
  <c r="M26" i="24" s="1"/>
  <c r="X141" i="24"/>
  <c r="X128" i="24"/>
  <c r="X25" i="24" s="1"/>
  <c r="W141" i="24"/>
  <c r="W128" i="24"/>
  <c r="BN25" i="24"/>
  <c r="X166" i="24"/>
  <c r="W166" i="24"/>
  <c r="X12" i="24"/>
  <c r="AH181" i="33"/>
  <c r="M8" i="24"/>
  <c r="M123" i="24"/>
  <c r="L123" i="24"/>
  <c r="M22" i="24"/>
  <c r="L139" i="24"/>
  <c r="M155" i="24"/>
  <c r="M164" i="24"/>
  <c r="L163" i="24"/>
  <c r="L155" i="24"/>
  <c r="AS49" i="24"/>
  <c r="AS57" i="24" s="1"/>
  <c r="M49" i="24"/>
  <c r="M57" i="24" s="1"/>
  <c r="X49" i="24"/>
  <c r="X57" i="24" s="1"/>
  <c r="BN49" i="24"/>
  <c r="BN57" i="24" s="1"/>
  <c r="BC11" i="24"/>
  <c r="BN11" i="24"/>
  <c r="BN12" i="24" s="1"/>
  <c r="BN58" i="24"/>
  <c r="BN27" i="24"/>
  <c r="BC58" i="24"/>
  <c r="BC27" i="24"/>
  <c r="AS35" i="24"/>
  <c r="AS58" i="24"/>
  <c r="AI49" i="24"/>
  <c r="AI57" i="24" s="1"/>
  <c r="AI58" i="24"/>
  <c r="AI27" i="24"/>
  <c r="AI35" i="24" s="1"/>
  <c r="W139" i="24"/>
  <c r="X19" i="24"/>
  <c r="X27" i="24"/>
  <c r="X183" i="24"/>
  <c r="M19" i="24"/>
  <c r="M27" i="24"/>
  <c r="M28" i="24" s="1"/>
  <c r="AA166" i="33"/>
  <c r="M181" i="33"/>
  <c r="X166" i="33"/>
  <c r="I176" i="33"/>
  <c r="Q166" i="33"/>
  <c r="L159" i="33"/>
  <c r="V159" i="33"/>
  <c r="F146" i="33"/>
  <c r="AH159" i="33"/>
  <c r="Q159" i="33"/>
  <c r="AA159" i="33"/>
  <c r="O103" i="33"/>
  <c r="X181" i="33"/>
  <c r="AJ181" i="33"/>
  <c r="X185" i="33"/>
  <c r="V141" i="33"/>
  <c r="S149" i="33"/>
  <c r="S155" i="33" s="1"/>
  <c r="L121" i="33"/>
  <c r="V166" i="33"/>
  <c r="AH141" i="33"/>
  <c r="Q185" i="33"/>
  <c r="S185" i="33"/>
  <c r="AJ128" i="33"/>
  <c r="AJ139" i="33" s="1"/>
  <c r="W132" i="33"/>
  <c r="X149" i="33"/>
  <c r="X155" i="33" s="1"/>
  <c r="M159" i="33"/>
  <c r="K159" i="33"/>
  <c r="M166" i="33"/>
  <c r="S181" i="33"/>
  <c r="L102" i="33"/>
  <c r="K141" i="33"/>
  <c r="AJ141" i="33"/>
  <c r="AC166" i="33"/>
  <c r="AH166" i="33"/>
  <c r="V185" i="33"/>
  <c r="V149" i="33"/>
  <c r="V155" i="33" s="1"/>
  <c r="W161" i="33"/>
  <c r="E115" i="33"/>
  <c r="H136" i="33"/>
  <c r="I136" i="33" s="1"/>
  <c r="H141" i="33"/>
  <c r="G155" i="33"/>
  <c r="AF152" i="33"/>
  <c r="AK152" i="33"/>
  <c r="K166" i="33"/>
  <c r="N176" i="33"/>
  <c r="L180" i="33"/>
  <c r="E106" i="33"/>
  <c r="AH106" i="33" s="1"/>
  <c r="G115" i="33"/>
  <c r="F118" i="33"/>
  <c r="F123" i="33" s="1"/>
  <c r="H146" i="33"/>
  <c r="Y150" i="33"/>
  <c r="AJ159" i="33"/>
  <c r="N170" i="33"/>
  <c r="O170" i="33" s="1"/>
  <c r="K185" i="33"/>
  <c r="AH185" i="33"/>
  <c r="W184" i="33"/>
  <c r="H101" i="33"/>
  <c r="AD101" i="33" s="1"/>
  <c r="X120" i="33"/>
  <c r="AF129" i="33"/>
  <c r="AD137" i="33"/>
  <c r="AD136" i="33" s="1"/>
  <c r="W151" i="33"/>
  <c r="T153" i="33"/>
  <c r="F159" i="33"/>
  <c r="F164" i="33" s="1"/>
  <c r="S159" i="33"/>
  <c r="K181" i="33"/>
  <c r="G106" i="33"/>
  <c r="AJ106" i="33" s="1"/>
  <c r="I129" i="33"/>
  <c r="AB160" i="33"/>
  <c r="F166" i="33"/>
  <c r="W102" i="33"/>
  <c r="H106" i="33"/>
  <c r="AD106" i="33" s="1"/>
  <c r="W134" i="33"/>
  <c r="Q141" i="33"/>
  <c r="R147" i="33"/>
  <c r="R146" i="33" s="1"/>
  <c r="Y151" i="33"/>
  <c r="AH149" i="33"/>
  <c r="AH155" i="33" s="1"/>
  <c r="AB161" i="33"/>
  <c r="AJ166" i="33"/>
  <c r="AI168" i="33"/>
  <c r="AI166" i="33" s="1"/>
  <c r="AH107" i="33"/>
  <c r="AH128" i="33"/>
  <c r="AH139" i="33" s="1"/>
  <c r="R167" i="33"/>
  <c r="AI180" i="33"/>
  <c r="K108" i="33"/>
  <c r="AA141" i="33"/>
  <c r="S141" i="33"/>
  <c r="E155" i="33"/>
  <c r="AI152" i="33"/>
  <c r="AI149" i="33" s="1"/>
  <c r="AI155" i="33" s="1"/>
  <c r="W160" i="33"/>
  <c r="AD166" i="33"/>
  <c r="S166" i="33"/>
  <c r="AK168" i="33"/>
  <c r="I170" i="33"/>
  <c r="Q181" i="33"/>
  <c r="AA181" i="33"/>
  <c r="AC185" i="33"/>
  <c r="Y171" i="33"/>
  <c r="Q102" i="33"/>
  <c r="AA102" i="33"/>
  <c r="R103" i="33"/>
  <c r="AB121" i="33"/>
  <c r="AD130" i="33"/>
  <c r="R132" i="33"/>
  <c r="I134" i="33"/>
  <c r="T143" i="33"/>
  <c r="AK143" i="33"/>
  <c r="AK141" i="33" s="1"/>
  <c r="AB147" i="33"/>
  <c r="AB146" i="33" s="1"/>
  <c r="I150" i="33"/>
  <c r="Q149" i="33"/>
  <c r="Q155" i="33" s="1"/>
  <c r="R151" i="33"/>
  <c r="AD151" i="33"/>
  <c r="AD153" i="33"/>
  <c r="I161" i="33"/>
  <c r="AB167" i="33"/>
  <c r="AB166" i="33" s="1"/>
  <c r="R170" i="33"/>
  <c r="Y170" i="33"/>
  <c r="R175" i="33"/>
  <c r="AK176" i="33"/>
  <c r="AC181" i="33"/>
  <c r="W180" i="33"/>
  <c r="AD134" i="33"/>
  <c r="X100" i="33"/>
  <c r="R102" i="33"/>
  <c r="AB102" i="33"/>
  <c r="T103" i="33"/>
  <c r="AB103" i="33"/>
  <c r="AK119" i="33"/>
  <c r="M120" i="33"/>
  <c r="AB120" i="33"/>
  <c r="Y130" i="33"/>
  <c r="AK131" i="33"/>
  <c r="L132" i="33"/>
  <c r="R134" i="33"/>
  <c r="Y134" i="33"/>
  <c r="N137" i="33"/>
  <c r="N136" i="33" s="1"/>
  <c r="F149" i="33"/>
  <c r="AJ149" i="33"/>
  <c r="AJ155" i="33" s="1"/>
  <c r="N152" i="33"/>
  <c r="R161" i="33"/>
  <c r="Y161" i="33"/>
  <c r="N168" i="33"/>
  <c r="R184" i="33"/>
  <c r="M100" i="33"/>
  <c r="Y100" i="33"/>
  <c r="AJ100" i="33"/>
  <c r="AD103" i="33"/>
  <c r="V108" i="33"/>
  <c r="R116" i="33"/>
  <c r="R115" i="33" s="1"/>
  <c r="AC120" i="33"/>
  <c r="R121" i="33"/>
  <c r="N143" i="33"/>
  <c r="AC141" i="33"/>
  <c r="W147" i="33"/>
  <c r="W146" i="33" s="1"/>
  <c r="T150" i="33"/>
  <c r="AA149" i="33"/>
  <c r="AA155" i="33" s="1"/>
  <c r="AK150" i="33"/>
  <c r="T151" i="33"/>
  <c r="I152" i="33"/>
  <c r="Y153" i="33"/>
  <c r="R160" i="33"/>
  <c r="AI160" i="33"/>
  <c r="W167" i="33"/>
  <c r="T170" i="33"/>
  <c r="AI170" i="33"/>
  <c r="T171" i="33"/>
  <c r="AK171" i="33"/>
  <c r="AK175" i="33"/>
  <c r="R180" i="33"/>
  <c r="K102" i="33"/>
  <c r="W116" i="33"/>
  <c r="W115" i="33" s="1"/>
  <c r="R120" i="33"/>
  <c r="N129" i="33"/>
  <c r="X128" i="33"/>
  <c r="X139" i="33" s="1"/>
  <c r="T130" i="33"/>
  <c r="T134" i="33"/>
  <c r="AI134" i="33"/>
  <c r="H149" i="33"/>
  <c r="M149" i="33"/>
  <c r="M155" i="33" s="1"/>
  <c r="T161" i="33"/>
  <c r="AI161" i="33"/>
  <c r="I168" i="33"/>
  <c r="V181" i="33"/>
  <c r="M185" i="33"/>
  <c r="AJ185" i="33"/>
  <c r="L184" i="33"/>
  <c r="AI184" i="33"/>
  <c r="AD161" i="33"/>
  <c r="V102" i="33"/>
  <c r="W103" i="33"/>
  <c r="AA108" i="33"/>
  <c r="AB116" i="33"/>
  <c r="AB115" i="33" s="1"/>
  <c r="S120" i="33"/>
  <c r="AH120" i="33"/>
  <c r="AI121" i="33"/>
  <c r="AI129" i="33"/>
  <c r="AK137" i="33"/>
  <c r="AK136" i="33" s="1"/>
  <c r="AD150" i="33"/>
  <c r="AB170" i="33"/>
  <c r="AD171" i="33"/>
  <c r="AB175" i="33"/>
  <c r="AF175" i="33" s="1"/>
  <c r="S100" i="33"/>
  <c r="Y103" i="33"/>
  <c r="AI103" i="33"/>
  <c r="AH108" i="33"/>
  <c r="AI120" i="33"/>
  <c r="AB132" i="33"/>
  <c r="N134" i="33"/>
  <c r="O134" i="33" s="1"/>
  <c r="AB134" i="33"/>
  <c r="E139" i="33"/>
  <c r="X141" i="33"/>
  <c r="T100" i="33"/>
  <c r="AD100" i="33"/>
  <c r="AK103" i="33"/>
  <c r="AI108" i="33"/>
  <c r="W120" i="33"/>
  <c r="AK129" i="33"/>
  <c r="T137" i="33"/>
  <c r="T136" i="33" s="1"/>
  <c r="L147" i="33"/>
  <c r="L146" i="33" s="1"/>
  <c r="AB151" i="33"/>
  <c r="K149" i="33"/>
  <c r="K155" i="33" s="1"/>
  <c r="O161" i="33"/>
  <c r="AK167" i="33"/>
  <c r="W170" i="33"/>
  <c r="AD170" i="33"/>
  <c r="W175" i="33"/>
  <c r="AI176" i="33"/>
  <c r="AA185" i="33"/>
  <c r="AK120" i="33"/>
  <c r="N120" i="33"/>
  <c r="O120" i="33" s="1"/>
  <c r="I120" i="33"/>
  <c r="AD120" i="33"/>
  <c r="T120" i="33"/>
  <c r="Y120" i="33"/>
  <c r="H118" i="33"/>
  <c r="R107" i="33"/>
  <c r="G101" i="33"/>
  <c r="AJ102" i="33"/>
  <c r="AC102" i="33"/>
  <c r="X102" i="33"/>
  <c r="S102" i="33"/>
  <c r="AK102" i="33"/>
  <c r="AD102" i="33"/>
  <c r="Y102" i="33"/>
  <c r="T102" i="33"/>
  <c r="N102" i="33"/>
  <c r="I102" i="33"/>
  <c r="AH121" i="33"/>
  <c r="K121" i="33"/>
  <c r="V121" i="33"/>
  <c r="Q121" i="33"/>
  <c r="E101" i="33"/>
  <c r="AH100" i="33"/>
  <c r="AA100" i="33"/>
  <c r="V100" i="33"/>
  <c r="Q100" i="33"/>
  <c r="F106" i="33"/>
  <c r="F101" i="33"/>
  <c r="AI100" i="33"/>
  <c r="AB100" i="33"/>
  <c r="W100" i="33"/>
  <c r="R100" i="33"/>
  <c r="L100" i="33"/>
  <c r="AH103" i="33"/>
  <c r="AA103" i="33"/>
  <c r="V103" i="33"/>
  <c r="Q103" i="33"/>
  <c r="H115" i="33"/>
  <c r="AK116" i="33"/>
  <c r="AK115" i="33" s="1"/>
  <c r="T116" i="33"/>
  <c r="T115" i="33" s="1"/>
  <c r="AD116" i="33"/>
  <c r="AD115" i="33" s="1"/>
  <c r="N116" i="33"/>
  <c r="N115" i="33" s="1"/>
  <c r="AB107" i="33"/>
  <c r="L107" i="33"/>
  <c r="W107" i="33"/>
  <c r="K105" i="33"/>
  <c r="Q105" i="33"/>
  <c r="V105" i="33"/>
  <c r="AA105" i="33"/>
  <c r="AH105" i="33"/>
  <c r="V107" i="33"/>
  <c r="W108" i="33"/>
  <c r="L116" i="33"/>
  <c r="L115" i="33" s="1"/>
  <c r="AJ121" i="33"/>
  <c r="AJ118" i="33" s="1"/>
  <c r="AJ123" i="33" s="1"/>
  <c r="AC121" i="33"/>
  <c r="X121" i="33"/>
  <c r="S121" i="33"/>
  <c r="M121" i="33"/>
  <c r="G118" i="33"/>
  <c r="M103" i="33"/>
  <c r="L105" i="33"/>
  <c r="R105" i="33"/>
  <c r="W105" i="33"/>
  <c r="AB105" i="33"/>
  <c r="AI105" i="33"/>
  <c r="O160" i="33"/>
  <c r="N159" i="33"/>
  <c r="I100" i="33"/>
  <c r="N100" i="33"/>
  <c r="S103" i="33"/>
  <c r="X103" i="33"/>
  <c r="AC103" i="33"/>
  <c r="M105" i="33"/>
  <c r="S105" i="33"/>
  <c r="X105" i="33"/>
  <c r="AC105" i="33"/>
  <c r="AJ105" i="33"/>
  <c r="K107" i="33"/>
  <c r="L108" i="33"/>
  <c r="M128" i="33"/>
  <c r="M139" i="33" s="1"/>
  <c r="N105" i="33"/>
  <c r="T105" i="33"/>
  <c r="Y105" i="33"/>
  <c r="AD105" i="33"/>
  <c r="AK105" i="33"/>
  <c r="AA107" i="33"/>
  <c r="AB108" i="33"/>
  <c r="AK100" i="33"/>
  <c r="AI116" i="33"/>
  <c r="AI115" i="33" s="1"/>
  <c r="E118" i="33"/>
  <c r="AH119" i="33"/>
  <c r="AA119" i="33"/>
  <c r="AA118" i="33" s="1"/>
  <c r="V119" i="33"/>
  <c r="Q119" i="33"/>
  <c r="K119" i="33"/>
  <c r="AK132" i="33"/>
  <c r="AD132" i="33"/>
  <c r="Y132" i="33"/>
  <c r="T132" i="33"/>
  <c r="N132" i="33"/>
  <c r="I132" i="33"/>
  <c r="H128" i="33"/>
  <c r="R133" i="33"/>
  <c r="W133" i="33"/>
  <c r="AB133" i="33"/>
  <c r="L133" i="33"/>
  <c r="M116" i="33"/>
  <c r="M115" i="33" s="1"/>
  <c r="S116" i="33"/>
  <c r="S115" i="33" s="1"/>
  <c r="X116" i="33"/>
  <c r="X115" i="33" s="1"/>
  <c r="AC116" i="33"/>
  <c r="AC115" i="33" s="1"/>
  <c r="Q128" i="33"/>
  <c r="Q139" i="33" s="1"/>
  <c r="AA128" i="33"/>
  <c r="AA139" i="33" s="1"/>
  <c r="AK133" i="33"/>
  <c r="AD133" i="33"/>
  <c r="Y133" i="33"/>
  <c r="T133" i="33"/>
  <c r="N133" i="33"/>
  <c r="AF168" i="33"/>
  <c r="M107" i="33"/>
  <c r="S107" i="33"/>
  <c r="X107" i="33"/>
  <c r="AC107" i="33"/>
  <c r="M108" i="33"/>
  <c r="S108" i="33"/>
  <c r="X108" i="33"/>
  <c r="AC108" i="33"/>
  <c r="L119" i="33"/>
  <c r="I121" i="33"/>
  <c r="N121" i="33"/>
  <c r="S128" i="33"/>
  <c r="S139" i="33" s="1"/>
  <c r="I133" i="33"/>
  <c r="AD143" i="33"/>
  <c r="AC149" i="33"/>
  <c r="AC155" i="33" s="1"/>
  <c r="N107" i="33"/>
  <c r="T107" i="33"/>
  <c r="Y107" i="33"/>
  <c r="AD107" i="33"/>
  <c r="N108" i="33"/>
  <c r="T108" i="33"/>
  <c r="Y108" i="33"/>
  <c r="AD108" i="33"/>
  <c r="M119" i="33"/>
  <c r="R119" i="33"/>
  <c r="W119" i="33"/>
  <c r="AB119" i="33"/>
  <c r="T121" i="33"/>
  <c r="Y121" i="33"/>
  <c r="AD121" i="33"/>
  <c r="F128" i="33"/>
  <c r="F139" i="33" s="1"/>
  <c r="AI131" i="33"/>
  <c r="AB131" i="33"/>
  <c r="AF131" i="33" s="1"/>
  <c r="W131" i="33"/>
  <c r="R131" i="33"/>
  <c r="I119" i="33"/>
  <c r="N119" i="33"/>
  <c r="S119" i="33"/>
  <c r="X119" i="33"/>
  <c r="AC119" i="33"/>
  <c r="K120" i="33"/>
  <c r="AC128" i="33"/>
  <c r="AC139" i="33" s="1"/>
  <c r="K128" i="33"/>
  <c r="K139" i="33" s="1"/>
  <c r="V128" i="33"/>
  <c r="V139" i="33" s="1"/>
  <c r="AI137" i="33"/>
  <c r="AI136" i="33" s="1"/>
  <c r="AB137" i="33"/>
  <c r="AB136" i="33" s="1"/>
  <c r="W137" i="33"/>
  <c r="W136" i="33" s="1"/>
  <c r="R137" i="33"/>
  <c r="R136" i="33" s="1"/>
  <c r="L137" i="33"/>
  <c r="L136" i="33" s="1"/>
  <c r="AI141" i="33"/>
  <c r="K116" i="33"/>
  <c r="K115" i="33" s="1"/>
  <c r="Q116" i="33"/>
  <c r="Q115" i="33" s="1"/>
  <c r="V116" i="33"/>
  <c r="V115" i="33" s="1"/>
  <c r="AA116" i="33"/>
  <c r="AA115" i="33" s="1"/>
  <c r="T119" i="33"/>
  <c r="Y119" i="33"/>
  <c r="Q120" i="33"/>
  <c r="V120" i="33"/>
  <c r="AK160" i="33"/>
  <c r="AD160" i="33"/>
  <c r="Y160" i="33"/>
  <c r="T160" i="33"/>
  <c r="H159" i="33"/>
  <c r="H163" i="33" s="1"/>
  <c r="I160" i="33"/>
  <c r="L130" i="33"/>
  <c r="L142" i="33"/>
  <c r="R142" i="33"/>
  <c r="W142" i="33"/>
  <c r="AB142" i="33"/>
  <c r="X159" i="33"/>
  <c r="AF176" i="33"/>
  <c r="L129" i="33"/>
  <c r="R130" i="33"/>
  <c r="W130" i="33"/>
  <c r="AB130" i="33"/>
  <c r="I131" i="33"/>
  <c r="N131" i="33"/>
  <c r="O131" i="33" s="1"/>
  <c r="R129" i="33"/>
  <c r="W129" i="33"/>
  <c r="I130" i="33"/>
  <c r="N130" i="33"/>
  <c r="T131" i="33"/>
  <c r="Y131" i="33"/>
  <c r="F141" i="33"/>
  <c r="N142" i="33"/>
  <c r="T142" i="33"/>
  <c r="Y142" i="33"/>
  <c r="Y141" i="33" s="1"/>
  <c r="AD142" i="33"/>
  <c r="N151" i="33"/>
  <c r="I151" i="33"/>
  <c r="T129" i="33"/>
  <c r="Y129" i="33"/>
  <c r="L143" i="33"/>
  <c r="R143" i="33"/>
  <c r="W143" i="33"/>
  <c r="AB143" i="33"/>
  <c r="L150" i="33"/>
  <c r="N147" i="33"/>
  <c r="N146" i="33" s="1"/>
  <c r="T147" i="33"/>
  <c r="T146" i="33" s="1"/>
  <c r="Y147" i="33"/>
  <c r="Y146" i="33" s="1"/>
  <c r="AD147" i="33"/>
  <c r="AD146" i="33" s="1"/>
  <c r="AB150" i="33"/>
  <c r="W150" i="33"/>
  <c r="R150" i="33"/>
  <c r="AC159" i="33"/>
  <c r="L153" i="33"/>
  <c r="AK161" i="33"/>
  <c r="L152" i="33"/>
  <c r="R153" i="33"/>
  <c r="W153" i="33"/>
  <c r="AB153" i="33"/>
  <c r="L168" i="33"/>
  <c r="L176" i="33"/>
  <c r="L151" i="33"/>
  <c r="R152" i="33"/>
  <c r="W152" i="33"/>
  <c r="I153" i="33"/>
  <c r="N153" i="33"/>
  <c r="L167" i="33"/>
  <c r="R168" i="33"/>
  <c r="W168" i="33"/>
  <c r="L175" i="33"/>
  <c r="R176" i="33"/>
  <c r="W176" i="33"/>
  <c r="L171" i="33"/>
  <c r="O171" i="33" s="1"/>
  <c r="T152" i="33"/>
  <c r="Y152" i="33"/>
  <c r="H166" i="33"/>
  <c r="I167" i="33"/>
  <c r="N167" i="33"/>
  <c r="T168" i="33"/>
  <c r="Y168" i="33"/>
  <c r="R171" i="33"/>
  <c r="W171" i="33"/>
  <c r="AB171" i="33"/>
  <c r="I175" i="33"/>
  <c r="N175" i="33"/>
  <c r="T176" i="33"/>
  <c r="Y176" i="33"/>
  <c r="T167" i="33"/>
  <c r="Y167" i="33"/>
  <c r="I171" i="33"/>
  <c r="T175" i="33"/>
  <c r="Y175" i="33"/>
  <c r="N180" i="33"/>
  <c r="T180" i="33"/>
  <c r="Y180" i="33"/>
  <c r="AD180" i="33"/>
  <c r="AJ110" i="31"/>
  <c r="AI110" i="31"/>
  <c r="AH110" i="31"/>
  <c r="AG110" i="31"/>
  <c r="AJ109" i="31"/>
  <c r="AI109" i="31"/>
  <c r="AH109" i="31"/>
  <c r="AG109" i="31"/>
  <c r="AC110" i="31"/>
  <c r="AA110" i="31"/>
  <c r="AC109" i="31"/>
  <c r="AA109" i="31"/>
  <c r="X110" i="31"/>
  <c r="V110" i="31"/>
  <c r="X109" i="31"/>
  <c r="V109" i="31"/>
  <c r="S110" i="31"/>
  <c r="Q110" i="31"/>
  <c r="S109" i="31"/>
  <c r="Q109" i="31"/>
  <c r="X28" i="24" l="1"/>
  <c r="O176" i="33"/>
  <c r="X22" i="24"/>
  <c r="X8" i="24"/>
  <c r="F163" i="33"/>
  <c r="BC49" i="24"/>
  <c r="BC57" i="24" s="1"/>
  <c r="O121" i="33"/>
  <c r="L118" i="33"/>
  <c r="L123" i="33" s="1"/>
  <c r="I166" i="33"/>
  <c r="X139" i="24"/>
  <c r="BN28" i="24"/>
  <c r="AS64" i="24"/>
  <c r="AS69" i="24" s="1"/>
  <c r="X23" i="24"/>
  <c r="BN22" i="24"/>
  <c r="AF170" i="33"/>
  <c r="AI64" i="24"/>
  <c r="BC35" i="24"/>
  <c r="BN35" i="24"/>
  <c r="X35" i="24"/>
  <c r="M35" i="24"/>
  <c r="AF121" i="33"/>
  <c r="O168" i="33"/>
  <c r="O152" i="33"/>
  <c r="AB118" i="33"/>
  <c r="AB123" i="33" s="1"/>
  <c r="O129" i="33"/>
  <c r="O159" i="33"/>
  <c r="I146" i="33"/>
  <c r="G123" i="33"/>
  <c r="T118" i="33"/>
  <c r="T123" i="33" s="1"/>
  <c r="AF167" i="33"/>
  <c r="Q106" i="33"/>
  <c r="T159" i="33"/>
  <c r="O136" i="33"/>
  <c r="M106" i="33"/>
  <c r="W159" i="33"/>
  <c r="S106" i="33"/>
  <c r="X106" i="33"/>
  <c r="AC106" i="33"/>
  <c r="AI118" i="33"/>
  <c r="AI123" i="33" s="1"/>
  <c r="F155" i="33"/>
  <c r="AK101" i="33"/>
  <c r="AK118" i="33"/>
  <c r="AK123" i="33" s="1"/>
  <c r="AF166" i="33"/>
  <c r="AK106" i="33"/>
  <c r="AK149" i="33"/>
  <c r="AK155" i="33" s="1"/>
  <c r="R166" i="33"/>
  <c r="Y149" i="33"/>
  <c r="Y155" i="33" s="1"/>
  <c r="Y101" i="33"/>
  <c r="T101" i="33"/>
  <c r="W166" i="33"/>
  <c r="AI128" i="33"/>
  <c r="AI139" i="33" s="1"/>
  <c r="N101" i="33"/>
  <c r="AK166" i="33"/>
  <c r="R118" i="33"/>
  <c r="R123" i="33" s="1"/>
  <c r="N106" i="33"/>
  <c r="AB159" i="33"/>
  <c r="T106" i="33"/>
  <c r="O102" i="33"/>
  <c r="T141" i="33"/>
  <c r="AK159" i="33"/>
  <c r="Y106" i="33"/>
  <c r="AF133" i="33"/>
  <c r="H155" i="33"/>
  <c r="O132" i="33"/>
  <c r="O130" i="33"/>
  <c r="AD149" i="33"/>
  <c r="AD155" i="33" s="1"/>
  <c r="AF171" i="33"/>
  <c r="O153" i="33"/>
  <c r="X118" i="33"/>
  <c r="X123" i="33" s="1"/>
  <c r="AF102" i="33"/>
  <c r="I118" i="33"/>
  <c r="AF161" i="33"/>
  <c r="I141" i="33"/>
  <c r="S118" i="33"/>
  <c r="S123" i="33" s="1"/>
  <c r="K106" i="33"/>
  <c r="AF136" i="33"/>
  <c r="V106" i="33"/>
  <c r="T166" i="33"/>
  <c r="T149" i="33"/>
  <c r="T155" i="33" s="1"/>
  <c r="AF153" i="33"/>
  <c r="AF115" i="33"/>
  <c r="AA106" i="33"/>
  <c r="AF120" i="33"/>
  <c r="R159" i="33"/>
  <c r="AD141" i="33"/>
  <c r="AB141" i="33"/>
  <c r="L166" i="33"/>
  <c r="T128" i="33"/>
  <c r="T139" i="33" s="1"/>
  <c r="H164" i="33"/>
  <c r="W118" i="33"/>
  <c r="W123" i="33" s="1"/>
  <c r="Q118" i="33"/>
  <c r="Q123" i="33" s="1"/>
  <c r="AF100" i="33"/>
  <c r="AF134" i="33"/>
  <c r="R141" i="33"/>
  <c r="AK128" i="33"/>
  <c r="R149" i="33"/>
  <c r="R155" i="33" s="1"/>
  <c r="N141" i="33"/>
  <c r="AF130" i="33"/>
  <c r="M118" i="33"/>
  <c r="M123" i="33" s="1"/>
  <c r="AI159" i="33"/>
  <c r="Y159" i="33"/>
  <c r="N128" i="33"/>
  <c r="I149" i="33"/>
  <c r="AF151" i="33"/>
  <c r="W149" i="33"/>
  <c r="W155" i="33" s="1"/>
  <c r="W141" i="33"/>
  <c r="AC118" i="33"/>
  <c r="AC123" i="33" s="1"/>
  <c r="O133" i="33"/>
  <c r="AF132" i="33"/>
  <c r="AD128" i="33"/>
  <c r="K118" i="33"/>
  <c r="H123" i="33"/>
  <c r="H124" i="33" s="1"/>
  <c r="I115" i="33"/>
  <c r="AI101" i="33"/>
  <c r="AB101" i="33"/>
  <c r="AF101" i="33" s="1"/>
  <c r="W101" i="33"/>
  <c r="R101" i="33"/>
  <c r="L101" i="33"/>
  <c r="AF119" i="33"/>
  <c r="I101" i="33"/>
  <c r="O167" i="33"/>
  <c r="N166" i="33"/>
  <c r="AD118" i="33"/>
  <c r="O175" i="33"/>
  <c r="AF146" i="33"/>
  <c r="L141" i="33"/>
  <c r="I159" i="33"/>
  <c r="V118" i="33"/>
  <c r="V123" i="33" s="1"/>
  <c r="AC101" i="33"/>
  <c r="X101" i="33"/>
  <c r="S101" i="33"/>
  <c r="M101" i="33"/>
  <c r="AJ101" i="33"/>
  <c r="O151" i="33"/>
  <c r="N149" i="33"/>
  <c r="N155" i="33" s="1"/>
  <c r="O119" i="33"/>
  <c r="N118" i="33"/>
  <c r="I128" i="33"/>
  <c r="H139" i="33"/>
  <c r="AA123" i="33"/>
  <c r="AB128" i="33"/>
  <c r="AB139" i="33" s="1"/>
  <c r="AB106" i="33"/>
  <c r="W106" i="33"/>
  <c r="L106" i="33"/>
  <c r="AI106" i="33"/>
  <c r="R106" i="33"/>
  <c r="AH101" i="33"/>
  <c r="AA101" i="33"/>
  <c r="V101" i="33"/>
  <c r="Q101" i="33"/>
  <c r="K101" i="33"/>
  <c r="AH118" i="33"/>
  <c r="AH123" i="33" s="1"/>
  <c r="O115" i="33"/>
  <c r="AB149" i="33"/>
  <c r="AB155" i="33" s="1"/>
  <c r="AF150" i="33"/>
  <c r="O146" i="33"/>
  <c r="L149" i="33"/>
  <c r="L155" i="33" s="1"/>
  <c r="O150" i="33"/>
  <c r="W128" i="33"/>
  <c r="W139" i="33" s="1"/>
  <c r="L128" i="33"/>
  <c r="AF160" i="33"/>
  <c r="AD159" i="33"/>
  <c r="Y118" i="33"/>
  <c r="Y123" i="33" s="1"/>
  <c r="E123" i="33"/>
  <c r="Y166" i="33"/>
  <c r="Y128" i="33"/>
  <c r="Y139" i="33" s="1"/>
  <c r="R128" i="33"/>
  <c r="R139" i="33" s="1"/>
  <c r="O100" i="33"/>
  <c r="J9" i="31"/>
  <c r="BC64" i="24" l="1"/>
  <c r="BC69" i="24" s="1"/>
  <c r="AI69" i="24"/>
  <c r="BN36" i="24"/>
  <c r="BN64" i="24"/>
  <c r="X36" i="24"/>
  <c r="X64" i="24"/>
  <c r="M36" i="24"/>
  <c r="M64" i="24"/>
  <c r="I155" i="33"/>
  <c r="AF159" i="33"/>
  <c r="O101" i="33"/>
  <c r="O166" i="33"/>
  <c r="AF141" i="33"/>
  <c r="O141" i="33"/>
  <c r="AK139" i="33"/>
  <c r="O128" i="33"/>
  <c r="N139" i="33"/>
  <c r="O149" i="33"/>
  <c r="I139" i="33"/>
  <c r="O155" i="33"/>
  <c r="AF155" i="33"/>
  <c r="I123" i="33"/>
  <c r="AF118" i="33"/>
  <c r="AD123" i="33"/>
  <c r="AF123" i="33" s="1"/>
  <c r="K123" i="33"/>
  <c r="L139" i="33"/>
  <c r="AF149" i="33"/>
  <c r="N123" i="33"/>
  <c r="O123" i="33" s="1"/>
  <c r="O118" i="33"/>
  <c r="AF128" i="33"/>
  <c r="AD139" i="33"/>
  <c r="AF139" i="33" s="1"/>
  <c r="BN37" i="24" l="1"/>
  <c r="BN38" i="24"/>
  <c r="X37" i="24"/>
  <c r="X38" i="24"/>
  <c r="X69" i="24"/>
  <c r="M69" i="24"/>
  <c r="M37" i="24"/>
  <c r="M38" i="24"/>
  <c r="O139" i="33"/>
  <c r="T101" i="14" l="1"/>
  <c r="S101" i="14"/>
  <c r="X137" i="14"/>
  <c r="X138" i="14"/>
  <c r="X139" i="14"/>
  <c r="X140" i="14"/>
  <c r="X141" i="14"/>
  <c r="X136" i="14"/>
  <c r="X185" i="24" l="1"/>
  <c r="X26" i="24" s="1"/>
  <c r="V184" i="24"/>
  <c r="S184" i="24"/>
  <c r="R184" i="24"/>
  <c r="Q184" i="24"/>
  <c r="P184" i="24"/>
  <c r="V180" i="24"/>
  <c r="U180" i="24"/>
  <c r="S180" i="24"/>
  <c r="R180" i="24"/>
  <c r="Q180" i="24"/>
  <c r="P180" i="24"/>
  <c r="V176" i="24"/>
  <c r="U176" i="24"/>
  <c r="T176" i="24"/>
  <c r="S176" i="24"/>
  <c r="R176" i="24"/>
  <c r="Q176" i="24"/>
  <c r="P176" i="24"/>
  <c r="V175" i="24"/>
  <c r="U175" i="24"/>
  <c r="T175" i="24"/>
  <c r="S175" i="24"/>
  <c r="R175" i="24"/>
  <c r="Q175" i="24"/>
  <c r="P175" i="24"/>
  <c r="V171" i="24"/>
  <c r="U171" i="24"/>
  <c r="T171" i="24"/>
  <c r="S171" i="24"/>
  <c r="R171" i="24"/>
  <c r="Q171" i="24"/>
  <c r="P171" i="24"/>
  <c r="V170" i="24"/>
  <c r="U170" i="24"/>
  <c r="T170" i="24"/>
  <c r="S170" i="24"/>
  <c r="R170" i="24"/>
  <c r="Q170" i="24"/>
  <c r="P170" i="24"/>
  <c r="V168" i="24"/>
  <c r="U168" i="24"/>
  <c r="T168" i="24"/>
  <c r="S168" i="24"/>
  <c r="R168" i="24"/>
  <c r="Q168" i="24"/>
  <c r="P168" i="24"/>
  <c r="V167" i="24"/>
  <c r="U167" i="24"/>
  <c r="T167" i="24"/>
  <c r="S167" i="24"/>
  <c r="R167" i="24"/>
  <c r="Q167" i="24"/>
  <c r="P167" i="24"/>
  <c r="V161" i="24"/>
  <c r="U161" i="24"/>
  <c r="T161" i="24"/>
  <c r="S161" i="24"/>
  <c r="R161" i="24"/>
  <c r="Q161" i="24"/>
  <c r="P161" i="24"/>
  <c r="V160" i="24"/>
  <c r="U160" i="24"/>
  <c r="S160" i="24"/>
  <c r="R160" i="24"/>
  <c r="Q160" i="24"/>
  <c r="P160" i="24"/>
  <c r="V153" i="24"/>
  <c r="T153" i="24"/>
  <c r="S153" i="24"/>
  <c r="R153" i="24"/>
  <c r="P153" i="24"/>
  <c r="V152" i="24"/>
  <c r="U152" i="24"/>
  <c r="T152" i="24"/>
  <c r="S152" i="24"/>
  <c r="R152" i="24"/>
  <c r="Q152" i="24"/>
  <c r="P152" i="24"/>
  <c r="U151" i="24"/>
  <c r="T151" i="24"/>
  <c r="S151" i="24"/>
  <c r="R151" i="24"/>
  <c r="Q151" i="24"/>
  <c r="P151" i="24"/>
  <c r="U150" i="24"/>
  <c r="T150" i="24"/>
  <c r="S150" i="24"/>
  <c r="R150" i="24"/>
  <c r="Q150" i="24"/>
  <c r="P150" i="24"/>
  <c r="U147" i="24"/>
  <c r="T147" i="24"/>
  <c r="S147" i="24"/>
  <c r="R147" i="24"/>
  <c r="Q147" i="24"/>
  <c r="P147" i="24"/>
  <c r="V143" i="24"/>
  <c r="U143" i="24"/>
  <c r="T143" i="24"/>
  <c r="S143" i="24"/>
  <c r="R143" i="24"/>
  <c r="Q143" i="24"/>
  <c r="P143" i="24"/>
  <c r="V142" i="24"/>
  <c r="U142" i="24"/>
  <c r="T142" i="24"/>
  <c r="S142" i="24"/>
  <c r="R142" i="24"/>
  <c r="Q142" i="24"/>
  <c r="P142" i="24"/>
  <c r="V137" i="24"/>
  <c r="U137" i="24"/>
  <c r="T137" i="24"/>
  <c r="S137" i="24"/>
  <c r="R137" i="24"/>
  <c r="Q137" i="24"/>
  <c r="P137" i="24"/>
  <c r="V134" i="24"/>
  <c r="U134" i="24"/>
  <c r="T134" i="24"/>
  <c r="S134" i="24"/>
  <c r="R134" i="24"/>
  <c r="Q134" i="24"/>
  <c r="P134" i="24"/>
  <c r="V133" i="24"/>
  <c r="U133" i="24"/>
  <c r="T133" i="24"/>
  <c r="S133" i="24"/>
  <c r="R133" i="24"/>
  <c r="Q133" i="24"/>
  <c r="P133" i="24"/>
  <c r="V132" i="24"/>
  <c r="U132" i="24"/>
  <c r="T132" i="24"/>
  <c r="S132" i="24"/>
  <c r="R132" i="24"/>
  <c r="Q132" i="24"/>
  <c r="P132" i="24"/>
  <c r="V131" i="24"/>
  <c r="U131" i="24"/>
  <c r="T131" i="24"/>
  <c r="S131" i="24"/>
  <c r="R131" i="24"/>
  <c r="Q131" i="24"/>
  <c r="P131" i="24"/>
  <c r="V130" i="24"/>
  <c r="U130" i="24"/>
  <c r="T130" i="24"/>
  <c r="S130" i="24"/>
  <c r="R130" i="24"/>
  <c r="Q130" i="24"/>
  <c r="P130" i="24"/>
  <c r="V129" i="24"/>
  <c r="U129" i="24"/>
  <c r="T129" i="24"/>
  <c r="S129" i="24"/>
  <c r="R129" i="24"/>
  <c r="Q129" i="24"/>
  <c r="P129" i="24"/>
  <c r="K91" i="24" l="1"/>
  <c r="H91" i="33" l="1"/>
  <c r="G91" i="37"/>
  <c r="K151" i="24"/>
  <c r="K150" i="24"/>
  <c r="K147" i="24"/>
  <c r="K93" i="24"/>
  <c r="K92" i="24"/>
  <c r="H92" i="33" l="1"/>
  <c r="G92" i="37"/>
  <c r="H93" i="33"/>
  <c r="G93" i="37"/>
  <c r="W146" i="24"/>
  <c r="X146" i="24"/>
  <c r="V150" i="24"/>
  <c r="V147" i="24"/>
  <c r="V151" i="24"/>
  <c r="V121" i="24"/>
  <c r="V120" i="24"/>
  <c r="V119" i="24"/>
  <c r="V116" i="24"/>
  <c r="V108" i="24"/>
  <c r="V107" i="24"/>
  <c r="V105" i="24"/>
  <c r="V102" i="24"/>
  <c r="V103" i="24"/>
  <c r="V100" i="24"/>
  <c r="H92" i="31"/>
  <c r="H93" i="31"/>
  <c r="H94" i="31"/>
  <c r="H95" i="31"/>
  <c r="H91" i="31"/>
  <c r="F93" i="31"/>
  <c r="F91" i="31"/>
  <c r="F184" i="31"/>
  <c r="L184" i="31" s="1"/>
  <c r="H180" i="31"/>
  <c r="F180" i="31"/>
  <c r="L180" i="31" s="1"/>
  <c r="H176" i="31"/>
  <c r="T176" i="31" s="1"/>
  <c r="F176" i="31"/>
  <c r="H175" i="31"/>
  <c r="Y175" i="31" s="1"/>
  <c r="F175" i="31"/>
  <c r="L175" i="31" s="1"/>
  <c r="H171" i="31"/>
  <c r="F171" i="31"/>
  <c r="H170" i="31"/>
  <c r="F170" i="31"/>
  <c r="H168" i="31"/>
  <c r="F168" i="31"/>
  <c r="H167" i="31"/>
  <c r="F167" i="31"/>
  <c r="L167" i="31" s="1"/>
  <c r="H161" i="31"/>
  <c r="F161" i="31"/>
  <c r="L161" i="31" s="1"/>
  <c r="H160" i="31"/>
  <c r="F160" i="31"/>
  <c r="L160" i="31" s="1"/>
  <c r="H153" i="31"/>
  <c r="AD153" i="31" s="1"/>
  <c r="F153" i="31"/>
  <c r="H152" i="31"/>
  <c r="F152" i="31"/>
  <c r="H151" i="31"/>
  <c r="F151" i="31"/>
  <c r="H150" i="31"/>
  <c r="AJ150" i="31" s="1"/>
  <c r="F150" i="31"/>
  <c r="H147" i="31"/>
  <c r="F147" i="31"/>
  <c r="F143" i="31"/>
  <c r="F142" i="31"/>
  <c r="L142" i="31" s="1"/>
  <c r="H143" i="31"/>
  <c r="H142" i="31"/>
  <c r="N142" i="31" s="1"/>
  <c r="F137" i="31"/>
  <c r="F130" i="31"/>
  <c r="F131" i="31"/>
  <c r="F132" i="31"/>
  <c r="F133" i="31"/>
  <c r="F134" i="31"/>
  <c r="F129" i="31"/>
  <c r="H137" i="31"/>
  <c r="H130" i="31"/>
  <c r="H131" i="31"/>
  <c r="H132" i="31"/>
  <c r="H133" i="31"/>
  <c r="H134" i="31"/>
  <c r="H129" i="31"/>
  <c r="H121" i="31"/>
  <c r="G121" i="31"/>
  <c r="F121" i="31"/>
  <c r="E121" i="31"/>
  <c r="H120" i="31"/>
  <c r="G120" i="31"/>
  <c r="F120" i="31"/>
  <c r="E120" i="31"/>
  <c r="H119" i="31"/>
  <c r="G119" i="31"/>
  <c r="F119" i="31"/>
  <c r="E119" i="31"/>
  <c r="H116" i="31"/>
  <c r="G116" i="31"/>
  <c r="F116" i="31"/>
  <c r="E116" i="31"/>
  <c r="G96" i="37" l="1"/>
  <c r="X149" i="24"/>
  <c r="X155" i="24" s="1"/>
  <c r="W149" i="24"/>
  <c r="W155" i="24" s="1"/>
  <c r="S121" i="31"/>
  <c r="AC121" i="31"/>
  <c r="AI121" i="31"/>
  <c r="X121" i="31"/>
  <c r="T119" i="31"/>
  <c r="AD119" i="31"/>
  <c r="N119" i="31"/>
  <c r="AJ119" i="31"/>
  <c r="Y119" i="31"/>
  <c r="T121" i="31"/>
  <c r="N121" i="31"/>
  <c r="AD121" i="31"/>
  <c r="AJ121" i="31"/>
  <c r="Y121" i="31"/>
  <c r="AJ116" i="31"/>
  <c r="AJ115" i="31" s="1"/>
  <c r="AD116" i="31"/>
  <c r="AD115" i="31" s="1"/>
  <c r="N116" i="31"/>
  <c r="Y116" i="31"/>
  <c r="Y115" i="31" s="1"/>
  <c r="T116" i="31"/>
  <c r="T115" i="31" s="1"/>
  <c r="AB119" i="31"/>
  <c r="R119" i="31"/>
  <c r="AH119" i="31"/>
  <c r="W119" i="31"/>
  <c r="S119" i="31"/>
  <c r="AI119" i="31"/>
  <c r="AC119" i="31"/>
  <c r="X119" i="31"/>
  <c r="AA120" i="31"/>
  <c r="AG120" i="31"/>
  <c r="V120" i="31"/>
  <c r="Q120" i="31"/>
  <c r="AH120" i="31"/>
  <c r="AB120" i="31"/>
  <c r="W120" i="31"/>
  <c r="R120" i="31"/>
  <c r="N134" i="31"/>
  <c r="W121" i="31"/>
  <c r="R121" i="31"/>
  <c r="AB121" i="31"/>
  <c r="AH121" i="31"/>
  <c r="K116" i="31"/>
  <c r="Q116" i="31"/>
  <c r="Q115" i="31" s="1"/>
  <c r="V116" i="31"/>
  <c r="V115" i="31" s="1"/>
  <c r="AG116" i="31"/>
  <c r="AG115" i="31" s="1"/>
  <c r="AA116" i="31"/>
  <c r="AA115" i="31" s="1"/>
  <c r="R116" i="31"/>
  <c r="R115" i="31" s="1"/>
  <c r="AH116" i="31"/>
  <c r="AH115" i="31" s="1"/>
  <c r="AB116" i="31"/>
  <c r="AB115" i="31" s="1"/>
  <c r="W116" i="31"/>
  <c r="W115" i="31" s="1"/>
  <c r="AI116" i="31"/>
  <c r="AI115" i="31" s="1"/>
  <c r="AC116" i="31"/>
  <c r="AC115" i="31" s="1"/>
  <c r="S116" i="31"/>
  <c r="S115" i="31" s="1"/>
  <c r="X116" i="31"/>
  <c r="X115" i="31" s="1"/>
  <c r="AI120" i="31"/>
  <c r="X120" i="31"/>
  <c r="S120" i="31"/>
  <c r="AC120" i="31"/>
  <c r="AD132" i="31"/>
  <c r="Y120" i="31"/>
  <c r="N120" i="31"/>
  <c r="T120" i="31"/>
  <c r="AD120" i="31"/>
  <c r="AJ120" i="31"/>
  <c r="V119" i="31"/>
  <c r="Q119" i="31"/>
  <c r="AA119" i="31"/>
  <c r="AG119" i="31"/>
  <c r="V121" i="31"/>
  <c r="Q121" i="31"/>
  <c r="AA121" i="31"/>
  <c r="AG121" i="31"/>
  <c r="R132" i="31"/>
  <c r="W132" i="31"/>
  <c r="AH132" i="31"/>
  <c r="AB132" i="31"/>
  <c r="AB143" i="31"/>
  <c r="AH143" i="31"/>
  <c r="R143" i="31"/>
  <c r="W143" i="31"/>
  <c r="K119" i="31"/>
  <c r="M121" i="31"/>
  <c r="AH131" i="31"/>
  <c r="AB131" i="31"/>
  <c r="R131" i="31"/>
  <c r="W131" i="31"/>
  <c r="R147" i="31"/>
  <c r="R146" i="31" s="1"/>
  <c r="W147" i="31"/>
  <c r="W146" i="31" s="1"/>
  <c r="AH147" i="31"/>
  <c r="AH146" i="31" s="1"/>
  <c r="AB147" i="31"/>
  <c r="AB146" i="31" s="1"/>
  <c r="W153" i="31"/>
  <c r="AH153" i="31"/>
  <c r="AB153" i="31"/>
  <c r="R153" i="31"/>
  <c r="R168" i="31"/>
  <c r="W168" i="31"/>
  <c r="AH168" i="31"/>
  <c r="AB168" i="31"/>
  <c r="AH176" i="31"/>
  <c r="AB176" i="31"/>
  <c r="R176" i="31"/>
  <c r="W176" i="31"/>
  <c r="L119" i="31"/>
  <c r="AH130" i="31"/>
  <c r="AB130" i="31"/>
  <c r="R130" i="31"/>
  <c r="W130" i="31"/>
  <c r="M119" i="31"/>
  <c r="L143" i="31"/>
  <c r="W137" i="31"/>
  <c r="W136" i="31" s="1"/>
  <c r="AH137" i="31"/>
  <c r="AH136" i="31" s="1"/>
  <c r="AB137" i="31"/>
  <c r="AB136" i="31" s="1"/>
  <c r="R137" i="31"/>
  <c r="R136" i="31" s="1"/>
  <c r="R150" i="31"/>
  <c r="W150" i="31"/>
  <c r="AH150" i="31"/>
  <c r="AB150" i="31"/>
  <c r="AH160" i="31"/>
  <c r="AB160" i="31"/>
  <c r="R160" i="31"/>
  <c r="W160" i="31"/>
  <c r="R170" i="31"/>
  <c r="W170" i="31"/>
  <c r="AH170" i="31"/>
  <c r="AB170" i="31"/>
  <c r="AH180" i="31"/>
  <c r="AB180" i="31"/>
  <c r="R180" i="31"/>
  <c r="W180" i="31"/>
  <c r="K120" i="31"/>
  <c r="L147" i="31"/>
  <c r="L168" i="31"/>
  <c r="W129" i="31"/>
  <c r="AH129" i="31"/>
  <c r="AB129" i="31"/>
  <c r="R129" i="31"/>
  <c r="T160" i="31"/>
  <c r="AD180" i="31"/>
  <c r="L120" i="31"/>
  <c r="L150" i="31"/>
  <c r="L170" i="31"/>
  <c r="R151" i="31"/>
  <c r="W151" i="31"/>
  <c r="AH151" i="31"/>
  <c r="AB151" i="31"/>
  <c r="AH161" i="31"/>
  <c r="AB161" i="31"/>
  <c r="R161" i="31"/>
  <c r="W161" i="31"/>
  <c r="W171" i="31"/>
  <c r="AH171" i="31"/>
  <c r="AB171" i="31"/>
  <c r="R171" i="31"/>
  <c r="AB184" i="31"/>
  <c r="R184" i="31"/>
  <c r="W184" i="31"/>
  <c r="AH184" i="31"/>
  <c r="M120" i="31"/>
  <c r="L151" i="31"/>
  <c r="L171" i="31"/>
  <c r="R134" i="31"/>
  <c r="W134" i="31"/>
  <c r="AH134" i="31"/>
  <c r="AB134" i="31"/>
  <c r="L116" i="31"/>
  <c r="K121" i="31"/>
  <c r="L152" i="31"/>
  <c r="R133" i="31"/>
  <c r="W133" i="31"/>
  <c r="AH133" i="31"/>
  <c r="AB133" i="31"/>
  <c r="W142" i="31"/>
  <c r="AB142" i="31"/>
  <c r="AH142" i="31"/>
  <c r="R142" i="31"/>
  <c r="R141" i="31" s="1"/>
  <c r="R152" i="31"/>
  <c r="W152" i="31"/>
  <c r="AH152" i="31"/>
  <c r="AB152" i="31"/>
  <c r="AB167" i="31"/>
  <c r="R167" i="31"/>
  <c r="W167" i="31"/>
  <c r="AH167" i="31"/>
  <c r="W175" i="31"/>
  <c r="AH175" i="31"/>
  <c r="AB175" i="31"/>
  <c r="R175" i="31"/>
  <c r="M116" i="31"/>
  <c r="L121" i="31"/>
  <c r="O121" i="31" s="1"/>
  <c r="L153" i="31"/>
  <c r="L176" i="31"/>
  <c r="Y180" i="31"/>
  <c r="N180" i="31"/>
  <c r="AJ180" i="31"/>
  <c r="T180" i="31"/>
  <c r="N175" i="31"/>
  <c r="O175" i="31" s="1"/>
  <c r="Y176" i="31"/>
  <c r="T171" i="31"/>
  <c r="Y167" i="31"/>
  <c r="AD167" i="31"/>
  <c r="AD160" i="31"/>
  <c r="T161" i="31"/>
  <c r="AD143" i="31"/>
  <c r="AD133" i="31"/>
  <c r="AD129" i="31"/>
  <c r="AJ151" i="31"/>
  <c r="AD150" i="31"/>
  <c r="AJ175" i="31"/>
  <c r="AJ176" i="31"/>
  <c r="N176" i="31"/>
  <c r="AD175" i="31"/>
  <c r="T175" i="31"/>
  <c r="AD176" i="31"/>
  <c r="AD170" i="31"/>
  <c r="AJ170" i="31"/>
  <c r="N170" i="31"/>
  <c r="Y170" i="31"/>
  <c r="AD171" i="31"/>
  <c r="AJ171" i="31"/>
  <c r="N171" i="31"/>
  <c r="Y171" i="31"/>
  <c r="T170" i="31"/>
  <c r="N167" i="31"/>
  <c r="O167" i="31" s="1"/>
  <c r="Y168" i="31"/>
  <c r="AD168" i="31"/>
  <c r="AJ167" i="31"/>
  <c r="T167" i="31"/>
  <c r="N168" i="31"/>
  <c r="AJ168" i="31"/>
  <c r="T168" i="31"/>
  <c r="Y161" i="31"/>
  <c r="AD161" i="31"/>
  <c r="N160" i="31"/>
  <c r="O160" i="31" s="1"/>
  <c r="AJ160" i="31"/>
  <c r="N161" i="31"/>
  <c r="O161" i="31" s="1"/>
  <c r="Y160" i="31"/>
  <c r="AJ161" i="31"/>
  <c r="Y153" i="31"/>
  <c r="N151" i="31"/>
  <c r="T150" i="31"/>
  <c r="N152" i="31"/>
  <c r="T151" i="31"/>
  <c r="Y150" i="31"/>
  <c r="AD151" i="31"/>
  <c r="AJ152" i="31"/>
  <c r="N153" i="31"/>
  <c r="O153" i="31" s="1"/>
  <c r="T152" i="31"/>
  <c r="Y151" i="31"/>
  <c r="AD152" i="31"/>
  <c r="AJ153" i="31"/>
  <c r="N150" i="31"/>
  <c r="T153" i="31"/>
  <c r="Y152" i="31"/>
  <c r="T147" i="31"/>
  <c r="T146" i="31" s="1"/>
  <c r="AJ147" i="31"/>
  <c r="AJ146" i="31" s="1"/>
  <c r="N147" i="31"/>
  <c r="Y147" i="31"/>
  <c r="Y146" i="31" s="1"/>
  <c r="AD147" i="31"/>
  <c r="AD146" i="31" s="1"/>
  <c r="T137" i="31"/>
  <c r="T136" i="31" s="1"/>
  <c r="AD137" i="31"/>
  <c r="AD136" i="31" s="1"/>
  <c r="Y137" i="31"/>
  <c r="Y136" i="31" s="1"/>
  <c r="AJ137" i="31"/>
  <c r="AJ136" i="31" s="1"/>
  <c r="N137" i="31"/>
  <c r="T143" i="31"/>
  <c r="Y143" i="31"/>
  <c r="AD142" i="31"/>
  <c r="AJ142" i="31"/>
  <c r="N143" i="31"/>
  <c r="AJ143" i="31"/>
  <c r="T142" i="31"/>
  <c r="Y142" i="31"/>
  <c r="N133" i="31"/>
  <c r="Y132" i="31"/>
  <c r="N131" i="31"/>
  <c r="Y129" i="31"/>
  <c r="Y133" i="31"/>
  <c r="N130" i="31"/>
  <c r="T129" i="31"/>
  <c r="T133" i="31"/>
  <c r="AD130" i="31"/>
  <c r="AD134" i="31"/>
  <c r="AJ129" i="31"/>
  <c r="AJ133" i="31"/>
  <c r="AJ132" i="31"/>
  <c r="Y130" i="31"/>
  <c r="Y134" i="31"/>
  <c r="T132" i="31"/>
  <c r="N129" i="31"/>
  <c r="T130" i="31"/>
  <c r="T134" i="31"/>
  <c r="AD131" i="31"/>
  <c r="AJ130" i="31"/>
  <c r="AJ134" i="31"/>
  <c r="N132" i="31"/>
  <c r="Y131" i="31"/>
  <c r="T131" i="31"/>
  <c r="AJ131" i="31"/>
  <c r="H108" i="31"/>
  <c r="H107" i="31"/>
  <c r="H105" i="31"/>
  <c r="H103" i="31"/>
  <c r="H102" i="31"/>
  <c r="H100" i="31"/>
  <c r="G108" i="31"/>
  <c r="G107" i="31"/>
  <c r="G105" i="31"/>
  <c r="G103" i="31"/>
  <c r="G102" i="31"/>
  <c r="G100" i="31"/>
  <c r="F108" i="31"/>
  <c r="F107" i="31"/>
  <c r="F105" i="31"/>
  <c r="F103" i="31"/>
  <c r="F102" i="31"/>
  <c r="F100" i="31"/>
  <c r="E108" i="31"/>
  <c r="E107" i="31"/>
  <c r="E105" i="31"/>
  <c r="E103" i="31"/>
  <c r="E102" i="31"/>
  <c r="E100" i="31"/>
  <c r="AG49" i="31"/>
  <c r="AI46" i="31"/>
  <c r="AC46" i="31"/>
  <c r="X46" i="31"/>
  <c r="S46" i="31"/>
  <c r="M46" i="31"/>
  <c r="L46" i="31"/>
  <c r="I176" i="31"/>
  <c r="I175" i="31"/>
  <c r="I171" i="31"/>
  <c r="I170" i="31"/>
  <c r="I168" i="31"/>
  <c r="I167" i="31"/>
  <c r="I161" i="31"/>
  <c r="I160" i="31"/>
  <c r="I153" i="31"/>
  <c r="I152" i="31"/>
  <c r="I151" i="31"/>
  <c r="I150" i="31"/>
  <c r="I147" i="31"/>
  <c r="I143" i="31"/>
  <c r="I142" i="31"/>
  <c r="I137" i="31"/>
  <c r="I134" i="31"/>
  <c r="I133" i="31"/>
  <c r="I132" i="31"/>
  <c r="I131" i="31"/>
  <c r="I130" i="31"/>
  <c r="I129" i="31"/>
  <c r="I121" i="31"/>
  <c r="I120" i="31"/>
  <c r="I119" i="31"/>
  <c r="G46" i="31"/>
  <c r="BL3" i="24"/>
  <c r="BA3" i="24"/>
  <c r="AQ3" i="24"/>
  <c r="AG3" i="24"/>
  <c r="V3" i="24"/>
  <c r="V115" i="24"/>
  <c r="V136" i="24"/>
  <c r="V146" i="24"/>
  <c r="K101" i="24"/>
  <c r="K106" i="24"/>
  <c r="K113" i="24"/>
  <c r="K115" i="24"/>
  <c r="K118" i="24"/>
  <c r="K128" i="24"/>
  <c r="K136" i="24"/>
  <c r="K141" i="24"/>
  <c r="K145" i="24"/>
  <c r="K146" i="24"/>
  <c r="K149" i="24"/>
  <c r="K158" i="24"/>
  <c r="K159" i="24"/>
  <c r="K166" i="24"/>
  <c r="AJ3" i="31"/>
  <c r="AI3" i="31"/>
  <c r="AD3" i="31"/>
  <c r="AC3" i="31"/>
  <c r="Y3" i="31"/>
  <c r="X3" i="31"/>
  <c r="T3" i="31"/>
  <c r="S3" i="31"/>
  <c r="M110" i="31"/>
  <c r="M109" i="31"/>
  <c r="N3" i="31"/>
  <c r="M3" i="31"/>
  <c r="H146" i="31"/>
  <c r="H136" i="31"/>
  <c r="G110" i="31"/>
  <c r="G109" i="31"/>
  <c r="K110" i="31"/>
  <c r="E110" i="31"/>
  <c r="K109" i="31"/>
  <c r="E109" i="31"/>
  <c r="C95" i="31"/>
  <c r="C94" i="31"/>
  <c r="C93" i="31"/>
  <c r="C92" i="31"/>
  <c r="C91" i="31"/>
  <c r="AH3" i="31"/>
  <c r="AG3" i="31"/>
  <c r="AB3" i="31"/>
  <c r="AA3" i="31"/>
  <c r="W3" i="31"/>
  <c r="V3" i="31"/>
  <c r="R3" i="31"/>
  <c r="Q3" i="31"/>
  <c r="O3" i="31"/>
  <c r="L3" i="31"/>
  <c r="K3" i="31"/>
  <c r="I107" i="31" l="1"/>
  <c r="R9" i="31"/>
  <c r="AD9" i="24"/>
  <c r="R14" i="31"/>
  <c r="R16" i="31"/>
  <c r="AD16" i="24"/>
  <c r="R21" i="31"/>
  <c r="R30" i="31"/>
  <c r="AD30" i="24"/>
  <c r="R33" i="31"/>
  <c r="AD33" i="24"/>
  <c r="R42" i="31"/>
  <c r="AD42" i="24"/>
  <c r="R45" i="31"/>
  <c r="AD45" i="24"/>
  <c r="R48" i="31"/>
  <c r="AD48" i="24"/>
  <c r="R53" i="31"/>
  <c r="R67" i="31"/>
  <c r="AD67" i="24"/>
  <c r="R70" i="31"/>
  <c r="AD70" i="24"/>
  <c r="AD72" i="24"/>
  <c r="R74" i="31"/>
  <c r="AD74" i="24"/>
  <c r="R78" i="31"/>
  <c r="AD78" i="24"/>
  <c r="W5" i="31"/>
  <c r="W9" i="31"/>
  <c r="AN9" i="24"/>
  <c r="W14" i="31"/>
  <c r="W16" i="31"/>
  <c r="AN16" i="24"/>
  <c r="W21" i="31"/>
  <c r="W179" i="31" s="1"/>
  <c r="W181" i="31" s="1"/>
  <c r="W30" i="31"/>
  <c r="AN30" i="24"/>
  <c r="W33" i="31"/>
  <c r="AN33" i="24"/>
  <c r="W42" i="31"/>
  <c r="AN42" i="24"/>
  <c r="W45" i="31"/>
  <c r="AB45" i="31" s="1"/>
  <c r="AN45" i="24"/>
  <c r="W48" i="31"/>
  <c r="AN48" i="24"/>
  <c r="W53" i="31"/>
  <c r="W60" i="31"/>
  <c r="W65" i="31"/>
  <c r="W67" i="31"/>
  <c r="AB67" i="31" s="1"/>
  <c r="AN67" i="24"/>
  <c r="W70" i="31"/>
  <c r="AN70" i="24"/>
  <c r="W72" i="31"/>
  <c r="AN72" i="24"/>
  <c r="W74" i="31"/>
  <c r="AN74" i="24"/>
  <c r="W78" i="31"/>
  <c r="AB78" i="31" s="1"/>
  <c r="AN78" i="24"/>
  <c r="R5" i="31"/>
  <c r="AH9" i="31"/>
  <c r="BI9" i="24"/>
  <c r="AH14" i="31"/>
  <c r="AH16" i="31"/>
  <c r="BI16" i="24"/>
  <c r="AH21" i="31"/>
  <c r="AH179" i="31" s="1"/>
  <c r="AH181" i="31" s="1"/>
  <c r="AH30" i="31"/>
  <c r="BI30" i="24"/>
  <c r="AH33" i="31"/>
  <c r="BI33" i="24"/>
  <c r="AH42" i="31"/>
  <c r="BI42" i="24"/>
  <c r="AH45" i="31"/>
  <c r="BI45" i="24"/>
  <c r="AH48" i="31"/>
  <c r="BI48" i="24"/>
  <c r="AH53" i="31"/>
  <c r="AH60" i="31"/>
  <c r="AH65" i="31"/>
  <c r="AH67" i="31"/>
  <c r="BI67" i="24"/>
  <c r="AH70" i="31"/>
  <c r="BI70" i="24"/>
  <c r="AH72" i="31"/>
  <c r="BI72" i="24"/>
  <c r="AH74" i="31"/>
  <c r="BI74" i="24"/>
  <c r="AH78" i="31"/>
  <c r="BI78" i="24"/>
  <c r="L7" i="31"/>
  <c r="S7" i="24"/>
  <c r="S10" i="24"/>
  <c r="S15" i="24"/>
  <c r="L17" i="31"/>
  <c r="S17" i="24"/>
  <c r="L24" i="31"/>
  <c r="L183" i="31" s="1"/>
  <c r="S24" i="24"/>
  <c r="S47" i="24"/>
  <c r="L51" i="31"/>
  <c r="S51" i="24"/>
  <c r="L54" i="31"/>
  <c r="S54" i="24"/>
  <c r="L61" i="31"/>
  <c r="S61" i="24"/>
  <c r="L66" i="31"/>
  <c r="S66" i="24"/>
  <c r="L68" i="31"/>
  <c r="S68" i="24"/>
  <c r="S71" i="24"/>
  <c r="L73" i="31"/>
  <c r="S73" i="24"/>
  <c r="L75" i="31"/>
  <c r="S75" i="24"/>
  <c r="L81" i="31"/>
  <c r="S81" i="24"/>
  <c r="R7" i="31"/>
  <c r="AD7" i="24"/>
  <c r="R10" i="31"/>
  <c r="AD10" i="24"/>
  <c r="R15" i="31"/>
  <c r="AD15" i="24"/>
  <c r="R17" i="31"/>
  <c r="AD17" i="24"/>
  <c r="R24" i="31"/>
  <c r="AD24" i="24"/>
  <c r="AD183" i="24" s="1"/>
  <c r="AD185" i="24" s="1"/>
  <c r="R32" i="31"/>
  <c r="R41" i="31"/>
  <c r="R44" i="31"/>
  <c r="R47" i="31"/>
  <c r="AD47" i="24"/>
  <c r="R51" i="31"/>
  <c r="AD51" i="24"/>
  <c r="R54" i="31"/>
  <c r="AD54" i="24"/>
  <c r="R61" i="31"/>
  <c r="AD61" i="24"/>
  <c r="R66" i="31"/>
  <c r="AD66" i="24"/>
  <c r="R68" i="31"/>
  <c r="AD68" i="24"/>
  <c r="R71" i="31"/>
  <c r="AD71" i="24"/>
  <c r="R73" i="31"/>
  <c r="AD73" i="24"/>
  <c r="R75" i="31"/>
  <c r="AD75" i="24"/>
  <c r="R81" i="31"/>
  <c r="AD81" i="24"/>
  <c r="W7" i="31"/>
  <c r="AN7" i="24"/>
  <c r="W10" i="31"/>
  <c r="AN10" i="24"/>
  <c r="W15" i="31"/>
  <c r="AN15" i="24"/>
  <c r="W17" i="31"/>
  <c r="AN17" i="24"/>
  <c r="W24" i="31"/>
  <c r="W183" i="31" s="1"/>
  <c r="W185" i="31" s="1"/>
  <c r="AN24" i="24"/>
  <c r="AN183" i="24" s="1"/>
  <c r="AN185" i="24" s="1"/>
  <c r="W32" i="31"/>
  <c r="W41" i="31"/>
  <c r="W44" i="31"/>
  <c r="W47" i="31"/>
  <c r="AN47" i="24"/>
  <c r="W51" i="31"/>
  <c r="AN51" i="24"/>
  <c r="W54" i="31"/>
  <c r="AN54" i="24"/>
  <c r="W61" i="31"/>
  <c r="AN61" i="24"/>
  <c r="W66" i="31"/>
  <c r="AN66" i="24"/>
  <c r="W68" i="31"/>
  <c r="AN68" i="24"/>
  <c r="W71" i="31"/>
  <c r="AN71" i="24"/>
  <c r="W73" i="31"/>
  <c r="AN73" i="24"/>
  <c r="W75" i="31"/>
  <c r="AN75" i="24"/>
  <c r="W81" i="31"/>
  <c r="AN81" i="24"/>
  <c r="AH7" i="31"/>
  <c r="BI7" i="24"/>
  <c r="AH10" i="31"/>
  <c r="BI10" i="24"/>
  <c r="AH15" i="31"/>
  <c r="BI15" i="24"/>
  <c r="AH17" i="31"/>
  <c r="BI17" i="24"/>
  <c r="AH24" i="31"/>
  <c r="AH183" i="31" s="1"/>
  <c r="AH185" i="31" s="1"/>
  <c r="BI24" i="24"/>
  <c r="BI183" i="24" s="1"/>
  <c r="BI185" i="24" s="1"/>
  <c r="AH32" i="31"/>
  <c r="AH41" i="31"/>
  <c r="AH43" i="31" s="1"/>
  <c r="AH44" i="31"/>
  <c r="AH46" i="31" s="1"/>
  <c r="AH47" i="31"/>
  <c r="BI47" i="24"/>
  <c r="AH51" i="31"/>
  <c r="BI51" i="24"/>
  <c r="AH54" i="31"/>
  <c r="AH55" i="31" s="1"/>
  <c r="BI54" i="24"/>
  <c r="AH61" i="31"/>
  <c r="BI61" i="24"/>
  <c r="AH66" i="31"/>
  <c r="BI66" i="24"/>
  <c r="AH68" i="31"/>
  <c r="BI68" i="24"/>
  <c r="AH71" i="31"/>
  <c r="BI71" i="24"/>
  <c r="AH73" i="31"/>
  <c r="BI73" i="24"/>
  <c r="AH75" i="31"/>
  <c r="BI75" i="24"/>
  <c r="AH81" i="31"/>
  <c r="BI81" i="24"/>
  <c r="L5" i="31"/>
  <c r="S9" i="24"/>
  <c r="L14" i="31"/>
  <c r="L16" i="31"/>
  <c r="S16" i="24"/>
  <c r="L21" i="31"/>
  <c r="L179" i="31" s="1"/>
  <c r="L30" i="31"/>
  <c r="S30" i="24"/>
  <c r="L33" i="31"/>
  <c r="S33" i="24"/>
  <c r="L42" i="31"/>
  <c r="S42" i="24"/>
  <c r="S45" i="24"/>
  <c r="L48" i="31"/>
  <c r="S48" i="24"/>
  <c r="L53" i="31"/>
  <c r="L55" i="31" s="1"/>
  <c r="L60" i="31"/>
  <c r="L67" i="31"/>
  <c r="S67" i="24"/>
  <c r="L70" i="31"/>
  <c r="S70" i="24"/>
  <c r="L72" i="31"/>
  <c r="S72" i="24"/>
  <c r="L74" i="31"/>
  <c r="S74" i="24"/>
  <c r="L78" i="31"/>
  <c r="S78" i="24"/>
  <c r="O120" i="31"/>
  <c r="T159" i="31"/>
  <c r="R166" i="31"/>
  <c r="O119" i="31"/>
  <c r="O170" i="31"/>
  <c r="R118" i="31"/>
  <c r="R123" i="31" s="1"/>
  <c r="O150" i="31"/>
  <c r="AJ118" i="31"/>
  <c r="AJ123" i="31" s="1"/>
  <c r="V118" i="31"/>
  <c r="V123" i="31" s="1"/>
  <c r="AH118" i="31"/>
  <c r="AH123" i="31" s="1"/>
  <c r="AB118" i="31"/>
  <c r="AB123" i="31" s="1"/>
  <c r="AG118" i="31"/>
  <c r="AG123" i="31" s="1"/>
  <c r="AA118" i="31"/>
  <c r="AA123" i="31" s="1"/>
  <c r="Q118" i="31"/>
  <c r="Q123" i="31" s="1"/>
  <c r="AB102" i="31"/>
  <c r="R102" i="31"/>
  <c r="AH102" i="31"/>
  <c r="W102" i="31"/>
  <c r="AC105" i="31"/>
  <c r="X105" i="31"/>
  <c r="S105" i="31"/>
  <c r="AI105" i="31"/>
  <c r="Y108" i="31"/>
  <c r="T108" i="31"/>
  <c r="AJ108" i="31"/>
  <c r="N108" i="31"/>
  <c r="AD108" i="31"/>
  <c r="AG100" i="31"/>
  <c r="V100" i="31"/>
  <c r="Q100" i="31"/>
  <c r="AA100" i="31"/>
  <c r="AB103" i="31"/>
  <c r="AH103" i="31"/>
  <c r="W103" i="31"/>
  <c r="R103" i="31"/>
  <c r="AC107" i="31"/>
  <c r="X107" i="31"/>
  <c r="S107" i="31"/>
  <c r="AI107" i="31"/>
  <c r="AD118" i="31"/>
  <c r="AD123" i="31" s="1"/>
  <c r="AG102" i="31"/>
  <c r="AA102" i="31"/>
  <c r="V102" i="31"/>
  <c r="Q102" i="31"/>
  <c r="AB105" i="31"/>
  <c r="R105" i="31"/>
  <c r="AH105" i="31"/>
  <c r="W105" i="31"/>
  <c r="X108" i="31"/>
  <c r="S108" i="31"/>
  <c r="AI108" i="31"/>
  <c r="AC108" i="31"/>
  <c r="T118" i="31"/>
  <c r="T123" i="31" s="1"/>
  <c r="AA103" i="31"/>
  <c r="V103" i="31"/>
  <c r="Q103" i="31"/>
  <c r="AG103" i="31"/>
  <c r="AB107" i="31"/>
  <c r="AH107" i="31"/>
  <c r="W107" i="31"/>
  <c r="R107" i="31"/>
  <c r="N100" i="31"/>
  <c r="AD100" i="31"/>
  <c r="Y100" i="31"/>
  <c r="T100" i="31"/>
  <c r="AJ100" i="31"/>
  <c r="X118" i="31"/>
  <c r="X123" i="31" s="1"/>
  <c r="AG105" i="31"/>
  <c r="AA105" i="31"/>
  <c r="V105" i="31"/>
  <c r="Q105" i="31"/>
  <c r="AH108" i="31"/>
  <c r="W108" i="31"/>
  <c r="R108" i="31"/>
  <c r="AB108" i="31"/>
  <c r="AD102" i="31"/>
  <c r="N102" i="31"/>
  <c r="Y102" i="31"/>
  <c r="T102" i="31"/>
  <c r="AJ102" i="31"/>
  <c r="AC118" i="31"/>
  <c r="AC123" i="31" s="1"/>
  <c r="AG107" i="31"/>
  <c r="V107" i="31"/>
  <c r="Q107" i="31"/>
  <c r="AA107" i="31"/>
  <c r="AC100" i="31"/>
  <c r="X100" i="31"/>
  <c r="S100" i="31"/>
  <c r="AI100" i="31"/>
  <c r="Y103" i="31"/>
  <c r="T103" i="31"/>
  <c r="N103" i="31"/>
  <c r="AJ103" i="31"/>
  <c r="AD103" i="31"/>
  <c r="AI118" i="31"/>
  <c r="AI123" i="31" s="1"/>
  <c r="AA108" i="31"/>
  <c r="Q108" i="31"/>
  <c r="V108" i="31"/>
  <c r="AG108" i="31"/>
  <c r="AC102" i="31"/>
  <c r="S102" i="31"/>
  <c r="X102" i="31"/>
  <c r="AI102" i="31"/>
  <c r="AD105" i="31"/>
  <c r="Y105" i="31"/>
  <c r="T105" i="31"/>
  <c r="AJ105" i="31"/>
  <c r="N105" i="31"/>
  <c r="S118" i="31"/>
  <c r="S123" i="31" s="1"/>
  <c r="Y118" i="31"/>
  <c r="Y123" i="31" s="1"/>
  <c r="R100" i="31"/>
  <c r="AB100" i="31"/>
  <c r="AH100" i="31"/>
  <c r="W100" i="31"/>
  <c r="X103" i="31"/>
  <c r="S103" i="31"/>
  <c r="AI103" i="31"/>
  <c r="AC103" i="31"/>
  <c r="AD107" i="31"/>
  <c r="Y107" i="31"/>
  <c r="T107" i="31"/>
  <c r="AJ107" i="31"/>
  <c r="N107" i="31"/>
  <c r="W118" i="31"/>
  <c r="W123" i="31" s="1"/>
  <c r="AB141" i="31"/>
  <c r="O168" i="31"/>
  <c r="W141" i="31"/>
  <c r="AD141" i="31"/>
  <c r="O152" i="31"/>
  <c r="AH166" i="31"/>
  <c r="I105" i="31"/>
  <c r="AH141" i="31"/>
  <c r="O151" i="31"/>
  <c r="O176" i="31"/>
  <c r="W166" i="31"/>
  <c r="O171" i="31"/>
  <c r="Y141" i="31"/>
  <c r="R159" i="31"/>
  <c r="AB128" i="31"/>
  <c r="AB139" i="31" s="1"/>
  <c r="K108" i="31"/>
  <c r="M102" i="31"/>
  <c r="R149" i="31"/>
  <c r="R155" i="31" s="1"/>
  <c r="M103" i="31"/>
  <c r="Y159" i="31"/>
  <c r="AD159" i="31"/>
  <c r="AH128" i="31"/>
  <c r="AH139" i="31" s="1"/>
  <c r="L102" i="31"/>
  <c r="M105" i="31"/>
  <c r="W128" i="31"/>
  <c r="W139" i="31" s="1"/>
  <c r="W159" i="31"/>
  <c r="AH159" i="31"/>
  <c r="L103" i="31"/>
  <c r="M107" i="31"/>
  <c r="R128" i="31"/>
  <c r="R139" i="31" s="1"/>
  <c r="K102" i="31"/>
  <c r="L105" i="31"/>
  <c r="M108" i="31"/>
  <c r="K103" i="31"/>
  <c r="L107" i="31"/>
  <c r="AD166" i="31"/>
  <c r="AB149" i="31"/>
  <c r="AB155" i="31" s="1"/>
  <c r="K105" i="31"/>
  <c r="L108" i="31"/>
  <c r="AH149" i="31"/>
  <c r="AH155" i="31" s="1"/>
  <c r="K107" i="31"/>
  <c r="M100" i="31"/>
  <c r="AB159" i="31"/>
  <c r="W149" i="31"/>
  <c r="W155" i="31" s="1"/>
  <c r="AB166" i="31"/>
  <c r="W43" i="31"/>
  <c r="W46" i="31"/>
  <c r="AB16" i="31"/>
  <c r="AJ166" i="31"/>
  <c r="Y166" i="31"/>
  <c r="T166" i="31"/>
  <c r="K163" i="24"/>
  <c r="T141" i="31"/>
  <c r="AJ141" i="31"/>
  <c r="AD128" i="31"/>
  <c r="AD139" i="31" s="1"/>
  <c r="I108" i="31"/>
  <c r="V106" i="24"/>
  <c r="I102" i="31"/>
  <c r="I103" i="31"/>
  <c r="I100" i="31"/>
  <c r="V101" i="24"/>
  <c r="AJ149" i="31"/>
  <c r="AJ155" i="31" s="1"/>
  <c r="AB17" i="31"/>
  <c r="AB54" i="31"/>
  <c r="AB61" i="31"/>
  <c r="AB71" i="31"/>
  <c r="AB73" i="31"/>
  <c r="R60" i="31"/>
  <c r="AB60" i="31" s="1"/>
  <c r="L9" i="31"/>
  <c r="L65" i="31"/>
  <c r="R179" i="31"/>
  <c r="R181" i="31" s="1"/>
  <c r="AB21" i="31"/>
  <c r="AB179" i="31" s="1"/>
  <c r="AB181" i="31" s="1"/>
  <c r="AB42" i="31"/>
  <c r="L10" i="31"/>
  <c r="L71" i="31"/>
  <c r="R65" i="31"/>
  <c r="L15" i="31"/>
  <c r="R72" i="31"/>
  <c r="AB72" i="31" s="1"/>
  <c r="L32" i="31"/>
  <c r="AH5" i="31"/>
  <c r="AB15" i="31"/>
  <c r="R43" i="31"/>
  <c r="AB41" i="31"/>
  <c r="AB44" i="31"/>
  <c r="AB68" i="31"/>
  <c r="L41" i="31"/>
  <c r="L43" i="31" s="1"/>
  <c r="L49" i="31" s="1"/>
  <c r="AD149" i="31"/>
  <c r="AD155" i="31" s="1"/>
  <c r="T149" i="31"/>
  <c r="T155" i="31" s="1"/>
  <c r="Y149" i="31"/>
  <c r="Y155" i="31" s="1"/>
  <c r="AJ159" i="31"/>
  <c r="AJ128" i="31"/>
  <c r="AJ139" i="31" s="1"/>
  <c r="Y128" i="31"/>
  <c r="Y139" i="31" s="1"/>
  <c r="T128" i="31"/>
  <c r="T139" i="31" s="1"/>
  <c r="W62" i="31"/>
  <c r="G106" i="31"/>
  <c r="W55" i="31"/>
  <c r="G101" i="31"/>
  <c r="H141" i="31"/>
  <c r="H128" i="31"/>
  <c r="H166" i="31"/>
  <c r="N159" i="31"/>
  <c r="N146" i="31"/>
  <c r="AE176" i="31"/>
  <c r="W34" i="31"/>
  <c r="AE121" i="31"/>
  <c r="AE133" i="31"/>
  <c r="H118" i="31"/>
  <c r="H149" i="31"/>
  <c r="H106" i="31"/>
  <c r="G118" i="31"/>
  <c r="G115" i="31" s="1"/>
  <c r="G123" i="31" s="1"/>
  <c r="AH34" i="31"/>
  <c r="AE160" i="31"/>
  <c r="H101" i="31"/>
  <c r="H159" i="31"/>
  <c r="N136" i="31"/>
  <c r="V166" i="24"/>
  <c r="K123" i="24"/>
  <c r="V128" i="24"/>
  <c r="K139" i="24"/>
  <c r="V159" i="24"/>
  <c r="V118" i="24"/>
  <c r="V141" i="24"/>
  <c r="K155" i="24"/>
  <c r="K164" i="24"/>
  <c r="E118" i="31"/>
  <c r="F166" i="31"/>
  <c r="E101" i="31"/>
  <c r="K100" i="31"/>
  <c r="L132" i="31"/>
  <c r="O132" i="31" s="1"/>
  <c r="L130" i="31"/>
  <c r="O130" i="31" s="1"/>
  <c r="L133" i="31"/>
  <c r="O133" i="31" s="1"/>
  <c r="L6" i="31"/>
  <c r="L27" i="31"/>
  <c r="F146" i="31"/>
  <c r="I146" i="31" s="1"/>
  <c r="W18" i="31"/>
  <c r="F106" i="31"/>
  <c r="E106" i="31"/>
  <c r="AH27" i="31"/>
  <c r="F101" i="31"/>
  <c r="L100" i="31"/>
  <c r="F136" i="31"/>
  <c r="I136" i="31" s="1"/>
  <c r="L137" i="31"/>
  <c r="L136" i="31" s="1"/>
  <c r="F118" i="31"/>
  <c r="L129" i="31"/>
  <c r="O129" i="31" s="1"/>
  <c r="L134" i="31"/>
  <c r="O134" i="31" s="1"/>
  <c r="F128" i="31"/>
  <c r="F141" i="31"/>
  <c r="F149" i="31"/>
  <c r="L131" i="31"/>
  <c r="O131" i="31" s="1"/>
  <c r="L185" i="31"/>
  <c r="L146" i="31"/>
  <c r="F159" i="31"/>
  <c r="F163" i="31" s="1"/>
  <c r="L181" i="31"/>
  <c r="AB74" i="31" l="1"/>
  <c r="AB30" i="31"/>
  <c r="W11" i="31"/>
  <c r="AB81" i="31"/>
  <c r="AB51" i="31"/>
  <c r="AB32" i="31"/>
  <c r="AB10" i="31"/>
  <c r="L62" i="31"/>
  <c r="AB33" i="31"/>
  <c r="AB14" i="31"/>
  <c r="AB18" i="31" s="1"/>
  <c r="AH62" i="31"/>
  <c r="AB9" i="31"/>
  <c r="O102" i="31"/>
  <c r="W58" i="31"/>
  <c r="W76" i="31"/>
  <c r="R18" i="31"/>
  <c r="L34" i="31"/>
  <c r="W49" i="31"/>
  <c r="W57" i="31" s="1"/>
  <c r="AH76" i="31"/>
  <c r="AH58" i="31"/>
  <c r="AB75" i="31"/>
  <c r="AB66" i="31"/>
  <c r="AB24" i="31"/>
  <c r="AB183" i="31" s="1"/>
  <c r="AB185" i="31" s="1"/>
  <c r="R11" i="31"/>
  <c r="AB70" i="31"/>
  <c r="R58" i="31"/>
  <c r="L18" i="31"/>
  <c r="AH18" i="31"/>
  <c r="AB5" i="31"/>
  <c r="R62" i="31"/>
  <c r="AB48" i="31"/>
  <c r="AB58" i="31" s="1"/>
  <c r="R55" i="31"/>
  <c r="R183" i="31"/>
  <c r="R185" i="31" s="1"/>
  <c r="R34" i="31"/>
  <c r="AB7" i="31"/>
  <c r="AB53" i="31"/>
  <c r="W27" i="31"/>
  <c r="W35" i="31" s="1"/>
  <c r="AH11" i="31"/>
  <c r="AH35" i="31" s="1"/>
  <c r="R27" i="31"/>
  <c r="AB65" i="31"/>
  <c r="AH49" i="31"/>
  <c r="AH57" i="31" s="1"/>
  <c r="AX81" i="24"/>
  <c r="AX68" i="24"/>
  <c r="AX51" i="24"/>
  <c r="AD32" i="24"/>
  <c r="AX10" i="24"/>
  <c r="BI60" i="24"/>
  <c r="AX72" i="24"/>
  <c r="AD60" i="24"/>
  <c r="AX42" i="24"/>
  <c r="AX16" i="24"/>
  <c r="BI32" i="24"/>
  <c r="S44" i="24"/>
  <c r="S65" i="24"/>
  <c r="S21" i="24"/>
  <c r="AN44" i="24"/>
  <c r="AX75" i="24"/>
  <c r="AX66" i="24"/>
  <c r="AX47" i="24"/>
  <c r="AX24" i="24"/>
  <c r="AX183" i="24" s="1"/>
  <c r="AX185" i="24" s="1"/>
  <c r="AX7" i="24"/>
  <c r="BI53" i="24"/>
  <c r="BI14" i="24"/>
  <c r="AN65" i="24"/>
  <c r="AN21" i="24"/>
  <c r="AN179" i="24" s="1"/>
  <c r="AN181" i="24" s="1"/>
  <c r="AX70" i="24"/>
  <c r="AD53" i="24"/>
  <c r="AX33" i="24"/>
  <c r="AD14" i="24"/>
  <c r="S41" i="24"/>
  <c r="S60" i="24"/>
  <c r="AN41" i="24"/>
  <c r="AX73" i="24"/>
  <c r="AX61" i="24"/>
  <c r="AD44" i="24"/>
  <c r="AX17" i="24"/>
  <c r="AN60" i="24"/>
  <c r="AX78" i="24"/>
  <c r="AX67" i="24"/>
  <c r="AX48" i="24"/>
  <c r="AX30" i="24"/>
  <c r="AX9" i="24"/>
  <c r="BI44" i="24"/>
  <c r="S32" i="24"/>
  <c r="S53" i="24"/>
  <c r="S14" i="24"/>
  <c r="AN32" i="24"/>
  <c r="AX71" i="24"/>
  <c r="AX54" i="24"/>
  <c r="AD41" i="24"/>
  <c r="AX15" i="24"/>
  <c r="BI65" i="24"/>
  <c r="BI21" i="24"/>
  <c r="BI179" i="24" s="1"/>
  <c r="BI181" i="24" s="1"/>
  <c r="AN53" i="24"/>
  <c r="AN14" i="24"/>
  <c r="AX74" i="24"/>
  <c r="AX45" i="24"/>
  <c r="AD21" i="24"/>
  <c r="AD179" i="24" s="1"/>
  <c r="AD181" i="24" s="1"/>
  <c r="BI41" i="24"/>
  <c r="AB43" i="31"/>
  <c r="O103" i="31"/>
  <c r="O100" i="31"/>
  <c r="AA101" i="31"/>
  <c r="V101" i="31"/>
  <c r="Q101" i="31"/>
  <c r="AG101" i="31"/>
  <c r="X106" i="31"/>
  <c r="S106" i="31"/>
  <c r="AI106" i="31"/>
  <c r="AC106" i="31"/>
  <c r="R101" i="31"/>
  <c r="AH101" i="31"/>
  <c r="W101" i="31"/>
  <c r="AB101" i="31"/>
  <c r="Y106" i="31"/>
  <c r="T106" i="31"/>
  <c r="AJ106" i="31"/>
  <c r="AD106" i="31"/>
  <c r="N106" i="31"/>
  <c r="R106" i="31"/>
  <c r="W106" i="31"/>
  <c r="AH106" i="31"/>
  <c r="AB106" i="31"/>
  <c r="Y101" i="31"/>
  <c r="T101" i="31"/>
  <c r="AJ101" i="31"/>
  <c r="N101" i="31"/>
  <c r="AD101" i="31"/>
  <c r="AA106" i="31"/>
  <c r="Q106" i="31"/>
  <c r="V106" i="31"/>
  <c r="AG106" i="31"/>
  <c r="X101" i="31"/>
  <c r="S101" i="31"/>
  <c r="AI101" i="31"/>
  <c r="AC101" i="31"/>
  <c r="AE100" i="31"/>
  <c r="AE103" i="31"/>
  <c r="O136" i="31"/>
  <c r="M106" i="31"/>
  <c r="L106" i="31"/>
  <c r="K101" i="31"/>
  <c r="O146" i="31"/>
  <c r="L101" i="31"/>
  <c r="K106" i="31"/>
  <c r="M101" i="31"/>
  <c r="L76" i="31"/>
  <c r="L57" i="31"/>
  <c r="L11" i="31"/>
  <c r="V123" i="24"/>
  <c r="R76" i="31"/>
  <c r="AE175" i="31"/>
  <c r="AE170" i="31"/>
  <c r="AE171" i="31"/>
  <c r="AE166" i="31"/>
  <c r="AE168" i="31"/>
  <c r="AE167" i="31"/>
  <c r="AE161" i="31"/>
  <c r="AE153" i="31"/>
  <c r="AE152" i="31"/>
  <c r="AE150" i="31"/>
  <c r="AE151" i="31"/>
  <c r="AE146" i="31"/>
  <c r="AE136" i="31"/>
  <c r="AE134" i="31"/>
  <c r="AE132" i="31"/>
  <c r="AE131" i="31"/>
  <c r="AE130" i="31"/>
  <c r="AE129" i="31"/>
  <c r="AE119" i="31"/>
  <c r="AE120" i="31"/>
  <c r="AE102" i="31"/>
  <c r="I118" i="31"/>
  <c r="H155" i="31"/>
  <c r="I149" i="31"/>
  <c r="W56" i="31"/>
  <c r="I166" i="31"/>
  <c r="I106" i="31"/>
  <c r="I128" i="31"/>
  <c r="I141" i="31"/>
  <c r="I159" i="31"/>
  <c r="I101" i="31"/>
  <c r="K115" i="31"/>
  <c r="H139" i="31"/>
  <c r="N166" i="31"/>
  <c r="AE141" i="31"/>
  <c r="N118" i="31"/>
  <c r="M118" i="31"/>
  <c r="N149" i="31"/>
  <c r="H164" i="31"/>
  <c r="N128" i="31"/>
  <c r="N141" i="31"/>
  <c r="H163" i="31"/>
  <c r="I163" i="31" s="1"/>
  <c r="M115" i="31"/>
  <c r="E115" i="31"/>
  <c r="E123" i="31" s="1"/>
  <c r="V139" i="24"/>
  <c r="AB62" i="31"/>
  <c r="AB34" i="31"/>
  <c r="K118" i="31"/>
  <c r="L141" i="31"/>
  <c r="R46" i="31"/>
  <c r="AH6" i="31"/>
  <c r="L149" i="31"/>
  <c r="L155" i="31" s="1"/>
  <c r="F139" i="31"/>
  <c r="L128" i="31"/>
  <c r="L26" i="31" s="1"/>
  <c r="AB55" i="31"/>
  <c r="L159" i="31"/>
  <c r="O159" i="31" s="1"/>
  <c r="AH28" i="31"/>
  <c r="L166" i="31"/>
  <c r="F164" i="31"/>
  <c r="F155" i="31"/>
  <c r="L118" i="31"/>
  <c r="R35" i="31" l="1"/>
  <c r="L35" i="31"/>
  <c r="L36" i="31" s="1"/>
  <c r="AX41" i="24"/>
  <c r="AX44" i="24"/>
  <c r="AB11" i="31"/>
  <c r="AH12" i="31"/>
  <c r="AB76" i="31"/>
  <c r="L12" i="31"/>
  <c r="AB27" i="31"/>
  <c r="AX32" i="24"/>
  <c r="AX14" i="24"/>
  <c r="AX60" i="24"/>
  <c r="AX21" i="24"/>
  <c r="AX179" i="24" s="1"/>
  <c r="AX181" i="24" s="1"/>
  <c r="AX53" i="24"/>
  <c r="O101" i="31"/>
  <c r="J130" i="31"/>
  <c r="J129" i="31"/>
  <c r="J133" i="31"/>
  <c r="J131" i="31"/>
  <c r="J134" i="31"/>
  <c r="J132" i="31"/>
  <c r="AE101" i="31"/>
  <c r="W77" i="31"/>
  <c r="W80" i="31" s="1"/>
  <c r="O118" i="31"/>
  <c r="O141" i="31"/>
  <c r="O166" i="31"/>
  <c r="N155" i="31"/>
  <c r="O155" i="31" s="1"/>
  <c r="O149" i="31"/>
  <c r="O128" i="31"/>
  <c r="AE159" i="31"/>
  <c r="AE149" i="31"/>
  <c r="AE128" i="31"/>
  <c r="AE118" i="31"/>
  <c r="AB47" i="31"/>
  <c r="K123" i="31"/>
  <c r="I155" i="31"/>
  <c r="I139" i="31"/>
  <c r="I164" i="31"/>
  <c r="H115" i="31"/>
  <c r="H123" i="31" s="1"/>
  <c r="I116" i="31"/>
  <c r="M123" i="31"/>
  <c r="N115" i="31"/>
  <c r="N139" i="31"/>
  <c r="W64" i="31"/>
  <c r="W69" i="31" s="1"/>
  <c r="L23" i="31"/>
  <c r="AB46" i="31"/>
  <c r="L8" i="31"/>
  <c r="L115" i="31"/>
  <c r="F115" i="31"/>
  <c r="F123" i="31" s="1"/>
  <c r="AH77" i="31"/>
  <c r="AH64" i="31"/>
  <c r="AH36" i="31"/>
  <c r="L139" i="31"/>
  <c r="L28" i="31"/>
  <c r="L22" i="31"/>
  <c r="L25" i="31"/>
  <c r="AH25" i="31"/>
  <c r="AH22" i="31"/>
  <c r="AB35" i="31" l="1"/>
  <c r="W79" i="31"/>
  <c r="O139" i="31"/>
  <c r="N123" i="31"/>
  <c r="O115" i="31"/>
  <c r="H124" i="31"/>
  <c r="I123" i="31"/>
  <c r="AE155" i="31"/>
  <c r="AE139" i="31"/>
  <c r="AE115" i="31"/>
  <c r="R49" i="31"/>
  <c r="R57" i="31" s="1"/>
  <c r="AB49" i="31"/>
  <c r="AB57" i="31" s="1"/>
  <c r="I115" i="31"/>
  <c r="L64" i="31"/>
  <c r="L77" i="31"/>
  <c r="L37" i="31"/>
  <c r="L19" i="31"/>
  <c r="L123" i="31"/>
  <c r="AH37" i="31"/>
  <c r="AH38" i="31"/>
  <c r="W83" i="31"/>
  <c r="W82" i="31"/>
  <c r="AH80" i="31"/>
  <c r="AH79" i="31"/>
  <c r="AR66" i="24"/>
  <c r="AR42" i="24"/>
  <c r="AR33" i="24"/>
  <c r="W21" i="24" l="1"/>
  <c r="W33" i="24"/>
  <c r="Y33" i="24" s="1"/>
  <c r="W42" i="24"/>
  <c r="Y42" i="24" s="1"/>
  <c r="N45" i="31"/>
  <c r="W48" i="24"/>
  <c r="Y48" i="24" s="1"/>
  <c r="N53" i="31"/>
  <c r="W66" i="24"/>
  <c r="W68" i="24"/>
  <c r="Y68" i="24" s="1"/>
  <c r="N73" i="31"/>
  <c r="O73" i="31" s="1"/>
  <c r="N75" i="31"/>
  <c r="W81" i="24"/>
  <c r="N16" i="31"/>
  <c r="T5" i="31"/>
  <c r="T9" i="31"/>
  <c r="AH9" i="24"/>
  <c r="T14" i="31"/>
  <c r="T16" i="31"/>
  <c r="AH16" i="24"/>
  <c r="T21" i="31"/>
  <c r="T30" i="31"/>
  <c r="AH30" i="24"/>
  <c r="T33" i="31"/>
  <c r="AH33" i="24"/>
  <c r="BB33" i="24" s="1"/>
  <c r="T42" i="31"/>
  <c r="AH42" i="24"/>
  <c r="T45" i="31"/>
  <c r="AH45" i="24"/>
  <c r="T48" i="31"/>
  <c r="AH48" i="24"/>
  <c r="T53" i="31"/>
  <c r="T61" i="31"/>
  <c r="AH61" i="24"/>
  <c r="T66" i="31"/>
  <c r="AH66" i="24"/>
  <c r="T68" i="31"/>
  <c r="AH68" i="24"/>
  <c r="T71" i="31"/>
  <c r="AH71" i="24"/>
  <c r="T73" i="31"/>
  <c r="AH73" i="24"/>
  <c r="T75" i="31"/>
  <c r="AH75" i="24"/>
  <c r="T81" i="31"/>
  <c r="AH81" i="24"/>
  <c r="Y16" i="31"/>
  <c r="AR16" i="24"/>
  <c r="Y45" i="31"/>
  <c r="AR45" i="24"/>
  <c r="Y48" i="31"/>
  <c r="AR48" i="24"/>
  <c r="Y53" i="31"/>
  <c r="Y61" i="31"/>
  <c r="AR61" i="24"/>
  <c r="Y68" i="31"/>
  <c r="AR68" i="24"/>
  <c r="Y71" i="31"/>
  <c r="AR71" i="24"/>
  <c r="Y73" i="31"/>
  <c r="AR73" i="24"/>
  <c r="Y75" i="31"/>
  <c r="AD75" i="31" s="1"/>
  <c r="AR75" i="24"/>
  <c r="Y81" i="31"/>
  <c r="AD81" i="31" s="1"/>
  <c r="AR81" i="24"/>
  <c r="N9" i="31"/>
  <c r="Y14" i="31"/>
  <c r="AD14" i="31" s="1"/>
  <c r="Y30" i="31"/>
  <c r="AD30" i="31" s="1"/>
  <c r="AR30" i="24"/>
  <c r="AJ9" i="31"/>
  <c r="BM9" i="24"/>
  <c r="AJ14" i="31"/>
  <c r="AJ16" i="31"/>
  <c r="BM16" i="24"/>
  <c r="AJ21" i="31"/>
  <c r="AJ179" i="31" s="1"/>
  <c r="AJ181" i="31" s="1"/>
  <c r="AJ30" i="31"/>
  <c r="BM30" i="24"/>
  <c r="AJ33" i="31"/>
  <c r="BM33" i="24"/>
  <c r="AJ42" i="31"/>
  <c r="BM42" i="24"/>
  <c r="AJ45" i="31"/>
  <c r="BM45" i="24"/>
  <c r="AJ48" i="31"/>
  <c r="BM48" i="24"/>
  <c r="AJ53" i="31"/>
  <c r="AJ61" i="31"/>
  <c r="BM61" i="24"/>
  <c r="AJ66" i="31"/>
  <c r="BM66" i="24"/>
  <c r="AJ68" i="31"/>
  <c r="BM68" i="24"/>
  <c r="AJ71" i="31"/>
  <c r="BM71" i="24"/>
  <c r="AJ73" i="31"/>
  <c r="BM73" i="24"/>
  <c r="AJ75" i="31"/>
  <c r="BM75" i="24"/>
  <c r="AJ81" i="31"/>
  <c r="BM81" i="24"/>
  <c r="N14" i="31"/>
  <c r="O14" i="31" s="1"/>
  <c r="Y21" i="31"/>
  <c r="AJ5" i="31"/>
  <c r="AJ6" i="31" s="1"/>
  <c r="N7" i="31"/>
  <c r="O7" i="31" s="1"/>
  <c r="N10" i="31"/>
  <c r="O10" i="31" s="1"/>
  <c r="N41" i="31"/>
  <c r="N60" i="31"/>
  <c r="O60" i="31" s="1"/>
  <c r="T7" i="31"/>
  <c r="AH7" i="24"/>
  <c r="T10" i="31"/>
  <c r="AH10" i="24"/>
  <c r="T15" i="31"/>
  <c r="AH15" i="24"/>
  <c r="T17" i="31"/>
  <c r="AH17" i="24"/>
  <c r="AH24" i="24"/>
  <c r="AH183" i="24" s="1"/>
  <c r="AH185" i="24" s="1"/>
  <c r="T32" i="31"/>
  <c r="T44" i="31"/>
  <c r="T47" i="31"/>
  <c r="AH47" i="24"/>
  <c r="T51" i="31"/>
  <c r="AH51" i="24"/>
  <c r="AH54" i="24"/>
  <c r="T67" i="31"/>
  <c r="AH67" i="24"/>
  <c r="T70" i="31"/>
  <c r="AH70" i="24"/>
  <c r="T72" i="31"/>
  <c r="AH72" i="24"/>
  <c r="T74" i="31"/>
  <c r="AH74" i="24"/>
  <c r="T78" i="31"/>
  <c r="AH78" i="24"/>
  <c r="Y5" i="31"/>
  <c r="Y7" i="31"/>
  <c r="AR7" i="24"/>
  <c r="Y10" i="31"/>
  <c r="AR10" i="24"/>
  <c r="Y15" i="31"/>
  <c r="AR15" i="24"/>
  <c r="Y17" i="31"/>
  <c r="AR17" i="24"/>
  <c r="Y24" i="31"/>
  <c r="Y183" i="31" s="1"/>
  <c r="AR24" i="24"/>
  <c r="AR183" i="24" s="1"/>
  <c r="AR185" i="24" s="1"/>
  <c r="Y32" i="31"/>
  <c r="Y41" i="31"/>
  <c r="Y44" i="31"/>
  <c r="Y47" i="31"/>
  <c r="AR47" i="24"/>
  <c r="Y51" i="31"/>
  <c r="AR51" i="24"/>
  <c r="Y54" i="31"/>
  <c r="AR54" i="24"/>
  <c r="Y60" i="31"/>
  <c r="Y65" i="31"/>
  <c r="Y67" i="31"/>
  <c r="AR67" i="24"/>
  <c r="Y70" i="31"/>
  <c r="AR70" i="24"/>
  <c r="Y72" i="31"/>
  <c r="AR72" i="24"/>
  <c r="Y74" i="31"/>
  <c r="AD74" i="31" s="1"/>
  <c r="AR74" i="24"/>
  <c r="Y78" i="31"/>
  <c r="AR78" i="24"/>
  <c r="N5" i="31"/>
  <c r="O5" i="31" s="1"/>
  <c r="Y9" i="31"/>
  <c r="AR9" i="24"/>
  <c r="AJ7" i="31"/>
  <c r="BM7" i="24"/>
  <c r="AJ10" i="31"/>
  <c r="BM10" i="24"/>
  <c r="AJ15" i="31"/>
  <c r="BM15" i="24"/>
  <c r="AJ17" i="31"/>
  <c r="BM17" i="24"/>
  <c r="AJ24" i="31"/>
  <c r="BM24" i="24"/>
  <c r="BM183" i="24" s="1"/>
  <c r="BM185" i="24" s="1"/>
  <c r="AJ32" i="31"/>
  <c r="AJ41" i="31"/>
  <c r="AJ44" i="31"/>
  <c r="AJ47" i="31"/>
  <c r="BM47" i="24"/>
  <c r="AJ51" i="31"/>
  <c r="BM51" i="24"/>
  <c r="AJ54" i="31"/>
  <c r="BM54" i="24"/>
  <c r="AJ60" i="31"/>
  <c r="AJ65" i="31"/>
  <c r="AJ67" i="31"/>
  <c r="BM67" i="24"/>
  <c r="AJ70" i="31"/>
  <c r="BM70" i="24"/>
  <c r="AJ72" i="31"/>
  <c r="BM72" i="24"/>
  <c r="AJ74" i="31"/>
  <c r="BM74" i="24"/>
  <c r="AJ78" i="31"/>
  <c r="BM78" i="24"/>
  <c r="O123" i="31"/>
  <c r="AD9" i="31"/>
  <c r="AD48" i="31"/>
  <c r="AJ34" i="31"/>
  <c r="AD53" i="31"/>
  <c r="AD68" i="31"/>
  <c r="AE68" i="31" s="1"/>
  <c r="O16" i="31"/>
  <c r="H42" i="31"/>
  <c r="N42" i="31"/>
  <c r="Y33" i="31"/>
  <c r="AD33" i="31" s="1"/>
  <c r="Y42" i="31"/>
  <c r="Y66" i="31"/>
  <c r="H33" i="31"/>
  <c r="N33" i="31"/>
  <c r="H66" i="31"/>
  <c r="N66" i="31"/>
  <c r="H21" i="31"/>
  <c r="N21" i="31"/>
  <c r="H48" i="31"/>
  <c r="N48" i="31"/>
  <c r="H68" i="31"/>
  <c r="N68" i="31"/>
  <c r="H81" i="31"/>
  <c r="N81" i="31"/>
  <c r="N8" i="31"/>
  <c r="N15" i="31"/>
  <c r="H17" i="31"/>
  <c r="N17" i="31"/>
  <c r="H24" i="31"/>
  <c r="N24" i="31"/>
  <c r="N32" i="31"/>
  <c r="N43" i="31"/>
  <c r="H44" i="31"/>
  <c r="N44" i="31"/>
  <c r="N46" i="31" s="1"/>
  <c r="H47" i="31"/>
  <c r="N47" i="31"/>
  <c r="H51" i="31"/>
  <c r="N51" i="31"/>
  <c r="H54" i="31"/>
  <c r="N54" i="31"/>
  <c r="H65" i="31"/>
  <c r="N65" i="31"/>
  <c r="H67" i="31"/>
  <c r="N67" i="31"/>
  <c r="H70" i="31"/>
  <c r="N70" i="31"/>
  <c r="H72" i="31"/>
  <c r="N72" i="31"/>
  <c r="H74" i="31"/>
  <c r="N74" i="31"/>
  <c r="H78" i="31"/>
  <c r="N78" i="31"/>
  <c r="O9" i="31"/>
  <c r="H30" i="31"/>
  <c r="N30" i="31"/>
  <c r="H61" i="31"/>
  <c r="N61" i="31"/>
  <c r="AD10" i="31"/>
  <c r="T24" i="31"/>
  <c r="AD32" i="31"/>
  <c r="T34" i="31"/>
  <c r="T41" i="31"/>
  <c r="T54" i="31"/>
  <c r="AD54" i="31" s="1"/>
  <c r="T60" i="31"/>
  <c r="T65" i="31"/>
  <c r="O75" i="31"/>
  <c r="H73" i="31"/>
  <c r="Y34" i="31"/>
  <c r="H71" i="31"/>
  <c r="N71" i="31"/>
  <c r="H75" i="31"/>
  <c r="AJ58" i="31"/>
  <c r="AE123" i="31"/>
  <c r="R77" i="31"/>
  <c r="R64" i="31"/>
  <c r="R69" i="31" s="1"/>
  <c r="L69" i="31"/>
  <c r="L79" i="31"/>
  <c r="L80" i="31"/>
  <c r="AH83" i="31"/>
  <c r="AH82" i="31"/>
  <c r="AB77" i="31"/>
  <c r="AB64" i="31"/>
  <c r="W86" i="31"/>
  <c r="W110" i="31" s="1"/>
  <c r="W85" i="31"/>
  <c r="W109" i="31" s="1"/>
  <c r="L38" i="31"/>
  <c r="H7" i="31"/>
  <c r="H10" i="31"/>
  <c r="H15" i="31"/>
  <c r="H9" i="31"/>
  <c r="H16" i="31"/>
  <c r="H5" i="31"/>
  <c r="H14" i="31"/>
  <c r="W184" i="14"/>
  <c r="W183" i="14"/>
  <c r="W179" i="14"/>
  <c r="W178" i="14"/>
  <c r="W176" i="14"/>
  <c r="W175" i="14"/>
  <c r="W168" i="14"/>
  <c r="W160" i="14"/>
  <c r="W159" i="14"/>
  <c r="W158" i="14"/>
  <c r="W157" i="14"/>
  <c r="W154" i="14"/>
  <c r="W150" i="14"/>
  <c r="W149" i="14"/>
  <c r="W144" i="14"/>
  <c r="W141" i="14"/>
  <c r="W140" i="14"/>
  <c r="W139" i="14"/>
  <c r="W138" i="14"/>
  <c r="W137" i="14"/>
  <c r="W136" i="14"/>
  <c r="W128" i="14"/>
  <c r="W127" i="14"/>
  <c r="W126" i="14"/>
  <c r="W123" i="14"/>
  <c r="W115" i="14"/>
  <c r="W114" i="14"/>
  <c r="W112" i="14"/>
  <c r="W110" i="14"/>
  <c r="W109" i="14"/>
  <c r="W107" i="14"/>
  <c r="W102" i="14"/>
  <c r="W99" i="14"/>
  <c r="W98" i="14"/>
  <c r="W97" i="14"/>
  <c r="AD51" i="31" l="1"/>
  <c r="Y27" i="31"/>
  <c r="L83" i="31"/>
  <c r="L87" i="31"/>
  <c r="Y46" i="31"/>
  <c r="AD17" i="31"/>
  <c r="AJ62" i="31"/>
  <c r="AJ46" i="31"/>
  <c r="Y62" i="31"/>
  <c r="AD73" i="31"/>
  <c r="AD5" i="31"/>
  <c r="AJ55" i="31"/>
  <c r="AD70" i="31"/>
  <c r="Y55" i="31"/>
  <c r="Y56" i="31" s="1"/>
  <c r="AD15" i="31"/>
  <c r="AD78" i="31"/>
  <c r="AD67" i="31"/>
  <c r="AE67" i="31" s="1"/>
  <c r="AD44" i="31"/>
  <c r="AD21" i="31"/>
  <c r="Y43" i="31"/>
  <c r="Y49" i="31" s="1"/>
  <c r="AJ11" i="31"/>
  <c r="AJ12" i="31" s="1"/>
  <c r="AD45" i="31"/>
  <c r="AD61" i="31"/>
  <c r="Y58" i="31"/>
  <c r="T11" i="31"/>
  <c r="Y179" i="31"/>
  <c r="Y181" i="31" s="1"/>
  <c r="N11" i="31"/>
  <c r="AJ43" i="31"/>
  <c r="AJ49" i="31" s="1"/>
  <c r="AJ57" i="31" s="1"/>
  <c r="AJ18" i="31"/>
  <c r="AD71" i="31"/>
  <c r="AE71" i="31" s="1"/>
  <c r="AD16" i="31"/>
  <c r="N55" i="31"/>
  <c r="T27" i="31"/>
  <c r="N6" i="31"/>
  <c r="T179" i="31"/>
  <c r="T181" i="31" s="1"/>
  <c r="AJ22" i="31"/>
  <c r="AJ76" i="31"/>
  <c r="AJ27" i="31"/>
  <c r="AJ28" i="31" s="1"/>
  <c r="AD47" i="31"/>
  <c r="AD7" i="31"/>
  <c r="AD72" i="31"/>
  <c r="AE72" i="31" s="1"/>
  <c r="Y76" i="31"/>
  <c r="BB68" i="24"/>
  <c r="AD65" i="31"/>
  <c r="T46" i="31"/>
  <c r="Y18" i="31"/>
  <c r="AJ25" i="31"/>
  <c r="Y11" i="31"/>
  <c r="AJ183" i="31"/>
  <c r="AD42" i="31"/>
  <c r="AE42" i="31" s="1"/>
  <c r="T18" i="31"/>
  <c r="BM32" i="24"/>
  <c r="AR32" i="24"/>
  <c r="AR34" i="24" s="1"/>
  <c r="BB74" i="24"/>
  <c r="BB47" i="24"/>
  <c r="BB24" i="24"/>
  <c r="BB183" i="24" s="1"/>
  <c r="BB185" i="24" s="1"/>
  <c r="BB7" i="24"/>
  <c r="BB81" i="24"/>
  <c r="AH53" i="24"/>
  <c r="AH14" i="24"/>
  <c r="L16" i="24"/>
  <c r="W16" i="24"/>
  <c r="Y16" i="24" s="1"/>
  <c r="W70" i="24"/>
  <c r="Y70" i="24" s="1"/>
  <c r="L70" i="24"/>
  <c r="W54" i="24"/>
  <c r="L54" i="24"/>
  <c r="W41" i="24"/>
  <c r="L15" i="24"/>
  <c r="W15" i="24"/>
  <c r="Y15" i="24" s="1"/>
  <c r="AR21" i="24"/>
  <c r="AR179" i="24" s="1"/>
  <c r="AR181" i="24" s="1"/>
  <c r="BM21" i="24"/>
  <c r="BM179" i="24" s="1"/>
  <c r="BM181" i="24" s="1"/>
  <c r="W71" i="24"/>
  <c r="Y71" i="24" s="1"/>
  <c r="L71" i="24"/>
  <c r="L42" i="24"/>
  <c r="BM25" i="24"/>
  <c r="BB72" i="24"/>
  <c r="AH60" i="24"/>
  <c r="AH44" i="24"/>
  <c r="BB17" i="24"/>
  <c r="BB75" i="24"/>
  <c r="BB66" i="24"/>
  <c r="BB48" i="24"/>
  <c r="BB30" i="24"/>
  <c r="BB9" i="24"/>
  <c r="W78" i="24"/>
  <c r="L78" i="24"/>
  <c r="W67" i="24"/>
  <c r="Y67" i="24" s="1"/>
  <c r="L67" i="24"/>
  <c r="L51" i="24"/>
  <c r="W51" i="24"/>
  <c r="Y51" i="24" s="1"/>
  <c r="W32" i="24"/>
  <c r="L10" i="24"/>
  <c r="W10" i="24"/>
  <c r="Y10" i="24" s="1"/>
  <c r="W14" i="24"/>
  <c r="AR14" i="24"/>
  <c r="AR18" i="24" s="1"/>
  <c r="Y81" i="24"/>
  <c r="L68" i="24"/>
  <c r="W53" i="24"/>
  <c r="Y53" i="24" s="1"/>
  <c r="L33" i="24"/>
  <c r="BM60" i="24"/>
  <c r="BM44" i="24"/>
  <c r="AR60" i="24"/>
  <c r="AR62" i="24" s="1"/>
  <c r="AR44" i="24"/>
  <c r="AR46" i="24" s="1"/>
  <c r="AR5" i="24"/>
  <c r="AR11" i="24" s="1"/>
  <c r="BB70" i="24"/>
  <c r="BB54" i="24"/>
  <c r="AH41" i="24"/>
  <c r="BB15" i="24"/>
  <c r="BB73" i="24"/>
  <c r="AH62" i="24"/>
  <c r="BB61" i="24"/>
  <c r="BB45" i="24"/>
  <c r="AH21" i="24"/>
  <c r="AH179" i="24" s="1"/>
  <c r="AH181" i="24" s="1"/>
  <c r="AH5" i="24"/>
  <c r="L81" i="24"/>
  <c r="W74" i="24"/>
  <c r="Y74" i="24" s="1"/>
  <c r="L74" i="24"/>
  <c r="L47" i="24"/>
  <c r="W47" i="24"/>
  <c r="Y47" i="24" s="1"/>
  <c r="L24" i="24"/>
  <c r="W24" i="24"/>
  <c r="W27" i="24" s="1"/>
  <c r="W28" i="24" s="1"/>
  <c r="L7" i="24"/>
  <c r="L8" i="24" s="1"/>
  <c r="W7" i="24"/>
  <c r="BM53" i="24"/>
  <c r="BM55" i="24" s="1"/>
  <c r="BM14" i="24"/>
  <c r="L9" i="24"/>
  <c r="W9" i="24"/>
  <c r="Y9" i="24" s="1"/>
  <c r="W75" i="24"/>
  <c r="Y75" i="24" s="1"/>
  <c r="L75" i="24"/>
  <c r="L66" i="24"/>
  <c r="W179" i="24"/>
  <c r="W181" i="24" s="1"/>
  <c r="W23" i="24" s="1"/>
  <c r="W22" i="24"/>
  <c r="Y21" i="24"/>
  <c r="BM41" i="24"/>
  <c r="W5" i="24"/>
  <c r="AR41" i="24"/>
  <c r="BB78" i="24"/>
  <c r="BB67" i="24"/>
  <c r="BB51" i="24"/>
  <c r="AH32" i="24"/>
  <c r="BB10" i="24"/>
  <c r="BB71" i="24"/>
  <c r="AH43" i="24"/>
  <c r="BB42" i="24"/>
  <c r="BB16" i="24"/>
  <c r="L30" i="24"/>
  <c r="W30" i="24"/>
  <c r="Y30" i="24" s="1"/>
  <c r="Y66" i="24"/>
  <c r="L48" i="24"/>
  <c r="W72" i="24"/>
  <c r="Y72" i="24" s="1"/>
  <c r="L72" i="24"/>
  <c r="W60" i="24"/>
  <c r="W44" i="24"/>
  <c r="W17" i="24"/>
  <c r="Y17" i="24" s="1"/>
  <c r="L17" i="24"/>
  <c r="BM5" i="24"/>
  <c r="AR53" i="24"/>
  <c r="AR55" i="24" s="1"/>
  <c r="AR56" i="24" s="1"/>
  <c r="W73" i="24"/>
  <c r="Y73" i="24" s="1"/>
  <c r="L73" i="24"/>
  <c r="L61" i="24"/>
  <c r="W61" i="24"/>
  <c r="Y61" i="24" s="1"/>
  <c r="L45" i="24"/>
  <c r="W45" i="24"/>
  <c r="Y45" i="24" s="1"/>
  <c r="N49" i="31"/>
  <c r="N18" i="31"/>
  <c r="O18" i="31" s="1"/>
  <c r="H45" i="31"/>
  <c r="H46" i="31" s="1"/>
  <c r="H60" i="31"/>
  <c r="AD60" i="31"/>
  <c r="AD62" i="31" s="1"/>
  <c r="AE62" i="31" s="1"/>
  <c r="T62" i="31"/>
  <c r="T43" i="31"/>
  <c r="AD41" i="31"/>
  <c r="AE41" i="31" s="1"/>
  <c r="T58" i="31"/>
  <c r="O67" i="31"/>
  <c r="H76" i="31"/>
  <c r="O71" i="31"/>
  <c r="N34" i="31"/>
  <c r="H18" i="31"/>
  <c r="H32" i="31"/>
  <c r="H34" i="31" s="1"/>
  <c r="O61" i="31"/>
  <c r="O74" i="31"/>
  <c r="O21" i="31"/>
  <c r="N179" i="31"/>
  <c r="N181" i="31" s="1"/>
  <c r="N23" i="31" s="1"/>
  <c r="N27" i="31"/>
  <c r="N22" i="31"/>
  <c r="T76" i="31"/>
  <c r="AD179" i="31"/>
  <c r="AD181" i="31" s="1"/>
  <c r="AD34" i="31"/>
  <c r="O24" i="31"/>
  <c r="N183" i="31"/>
  <c r="N25" i="31"/>
  <c r="H27" i="31"/>
  <c r="H179" i="31"/>
  <c r="H181" i="31" s="1"/>
  <c r="H23" i="31" s="1"/>
  <c r="H22" i="31"/>
  <c r="AD66" i="31"/>
  <c r="T183" i="31"/>
  <c r="AD24" i="31"/>
  <c r="AD183" i="31" s="1"/>
  <c r="O30" i="31"/>
  <c r="O72" i="31"/>
  <c r="N62" i="31"/>
  <c r="O62" i="31" s="1"/>
  <c r="H183" i="31"/>
  <c r="H25" i="31"/>
  <c r="T55" i="31"/>
  <c r="H53" i="31"/>
  <c r="H41" i="31"/>
  <c r="H6" i="31"/>
  <c r="H11" i="31"/>
  <c r="H8" i="31"/>
  <c r="O17" i="31"/>
  <c r="AD55" i="31"/>
  <c r="AE55" i="31" s="1"/>
  <c r="O70" i="31"/>
  <c r="O68" i="31"/>
  <c r="O11" i="31"/>
  <c r="N12" i="31"/>
  <c r="O15" i="31"/>
  <c r="O66" i="31"/>
  <c r="N76" i="31"/>
  <c r="O76" i="31" s="1"/>
  <c r="R80" i="31"/>
  <c r="R79" i="31"/>
  <c r="L82" i="31"/>
  <c r="AB69" i="31"/>
  <c r="AB80" i="31"/>
  <c r="AB79" i="31"/>
  <c r="L84" i="31"/>
  <c r="L85" i="31"/>
  <c r="L109" i="31" s="1"/>
  <c r="L86" i="31"/>
  <c r="L110" i="31" s="1"/>
  <c r="Y35" i="31" l="1"/>
  <c r="AD46" i="31"/>
  <c r="AE46" i="31" s="1"/>
  <c r="AD18" i="31"/>
  <c r="AJ35" i="31"/>
  <c r="Y57" i="31"/>
  <c r="AD11" i="31"/>
  <c r="N19" i="31"/>
  <c r="T35" i="31"/>
  <c r="T49" i="31"/>
  <c r="T57" i="31" s="1"/>
  <c r="N57" i="31"/>
  <c r="L21" i="24"/>
  <c r="W46" i="24"/>
  <c r="Y44" i="24"/>
  <c r="AH27" i="24"/>
  <c r="BB21" i="24"/>
  <c r="BB179" i="24" s="1"/>
  <c r="BB181" i="24" s="1"/>
  <c r="BM46" i="24"/>
  <c r="Y78" i="24"/>
  <c r="BM34" i="24"/>
  <c r="L44" i="24"/>
  <c r="L46" i="24" s="1"/>
  <c r="W6" i="24"/>
  <c r="W11" i="24"/>
  <c r="W12" i="24" s="1"/>
  <c r="W8" i="24"/>
  <c r="Y7" i="24"/>
  <c r="L32" i="24"/>
  <c r="L34" i="24" s="1"/>
  <c r="AH46" i="24"/>
  <c r="AH49" i="24" s="1"/>
  <c r="BB44" i="24"/>
  <c r="BB46" i="24" s="1"/>
  <c r="W55" i="24"/>
  <c r="Y54" i="24"/>
  <c r="BB41" i="24"/>
  <c r="BB43" i="24" s="1"/>
  <c r="BM62" i="24"/>
  <c r="W34" i="24"/>
  <c r="Y32" i="24"/>
  <c r="AR27" i="24"/>
  <c r="AR35" i="24" s="1"/>
  <c r="BB14" i="24"/>
  <c r="BB18" i="24" s="1"/>
  <c r="AH18" i="24"/>
  <c r="W62" i="24"/>
  <c r="Y60" i="24"/>
  <c r="BM18" i="24"/>
  <c r="W25" i="24"/>
  <c r="W183" i="24"/>
  <c r="W185" i="24" s="1"/>
  <c r="W26" i="24" s="1"/>
  <c r="Y24" i="24"/>
  <c r="AH58" i="24"/>
  <c r="BB53" i="24"/>
  <c r="BB55" i="24" s="1"/>
  <c r="AH55" i="24"/>
  <c r="BM11" i="24"/>
  <c r="BM12" i="24" s="1"/>
  <c r="BM6" i="24"/>
  <c r="L60" i="24"/>
  <c r="L62" i="24" s="1"/>
  <c r="BB32" i="24"/>
  <c r="BB34" i="24" s="1"/>
  <c r="AH34" i="24"/>
  <c r="AR43" i="24"/>
  <c r="AR49" i="24" s="1"/>
  <c r="AR57" i="24" s="1"/>
  <c r="AR58" i="24"/>
  <c r="BM43" i="24"/>
  <c r="BM58" i="24"/>
  <c r="L25" i="24"/>
  <c r="L183" i="24"/>
  <c r="L185" i="24" s="1"/>
  <c r="L26" i="24" s="1"/>
  <c r="L14" i="24"/>
  <c r="L18" i="24" s="1"/>
  <c r="BB60" i="24"/>
  <c r="BB62" i="24" s="1"/>
  <c r="W18" i="24"/>
  <c r="Y14" i="24"/>
  <c r="BM27" i="24"/>
  <c r="BM28" i="24" s="1"/>
  <c r="BM22" i="24"/>
  <c r="W43" i="24"/>
  <c r="Y41" i="24"/>
  <c r="AH11" i="24"/>
  <c r="BB5" i="24"/>
  <c r="BB11" i="24" s="1"/>
  <c r="L53" i="24"/>
  <c r="L55" i="24" s="1"/>
  <c r="L5" i="24"/>
  <c r="L41" i="24"/>
  <c r="AD76" i="31"/>
  <c r="AE76" i="31" s="1"/>
  <c r="AE66" i="31"/>
  <c r="N35" i="31"/>
  <c r="AD27" i="31"/>
  <c r="AD35" i="31" s="1"/>
  <c r="AJ36" i="31"/>
  <c r="AJ64" i="31"/>
  <c r="AJ77" i="31"/>
  <c r="H12" i="31"/>
  <c r="O27" i="31"/>
  <c r="N28" i="31"/>
  <c r="H35" i="31"/>
  <c r="H19" i="31"/>
  <c r="H62" i="31"/>
  <c r="H43" i="31"/>
  <c r="H58" i="31"/>
  <c r="H55" i="31"/>
  <c r="H28" i="31"/>
  <c r="AD43" i="31"/>
  <c r="AD49" i="31" s="1"/>
  <c r="AD58" i="31"/>
  <c r="R83" i="31"/>
  <c r="R82" i="31"/>
  <c r="AB83" i="31"/>
  <c r="AB82" i="31"/>
  <c r="Y77" i="31" l="1"/>
  <c r="T64" i="31"/>
  <c r="T69" i="31" s="1"/>
  <c r="Y64" i="31"/>
  <c r="Y69" i="31" s="1"/>
  <c r="W49" i="24"/>
  <c r="W57" i="24" s="1"/>
  <c r="BM49" i="24"/>
  <c r="BM57" i="24" s="1"/>
  <c r="N64" i="31"/>
  <c r="N69" i="31" s="1"/>
  <c r="AR64" i="24"/>
  <c r="AR69" i="24"/>
  <c r="BB27" i="24"/>
  <c r="BB35" i="24" s="1"/>
  <c r="L19" i="24"/>
  <c r="BM35" i="24"/>
  <c r="L27" i="24"/>
  <c r="L28" i="24" s="1"/>
  <c r="L179" i="24"/>
  <c r="L181" i="24" s="1"/>
  <c r="L23" i="24" s="1"/>
  <c r="L22" i="24"/>
  <c r="L11" i="24"/>
  <c r="L12" i="24" s="1"/>
  <c r="L6" i="24"/>
  <c r="AH35" i="24"/>
  <c r="BB58" i="24"/>
  <c r="L43" i="24"/>
  <c r="L49" i="24" s="1"/>
  <c r="L57" i="24" s="1"/>
  <c r="L58" i="24"/>
  <c r="BB49" i="24"/>
  <c r="BB57" i="24" s="1"/>
  <c r="W35" i="24"/>
  <c r="W19" i="24"/>
  <c r="AH57" i="24"/>
  <c r="O35" i="31"/>
  <c r="N77" i="31"/>
  <c r="O77" i="31" s="1"/>
  <c r="N36" i="31"/>
  <c r="N37" i="31" s="1"/>
  <c r="H36" i="31"/>
  <c r="AJ80" i="31"/>
  <c r="AJ79" i="31"/>
  <c r="O64" i="31"/>
  <c r="H49" i="31"/>
  <c r="AJ38" i="31"/>
  <c r="AJ37" i="31"/>
  <c r="T77" i="31"/>
  <c r="Y79" i="31"/>
  <c r="Y80" i="31"/>
  <c r="AE43" i="31"/>
  <c r="R86" i="31"/>
  <c r="R110" i="31" s="1"/>
  <c r="R85" i="31"/>
  <c r="R109" i="31" s="1"/>
  <c r="AB85" i="31"/>
  <c r="AB109" i="31" s="1"/>
  <c r="AB86" i="31"/>
  <c r="AB110" i="31" s="1"/>
  <c r="AB84" i="31"/>
  <c r="AH64" i="24" l="1"/>
  <c r="AH69" i="24" s="1"/>
  <c r="N79" i="31"/>
  <c r="BB64" i="24"/>
  <c r="BB69" i="24" s="1"/>
  <c r="BM36" i="24"/>
  <c r="BM64" i="24"/>
  <c r="W64" i="24"/>
  <c r="W36" i="24"/>
  <c r="L35" i="24"/>
  <c r="N80" i="31"/>
  <c r="N38" i="31"/>
  <c r="AD57" i="31"/>
  <c r="AE49" i="31"/>
  <c r="Y83" i="31"/>
  <c r="Y82" i="31"/>
  <c r="T79" i="31"/>
  <c r="T80" i="31"/>
  <c r="H57" i="31"/>
  <c r="AJ83" i="31"/>
  <c r="AJ84" i="31" s="1"/>
  <c r="AJ82" i="31"/>
  <c r="H37" i="31"/>
  <c r="H38" i="31"/>
  <c r="BI5" i="24"/>
  <c r="AN5" i="24"/>
  <c r="AD65" i="24"/>
  <c r="AX65" i="24" s="1"/>
  <c r="AD5" i="24"/>
  <c r="S5" i="24"/>
  <c r="Y5" i="24" s="1"/>
  <c r="F81" i="37"/>
  <c r="F78" i="37"/>
  <c r="F75" i="37"/>
  <c r="H75" i="37" s="1"/>
  <c r="F74" i="37"/>
  <c r="H74" i="37" s="1"/>
  <c r="F73" i="37"/>
  <c r="H73" i="37" s="1"/>
  <c r="F72" i="37"/>
  <c r="H72" i="37" s="1"/>
  <c r="F71" i="37"/>
  <c r="H71" i="37" s="1"/>
  <c r="F70" i="37"/>
  <c r="H70" i="37" s="1"/>
  <c r="F68" i="37"/>
  <c r="H68" i="37" s="1"/>
  <c r="F67" i="37"/>
  <c r="F66" i="37"/>
  <c r="F61" i="37"/>
  <c r="H61" i="37" s="1"/>
  <c r="F60" i="37"/>
  <c r="F54" i="37"/>
  <c r="H54" i="37" s="1"/>
  <c r="F53" i="37"/>
  <c r="F51" i="37"/>
  <c r="H51" i="37" s="1"/>
  <c r="F48" i="37"/>
  <c r="H48" i="37" s="1"/>
  <c r="F47" i="37"/>
  <c r="H47" i="37" s="1"/>
  <c r="F45" i="37"/>
  <c r="H45" i="37" s="1"/>
  <c r="F42" i="37"/>
  <c r="H42" i="37" s="1"/>
  <c r="F33" i="37"/>
  <c r="H33" i="37" s="1"/>
  <c r="F30" i="37"/>
  <c r="H30" i="37" s="1"/>
  <c r="F24" i="37"/>
  <c r="F17" i="37"/>
  <c r="H17" i="37" s="1"/>
  <c r="F16" i="37"/>
  <c r="H16" i="37" s="1"/>
  <c r="F15" i="37"/>
  <c r="H15" i="37" s="1"/>
  <c r="F14" i="37"/>
  <c r="F10" i="37"/>
  <c r="H10" i="37" s="1"/>
  <c r="F9" i="37"/>
  <c r="H9" i="37" s="1"/>
  <c r="F7" i="37"/>
  <c r="F5" i="37"/>
  <c r="H81" i="24"/>
  <c r="H75" i="24"/>
  <c r="H74" i="24"/>
  <c r="H71" i="24"/>
  <c r="H68" i="24"/>
  <c r="H67" i="24"/>
  <c r="H66" i="24"/>
  <c r="H61" i="24"/>
  <c r="H54" i="24"/>
  <c r="H51" i="24"/>
  <c r="H48" i="24"/>
  <c r="H42" i="24"/>
  <c r="H17" i="24"/>
  <c r="H10" i="24"/>
  <c r="H9" i="24"/>
  <c r="H7" i="24"/>
  <c r="F81" i="31"/>
  <c r="F78" i="31"/>
  <c r="F75" i="31"/>
  <c r="I75" i="31" s="1"/>
  <c r="F74" i="31"/>
  <c r="I74" i="31" s="1"/>
  <c r="F73" i="31"/>
  <c r="I73" i="31" s="1"/>
  <c r="F72" i="31"/>
  <c r="I72" i="31" s="1"/>
  <c r="F71" i="31"/>
  <c r="I71" i="31" s="1"/>
  <c r="F70" i="31"/>
  <c r="I70" i="31" s="1"/>
  <c r="F68" i="31"/>
  <c r="I68" i="31" s="1"/>
  <c r="F67" i="31"/>
  <c r="I67" i="31" s="1"/>
  <c r="F66" i="31"/>
  <c r="F65" i="31"/>
  <c r="F61" i="31"/>
  <c r="I61" i="31" s="1"/>
  <c r="F54" i="31"/>
  <c r="I54" i="31" s="1"/>
  <c r="F53" i="31"/>
  <c r="F51" i="31"/>
  <c r="I51" i="31" s="1"/>
  <c r="F48" i="31"/>
  <c r="I48" i="31" s="1"/>
  <c r="F47" i="31"/>
  <c r="I47" i="31" s="1"/>
  <c r="F45" i="31"/>
  <c r="I45" i="31" s="1"/>
  <c r="F42" i="31"/>
  <c r="I42" i="31" s="1"/>
  <c r="F33" i="31"/>
  <c r="I33" i="31" s="1"/>
  <c r="F32" i="31"/>
  <c r="F30" i="31"/>
  <c r="I30" i="31" s="1"/>
  <c r="F24" i="31"/>
  <c r="F21" i="31"/>
  <c r="F17" i="31"/>
  <c r="I17" i="31" s="1"/>
  <c r="F16" i="31"/>
  <c r="I16" i="31" s="1"/>
  <c r="F14" i="31"/>
  <c r="F10" i="31"/>
  <c r="I10" i="31" s="1"/>
  <c r="F9" i="31"/>
  <c r="I9" i="31" s="1"/>
  <c r="F7" i="31"/>
  <c r="F5" i="31"/>
  <c r="H78" i="24"/>
  <c r="H73" i="24"/>
  <c r="H72" i="24"/>
  <c r="H70" i="24"/>
  <c r="H65" i="24"/>
  <c r="H60" i="24"/>
  <c r="H53" i="24"/>
  <c r="H47" i="24"/>
  <c r="I45" i="24"/>
  <c r="N45" i="24" s="1"/>
  <c r="H45" i="24"/>
  <c r="H44" i="24"/>
  <c r="H33" i="24"/>
  <c r="H32" i="24"/>
  <c r="H30" i="24"/>
  <c r="H24" i="24"/>
  <c r="H16" i="24"/>
  <c r="H15" i="24"/>
  <c r="O80" i="31" l="1"/>
  <c r="N87" i="31"/>
  <c r="H7" i="37"/>
  <c r="F8" i="37"/>
  <c r="F32" i="37"/>
  <c r="H14" i="37"/>
  <c r="F18" i="37"/>
  <c r="H18" i="37" s="1"/>
  <c r="H60" i="37"/>
  <c r="F62" i="37"/>
  <c r="H62" i="37" s="1"/>
  <c r="F21" i="37"/>
  <c r="H66" i="37"/>
  <c r="F76" i="37"/>
  <c r="H76" i="37" s="1"/>
  <c r="H67" i="37"/>
  <c r="H78" i="37"/>
  <c r="H24" i="37"/>
  <c r="F183" i="37"/>
  <c r="F185" i="37" s="1"/>
  <c r="F26" i="37" s="1"/>
  <c r="F25" i="37"/>
  <c r="H81" i="37"/>
  <c r="H5" i="37"/>
  <c r="F11" i="37"/>
  <c r="H11" i="37" s="1"/>
  <c r="F6" i="37"/>
  <c r="H53" i="37"/>
  <c r="F55" i="37"/>
  <c r="H55" i="37" s="1"/>
  <c r="BG5" i="24"/>
  <c r="Q32" i="24"/>
  <c r="Q53" i="24"/>
  <c r="BG71" i="24"/>
  <c r="BH71" i="24"/>
  <c r="AL7" i="24"/>
  <c r="AM7" i="24"/>
  <c r="BG54" i="24"/>
  <c r="BH54" i="24"/>
  <c r="BG72" i="24"/>
  <c r="BH72" i="24"/>
  <c r="Q14" i="24"/>
  <c r="AB9" i="24"/>
  <c r="AC9" i="24"/>
  <c r="Q33" i="24"/>
  <c r="BG60" i="24"/>
  <c r="Q15" i="24"/>
  <c r="BG42" i="24"/>
  <c r="BH42" i="24"/>
  <c r="BG61" i="24"/>
  <c r="BH61" i="24"/>
  <c r="AL75" i="24"/>
  <c r="AM75" i="24"/>
  <c r="BG9" i="24"/>
  <c r="BH9" i="24"/>
  <c r="Q41" i="24"/>
  <c r="AB74" i="24"/>
  <c r="AC74" i="24"/>
  <c r="BG15" i="24"/>
  <c r="BH15" i="24"/>
  <c r="BG44" i="24"/>
  <c r="AL66" i="24"/>
  <c r="AM66" i="24"/>
  <c r="AB67" i="24"/>
  <c r="AC67" i="24"/>
  <c r="BG17" i="24"/>
  <c r="BH17" i="24"/>
  <c r="AB21" i="24"/>
  <c r="AB179" i="24" s="1"/>
  <c r="AB181" i="24" s="1"/>
  <c r="Q68" i="24"/>
  <c r="AB45" i="24"/>
  <c r="AC45" i="24"/>
  <c r="AB48" i="24"/>
  <c r="AC48" i="24"/>
  <c r="AL24" i="24"/>
  <c r="AL183" i="24" s="1"/>
  <c r="AL185" i="24" s="1"/>
  <c r="AM24" i="24"/>
  <c r="AM183" i="24" s="1"/>
  <c r="AM185" i="24" s="1"/>
  <c r="Q51" i="24"/>
  <c r="Q71" i="24"/>
  <c r="W69" i="24"/>
  <c r="N83" i="31"/>
  <c r="N86" i="31" s="1"/>
  <c r="N110" i="31" s="1"/>
  <c r="N82" i="31"/>
  <c r="L64" i="24"/>
  <c r="L36" i="24"/>
  <c r="W37" i="24"/>
  <c r="W38" i="24"/>
  <c r="BM37" i="24"/>
  <c r="BM38" i="24"/>
  <c r="H14" i="24"/>
  <c r="H41" i="24"/>
  <c r="H21" i="24"/>
  <c r="F34" i="31"/>
  <c r="I34" i="31" s="1"/>
  <c r="F44" i="31"/>
  <c r="F6" i="31"/>
  <c r="F11" i="31"/>
  <c r="I5" i="31"/>
  <c r="F179" i="31"/>
  <c r="F181" i="31" s="1"/>
  <c r="F23" i="31" s="1"/>
  <c r="F27" i="31"/>
  <c r="F22" i="31"/>
  <c r="I21" i="31"/>
  <c r="F8" i="31"/>
  <c r="I7" i="31"/>
  <c r="F183" i="31"/>
  <c r="F185" i="31" s="1"/>
  <c r="F26" i="31" s="1"/>
  <c r="F25" i="31"/>
  <c r="I24" i="31"/>
  <c r="F76" i="31"/>
  <c r="I76" i="31" s="1"/>
  <c r="I66" i="31"/>
  <c r="F60" i="31"/>
  <c r="I78" i="31"/>
  <c r="I81" i="31"/>
  <c r="I14" i="31"/>
  <c r="F55" i="31"/>
  <c r="I55" i="31" s="1"/>
  <c r="I53" i="31"/>
  <c r="F15" i="31"/>
  <c r="I15" i="31" s="1"/>
  <c r="F41" i="31"/>
  <c r="AD77" i="31"/>
  <c r="AE57" i="31"/>
  <c r="AD64" i="31"/>
  <c r="Y84" i="31"/>
  <c r="Y86" i="31"/>
  <c r="Y110" i="31" s="1"/>
  <c r="Y85" i="31"/>
  <c r="Y109" i="31" s="1"/>
  <c r="H64" i="31"/>
  <c r="H77" i="31"/>
  <c r="T83" i="31"/>
  <c r="T82" i="31"/>
  <c r="H5" i="24"/>
  <c r="AB65" i="24"/>
  <c r="F53" i="24"/>
  <c r="F68" i="24"/>
  <c r="F75" i="24"/>
  <c r="F54" i="24"/>
  <c r="F16" i="24"/>
  <c r="F15" i="24"/>
  <c r="F74" i="24"/>
  <c r="O83" i="31" l="1"/>
  <c r="N84" i="31"/>
  <c r="N85" i="31"/>
  <c r="N109" i="31" s="1"/>
  <c r="AI42" i="33"/>
  <c r="F12" i="37"/>
  <c r="F19" i="37"/>
  <c r="H32" i="37"/>
  <c r="F34" i="37"/>
  <c r="H21" i="37"/>
  <c r="F179" i="37"/>
  <c r="F181" i="37" s="1"/>
  <c r="F23" i="37" s="1"/>
  <c r="F22" i="37"/>
  <c r="F27" i="37"/>
  <c r="H27" i="37" s="1"/>
  <c r="AL78" i="24"/>
  <c r="AM78" i="24"/>
  <c r="AL74" i="24"/>
  <c r="AM74" i="24"/>
  <c r="AB24" i="24"/>
  <c r="AB183" i="24" s="1"/>
  <c r="AB185" i="24" s="1"/>
  <c r="AC24" i="24"/>
  <c r="AC183" i="24" s="1"/>
  <c r="AC185" i="24" s="1"/>
  <c r="AL70" i="24"/>
  <c r="AM70" i="24"/>
  <c r="AL67" i="24"/>
  <c r="AM67" i="24"/>
  <c r="AL30" i="24"/>
  <c r="AM30" i="24"/>
  <c r="Q67" i="24"/>
  <c r="BG14" i="24"/>
  <c r="AB44" i="24"/>
  <c r="AB73" i="24"/>
  <c r="AC73" i="24"/>
  <c r="Q75" i="24"/>
  <c r="BG32" i="24"/>
  <c r="BG21" i="24"/>
  <c r="BG179" i="24" s="1"/>
  <c r="BG181" i="24" s="1"/>
  <c r="AL71" i="24"/>
  <c r="AM71" i="24"/>
  <c r="AB5" i="24"/>
  <c r="BG65" i="24"/>
  <c r="AC65" i="24"/>
  <c r="AB53" i="24"/>
  <c r="AC21" i="24"/>
  <c r="BH44" i="24"/>
  <c r="AI9" i="33"/>
  <c r="R15" i="24"/>
  <c r="L15" i="33" s="1"/>
  <c r="R14" i="24"/>
  <c r="L14" i="33" s="1"/>
  <c r="AI71" i="33"/>
  <c r="AL48" i="24"/>
  <c r="AM48" i="24"/>
  <c r="AW48" i="24" s="1"/>
  <c r="AL65" i="24"/>
  <c r="AV65" i="24" s="1"/>
  <c r="AL21" i="24"/>
  <c r="AL179" i="24" s="1"/>
  <c r="AL181" i="24" s="1"/>
  <c r="AL61" i="24"/>
  <c r="AM61" i="24"/>
  <c r="Q9" i="24"/>
  <c r="AB47" i="24"/>
  <c r="AC47" i="24"/>
  <c r="AB75" i="24"/>
  <c r="AC75" i="24"/>
  <c r="AW75" i="24" s="1"/>
  <c r="AB72" i="24"/>
  <c r="AC72" i="24"/>
  <c r="Q24" i="24"/>
  <c r="BG75" i="24"/>
  <c r="BH75" i="24"/>
  <c r="AL15" i="24"/>
  <c r="AM15" i="24"/>
  <c r="BG66" i="24"/>
  <c r="BH66" i="24"/>
  <c r="AL54" i="24"/>
  <c r="AM54" i="24"/>
  <c r="Q54" i="24"/>
  <c r="BG45" i="24"/>
  <c r="BH45" i="24"/>
  <c r="W24" i="33"/>
  <c r="W183" i="33" s="1"/>
  <c r="W185" i="33" s="1"/>
  <c r="AI44" i="33"/>
  <c r="AL60" i="24"/>
  <c r="AL16" i="24"/>
  <c r="AM16" i="24"/>
  <c r="BG53" i="24"/>
  <c r="AB10" i="24"/>
  <c r="AC10" i="24"/>
  <c r="AB51" i="24"/>
  <c r="AC51" i="24"/>
  <c r="BG68" i="24"/>
  <c r="BH68" i="24"/>
  <c r="AB16" i="24"/>
  <c r="AC16" i="24"/>
  <c r="Q72" i="24"/>
  <c r="BG7" i="24"/>
  <c r="BH7" i="24"/>
  <c r="Q60" i="24"/>
  <c r="BG47" i="24"/>
  <c r="BH47" i="24"/>
  <c r="AL47" i="24"/>
  <c r="AM47" i="24"/>
  <c r="AL41" i="24"/>
  <c r="AI17" i="33"/>
  <c r="AI15" i="33"/>
  <c r="W75" i="33"/>
  <c r="BH60" i="24"/>
  <c r="AI60" i="33" s="1"/>
  <c r="AI72" i="33"/>
  <c r="R53" i="24"/>
  <c r="L53" i="33" s="1"/>
  <c r="AL53" i="24"/>
  <c r="AL14" i="24"/>
  <c r="Q48" i="24"/>
  <c r="AB15" i="24"/>
  <c r="AC15" i="24"/>
  <c r="AB54" i="24"/>
  <c r="AC54" i="24"/>
  <c r="AW54" i="24" s="1"/>
  <c r="Q66" i="24"/>
  <c r="Q7" i="24"/>
  <c r="BG67" i="24"/>
  <c r="BH67" i="24"/>
  <c r="BG48" i="24"/>
  <c r="BH48" i="24"/>
  <c r="Q42" i="24"/>
  <c r="BG41" i="24"/>
  <c r="BG24" i="24"/>
  <c r="BG183" i="24" s="1"/>
  <c r="BG185" i="24" s="1"/>
  <c r="BH24" i="24"/>
  <c r="BH183" i="24" s="1"/>
  <c r="BH185" i="24" s="1"/>
  <c r="AV48" i="24"/>
  <c r="R48" i="33"/>
  <c r="AL9" i="24"/>
  <c r="AM9" i="24"/>
  <c r="AW9" i="24" s="1"/>
  <c r="AL44" i="24"/>
  <c r="AB17" i="24"/>
  <c r="AC17" i="24"/>
  <c r="AB61" i="24"/>
  <c r="AC61" i="24"/>
  <c r="AW61" i="24" s="1"/>
  <c r="AB60" i="24"/>
  <c r="Q61" i="24"/>
  <c r="Q44" i="24"/>
  <c r="BG30" i="24"/>
  <c r="BH30" i="24"/>
  <c r="AB30" i="24"/>
  <c r="AC30" i="24"/>
  <c r="Q16" i="24"/>
  <c r="R71" i="24"/>
  <c r="L71" i="33" s="1"/>
  <c r="AW67" i="24"/>
  <c r="AW74" i="24"/>
  <c r="AI61" i="33"/>
  <c r="R33" i="24"/>
  <c r="L33" i="33" s="1"/>
  <c r="AI54" i="33"/>
  <c r="R32" i="24"/>
  <c r="L32" i="33" s="1"/>
  <c r="Q78" i="24"/>
  <c r="BG51" i="24"/>
  <c r="BH51" i="24"/>
  <c r="AL51" i="24"/>
  <c r="AM51" i="24"/>
  <c r="AL32" i="24"/>
  <c r="Q17" i="24"/>
  <c r="BG16" i="24"/>
  <c r="BH16" i="24"/>
  <c r="Q73" i="24"/>
  <c r="R45" i="33"/>
  <c r="AV67" i="24"/>
  <c r="R67" i="33"/>
  <c r="AV74" i="24"/>
  <c r="R74" i="33"/>
  <c r="AL5" i="24"/>
  <c r="AB66" i="24"/>
  <c r="AC66" i="24"/>
  <c r="AW66" i="24" s="1"/>
  <c r="F24" i="24"/>
  <c r="AL72" i="24"/>
  <c r="AM72" i="24"/>
  <c r="AL42" i="24"/>
  <c r="AM42" i="24"/>
  <c r="AB7" i="24"/>
  <c r="AC7" i="24"/>
  <c r="AW7" i="24" s="1"/>
  <c r="AL73" i="24"/>
  <c r="AM73" i="24"/>
  <c r="Q30" i="24"/>
  <c r="AB32" i="24"/>
  <c r="AB68" i="24"/>
  <c r="AC68" i="24"/>
  <c r="Q47" i="24"/>
  <c r="Q45" i="24"/>
  <c r="Q21" i="24"/>
  <c r="Q74" i="24"/>
  <c r="AL10" i="24"/>
  <c r="AM10" i="24"/>
  <c r="BG73" i="24"/>
  <c r="BH73" i="24"/>
  <c r="Q10" i="24"/>
  <c r="AL68" i="24"/>
  <c r="AM68" i="24"/>
  <c r="R51" i="24"/>
  <c r="L51" i="33" s="1"/>
  <c r="G51" i="24"/>
  <c r="R68" i="24"/>
  <c r="L68" i="33" s="1"/>
  <c r="G68" i="24"/>
  <c r="F68" i="33" s="1"/>
  <c r="W66" i="33"/>
  <c r="R41" i="24"/>
  <c r="L41" i="33" s="1"/>
  <c r="W7" i="33"/>
  <c r="BH5" i="24"/>
  <c r="AI5" i="33" s="1"/>
  <c r="AL45" i="24"/>
  <c r="AV45" i="24" s="1"/>
  <c r="AM45" i="24"/>
  <c r="BG33" i="24"/>
  <c r="BH33" i="24"/>
  <c r="AL33" i="24"/>
  <c r="AM33" i="24"/>
  <c r="BG70" i="24"/>
  <c r="BH70" i="24"/>
  <c r="AL17" i="24"/>
  <c r="AM17" i="24"/>
  <c r="AB41" i="24"/>
  <c r="AB71" i="24"/>
  <c r="AC71" i="24"/>
  <c r="AW71" i="24" s="1"/>
  <c r="AB42" i="24"/>
  <c r="AC42" i="24"/>
  <c r="AW42" i="24" s="1"/>
  <c r="AB33" i="24"/>
  <c r="AC33" i="24"/>
  <c r="BG74" i="24"/>
  <c r="BH74" i="24"/>
  <c r="AB14" i="24"/>
  <c r="AB70" i="24"/>
  <c r="AC70" i="24"/>
  <c r="AW70" i="24" s="1"/>
  <c r="Q5" i="24"/>
  <c r="Q70" i="24"/>
  <c r="BG10" i="24"/>
  <c r="BH10" i="24"/>
  <c r="Q65" i="24"/>
  <c r="AV9" i="24"/>
  <c r="R9" i="33"/>
  <c r="L69" i="24"/>
  <c r="L37" i="24"/>
  <c r="L38" i="24"/>
  <c r="R65" i="33"/>
  <c r="J35" i="31"/>
  <c r="J62" i="31"/>
  <c r="J57" i="31"/>
  <c r="F28" i="31"/>
  <c r="I27" i="31"/>
  <c r="F12" i="31"/>
  <c r="I11" i="31"/>
  <c r="F62" i="31"/>
  <c r="I62" i="31" s="1"/>
  <c r="I60" i="31"/>
  <c r="AH84" i="31"/>
  <c r="W84" i="31"/>
  <c r="R84" i="31"/>
  <c r="F46" i="31"/>
  <c r="I46" i="31" s="1"/>
  <c r="I44" i="31"/>
  <c r="F43" i="31"/>
  <c r="F58" i="31"/>
  <c r="I58" i="31" s="1"/>
  <c r="I41" i="31"/>
  <c r="F18" i="31"/>
  <c r="T84" i="31"/>
  <c r="T85" i="31"/>
  <c r="T109" i="31" s="1"/>
  <c r="T86" i="31"/>
  <c r="T110" i="31" s="1"/>
  <c r="H69" i="31"/>
  <c r="AD69" i="31"/>
  <c r="AE64" i="31"/>
  <c r="AE77" i="31"/>
  <c r="AD79" i="31"/>
  <c r="AD80" i="31"/>
  <c r="H79" i="31"/>
  <c r="H80" i="31"/>
  <c r="F72" i="24"/>
  <c r="F21" i="24"/>
  <c r="F10" i="24"/>
  <c r="F14" i="24"/>
  <c r="F73" i="24"/>
  <c r="F9" i="24"/>
  <c r="F65" i="24"/>
  <c r="F60" i="24"/>
  <c r="F44" i="24"/>
  <c r="F48" i="24"/>
  <c r="F61" i="24"/>
  <c r="F70" i="24"/>
  <c r="F17" i="24"/>
  <c r="F51" i="24"/>
  <c r="F5" i="24"/>
  <c r="F47" i="24"/>
  <c r="F45" i="24"/>
  <c r="F66" i="24"/>
  <c r="F7" i="24"/>
  <c r="F42" i="24"/>
  <c r="F32" i="24"/>
  <c r="F41" i="24"/>
  <c r="F30" i="24"/>
  <c r="F33" i="24"/>
  <c r="F71" i="24"/>
  <c r="F67" i="24"/>
  <c r="W74" i="33" l="1"/>
  <c r="AB74" i="33" s="1"/>
  <c r="AV21" i="24"/>
  <c r="AV179" i="24" s="1"/>
  <c r="AV181" i="24" s="1"/>
  <c r="R21" i="33"/>
  <c r="AC179" i="24"/>
  <c r="AC181" i="24" s="1"/>
  <c r="AW30" i="24"/>
  <c r="F51" i="33"/>
  <c r="AW33" i="24"/>
  <c r="AW15" i="24"/>
  <c r="W73" i="33"/>
  <c r="AI7" i="33"/>
  <c r="W70" i="33"/>
  <c r="W47" i="33"/>
  <c r="W78" i="33"/>
  <c r="F28" i="37"/>
  <c r="F35" i="37"/>
  <c r="H35" i="37" s="1"/>
  <c r="AI67" i="33"/>
  <c r="AI68" i="33"/>
  <c r="W16" i="33"/>
  <c r="AI74" i="33"/>
  <c r="AI33" i="33"/>
  <c r="W9" i="33"/>
  <c r="AB9" i="33" s="1"/>
  <c r="W61" i="33"/>
  <c r="W45" i="33"/>
  <c r="AB45" i="33" s="1"/>
  <c r="AI16" i="33"/>
  <c r="AI51" i="33"/>
  <c r="AI70" i="33"/>
  <c r="G41" i="24"/>
  <c r="AV41" i="24"/>
  <c r="W10" i="33"/>
  <c r="R47" i="24"/>
  <c r="L47" i="33" s="1"/>
  <c r="G47" i="24"/>
  <c r="G33" i="24"/>
  <c r="F33" i="33" s="1"/>
  <c r="R16" i="24"/>
  <c r="L16" i="33" s="1"/>
  <c r="G16" i="24"/>
  <c r="F16" i="33" s="1"/>
  <c r="R61" i="24"/>
  <c r="L61" i="33" s="1"/>
  <c r="G61" i="24"/>
  <c r="F61" i="33" s="1"/>
  <c r="AM44" i="24"/>
  <c r="W44" i="33" s="1"/>
  <c r="W46" i="33" s="1"/>
  <c r="G53" i="24"/>
  <c r="F53" i="33" s="1"/>
  <c r="R60" i="24"/>
  <c r="L60" i="33" s="1"/>
  <c r="R179" i="33"/>
  <c r="R181" i="33" s="1"/>
  <c r="AV47" i="24"/>
  <c r="R47" i="33"/>
  <c r="G15" i="24"/>
  <c r="F15" i="33" s="1"/>
  <c r="AV53" i="24"/>
  <c r="AV73" i="24"/>
  <c r="R73" i="33"/>
  <c r="AW24" i="24"/>
  <c r="AW183" i="24" s="1"/>
  <c r="AW185" i="24" s="1"/>
  <c r="R5" i="24"/>
  <c r="L5" i="33" s="1"/>
  <c r="AI24" i="33"/>
  <c r="AV15" i="24"/>
  <c r="R15" i="33"/>
  <c r="W54" i="33"/>
  <c r="R24" i="24"/>
  <c r="L24" i="33" s="1"/>
  <c r="G24" i="24"/>
  <c r="F24" i="33" s="1"/>
  <c r="R9" i="24"/>
  <c r="L9" i="33" s="1"/>
  <c r="G9" i="24"/>
  <c r="F9" i="33" s="1"/>
  <c r="W48" i="33"/>
  <c r="AB48" i="33" s="1"/>
  <c r="BH21" i="24"/>
  <c r="BH179" i="24" s="1"/>
  <c r="BH181" i="24" s="1"/>
  <c r="AC44" i="24"/>
  <c r="W67" i="33"/>
  <c r="AB67" i="33" s="1"/>
  <c r="AV24" i="24"/>
  <c r="AV183" i="24" s="1"/>
  <c r="AV185" i="24" s="1"/>
  <c r="R24" i="33"/>
  <c r="AL81" i="24"/>
  <c r="AM81" i="24"/>
  <c r="F47" i="33"/>
  <c r="AV33" i="24"/>
  <c r="R33" i="33"/>
  <c r="W17" i="33"/>
  <c r="W68" i="33"/>
  <c r="R74" i="24"/>
  <c r="L74" i="33" s="1"/>
  <c r="G74" i="24"/>
  <c r="F74" i="33" s="1"/>
  <c r="AW68" i="24"/>
  <c r="AV66" i="24"/>
  <c r="R66" i="33"/>
  <c r="AB66" i="33" s="1"/>
  <c r="R17" i="24"/>
  <c r="L17" i="33" s="1"/>
  <c r="G17" i="24"/>
  <c r="F17" i="33" s="1"/>
  <c r="R78" i="24"/>
  <c r="L78" i="33" s="1"/>
  <c r="AC60" i="24"/>
  <c r="R60" i="33" s="1"/>
  <c r="BH41" i="24"/>
  <c r="AI41" i="33" s="1"/>
  <c r="R7" i="24"/>
  <c r="L7" i="33" s="1"/>
  <c r="G7" i="24"/>
  <c r="F7" i="33" s="1"/>
  <c r="F8" i="33" s="1"/>
  <c r="R48" i="24"/>
  <c r="L48" i="33" s="1"/>
  <c r="G48" i="24"/>
  <c r="AM41" i="24"/>
  <c r="W41" i="33" s="1"/>
  <c r="AW51" i="24"/>
  <c r="AM60" i="24"/>
  <c r="W60" i="33" s="1"/>
  <c r="AV44" i="24"/>
  <c r="AV68" i="24"/>
  <c r="R68" i="33"/>
  <c r="AV7" i="24"/>
  <c r="R7" i="33"/>
  <c r="AB7" i="33" s="1"/>
  <c r="AM5" i="24"/>
  <c r="W5" i="33" s="1"/>
  <c r="AV30" i="24"/>
  <c r="R30" i="33"/>
  <c r="AV60" i="24"/>
  <c r="AV51" i="24"/>
  <c r="R51" i="33"/>
  <c r="AI66" i="33"/>
  <c r="AW72" i="24"/>
  <c r="BH65" i="24"/>
  <c r="AI65" i="33" s="1"/>
  <c r="BH32" i="24"/>
  <c r="AI32" i="33" s="1"/>
  <c r="AI34" i="33" s="1"/>
  <c r="BH14" i="24"/>
  <c r="AI14" i="33" s="1"/>
  <c r="Q81" i="24"/>
  <c r="AB78" i="24"/>
  <c r="AC78" i="24"/>
  <c r="AW78" i="24" s="1"/>
  <c r="R65" i="24"/>
  <c r="L65" i="33" s="1"/>
  <c r="AV70" i="24"/>
  <c r="R70" i="33"/>
  <c r="AV42" i="24"/>
  <c r="R42" i="33"/>
  <c r="R10" i="24"/>
  <c r="L10" i="33" s="1"/>
  <c r="G10" i="24"/>
  <c r="F10" i="33" s="1"/>
  <c r="R21" i="24"/>
  <c r="AC32" i="24"/>
  <c r="W42" i="33"/>
  <c r="AM32" i="24"/>
  <c r="W32" i="33" s="1"/>
  <c r="AI30" i="33"/>
  <c r="R42" i="24"/>
  <c r="L42" i="33" s="1"/>
  <c r="G42" i="24"/>
  <c r="F42" i="33" s="1"/>
  <c r="R66" i="24"/>
  <c r="L66" i="33" s="1"/>
  <c r="G66" i="24"/>
  <c r="F66" i="33" s="1"/>
  <c r="AM14" i="24"/>
  <c r="W14" i="33" s="1"/>
  <c r="R72" i="24"/>
  <c r="L72" i="33" s="1"/>
  <c r="G72" i="24"/>
  <c r="F72" i="33" s="1"/>
  <c r="AW10" i="24"/>
  <c r="AV72" i="24"/>
  <c r="R72" i="33"/>
  <c r="F41" i="33"/>
  <c r="AI10" i="33"/>
  <c r="AC14" i="24"/>
  <c r="W33" i="33"/>
  <c r="L21" i="33"/>
  <c r="AV32" i="24"/>
  <c r="AW45" i="24"/>
  <c r="AV61" i="24"/>
  <c r="R61" i="33"/>
  <c r="AI62" i="33"/>
  <c r="AV10" i="24"/>
  <c r="R10" i="33"/>
  <c r="AB10" i="33" s="1"/>
  <c r="AI45" i="33"/>
  <c r="W15" i="33"/>
  <c r="AM21" i="24"/>
  <c r="AM179" i="24" s="1"/>
  <c r="AM181" i="24" s="1"/>
  <c r="AC5" i="24"/>
  <c r="R5" i="33" s="1"/>
  <c r="R75" i="24"/>
  <c r="L75" i="33" s="1"/>
  <c r="G75" i="24"/>
  <c r="F75" i="33" s="1"/>
  <c r="R67" i="24"/>
  <c r="L67" i="33" s="1"/>
  <c r="G67" i="24"/>
  <c r="F67" i="33" s="1"/>
  <c r="BG78" i="24"/>
  <c r="BH78" i="24"/>
  <c r="AV14" i="24"/>
  <c r="AV71" i="24"/>
  <c r="R71" i="33"/>
  <c r="AI73" i="33"/>
  <c r="R45" i="24"/>
  <c r="L45" i="33" s="1"/>
  <c r="G45" i="24"/>
  <c r="F45" i="33" s="1"/>
  <c r="R30" i="24"/>
  <c r="L30" i="33" s="1"/>
  <c r="G30" i="24"/>
  <c r="F30" i="33" s="1"/>
  <c r="W72" i="33"/>
  <c r="L34" i="33"/>
  <c r="R73" i="24"/>
  <c r="L73" i="33" s="1"/>
  <c r="G73" i="24"/>
  <c r="F73" i="33" s="1"/>
  <c r="W51" i="33"/>
  <c r="G71" i="24"/>
  <c r="F71" i="33" s="1"/>
  <c r="R44" i="24"/>
  <c r="L44" i="33" s="1"/>
  <c r="AW17" i="24"/>
  <c r="AI48" i="33"/>
  <c r="AM53" i="24"/>
  <c r="W53" i="33" s="1"/>
  <c r="W55" i="33" s="1"/>
  <c r="W56" i="33" s="1"/>
  <c r="AI47" i="33"/>
  <c r="AW16" i="24"/>
  <c r="BH53" i="24"/>
  <c r="AI53" i="33" s="1"/>
  <c r="AI55" i="33" s="1"/>
  <c r="AV75" i="24"/>
  <c r="R75" i="33"/>
  <c r="AB75" i="33" s="1"/>
  <c r="F48" i="33"/>
  <c r="AI6" i="33"/>
  <c r="R70" i="24"/>
  <c r="L70" i="33" s="1"/>
  <c r="G70" i="24"/>
  <c r="F70" i="33" s="1"/>
  <c r="AC41" i="24"/>
  <c r="AV17" i="24"/>
  <c r="R17" i="33"/>
  <c r="AV54" i="24"/>
  <c r="R54" i="33"/>
  <c r="AV16" i="24"/>
  <c r="R16" i="33"/>
  <c r="AB16" i="33" s="1"/>
  <c r="AI46" i="33"/>
  <c r="R54" i="24"/>
  <c r="L54" i="33" s="1"/>
  <c r="G54" i="24"/>
  <c r="F54" i="33" s="1"/>
  <c r="AI75" i="33"/>
  <c r="AW47" i="24"/>
  <c r="AM65" i="24"/>
  <c r="AW65" i="24" s="1"/>
  <c r="AC53" i="24"/>
  <c r="R53" i="33" s="1"/>
  <c r="W71" i="33"/>
  <c r="AW73" i="24"/>
  <c r="W30" i="33"/>
  <c r="F35" i="31"/>
  <c r="F19" i="31"/>
  <c r="I18" i="31"/>
  <c r="F49" i="31"/>
  <c r="I43" i="31"/>
  <c r="AD82" i="31"/>
  <c r="AE80" i="31"/>
  <c r="AD83" i="31"/>
  <c r="H83" i="31"/>
  <c r="H82" i="31"/>
  <c r="F78" i="24"/>
  <c r="W21" i="33" l="1"/>
  <c r="AB21" i="33" s="1"/>
  <c r="AB179" i="33" s="1"/>
  <c r="AB181" i="33" s="1"/>
  <c r="AB73" i="33"/>
  <c r="AI11" i="33"/>
  <c r="AI12" i="33" s="1"/>
  <c r="L18" i="33"/>
  <c r="AB17" i="33"/>
  <c r="AB47" i="33"/>
  <c r="AI18" i="33"/>
  <c r="AB70" i="33"/>
  <c r="AB54" i="33"/>
  <c r="W11" i="33"/>
  <c r="AW21" i="24"/>
  <c r="AW179" i="24" s="1"/>
  <c r="AW181" i="24" s="1"/>
  <c r="F58" i="33"/>
  <c r="AW44" i="24"/>
  <c r="W62" i="33"/>
  <c r="W81" i="33"/>
  <c r="AI21" i="33"/>
  <c r="AI27" i="33" s="1"/>
  <c r="AI28" i="33" s="1"/>
  <c r="AW41" i="24"/>
  <c r="AB61" i="33"/>
  <c r="F36" i="37"/>
  <c r="AI78" i="33"/>
  <c r="AB72" i="33"/>
  <c r="W18" i="33"/>
  <c r="R76" i="33"/>
  <c r="R44" i="33"/>
  <c r="R46" i="33" s="1"/>
  <c r="W34" i="33"/>
  <c r="G78" i="24"/>
  <c r="F78" i="33" s="1"/>
  <c r="AW14" i="24"/>
  <c r="F43" i="33"/>
  <c r="AW32" i="24"/>
  <c r="AB68" i="33"/>
  <c r="L46" i="33"/>
  <c r="F183" i="33"/>
  <c r="F185" i="33" s="1"/>
  <c r="F26" i="33" s="1"/>
  <c r="F25" i="33"/>
  <c r="W58" i="33"/>
  <c r="W43" i="33"/>
  <c r="W49" i="33" s="1"/>
  <c r="W57" i="33" s="1"/>
  <c r="L55" i="33"/>
  <c r="AB53" i="33"/>
  <c r="R55" i="33"/>
  <c r="AI43" i="33"/>
  <c r="AI49" i="33" s="1"/>
  <c r="AI57" i="33" s="1"/>
  <c r="AI58" i="33"/>
  <c r="AB81" i="24"/>
  <c r="AC81" i="24"/>
  <c r="AW81" i="24" s="1"/>
  <c r="R11" i="33"/>
  <c r="AB5" i="33"/>
  <c r="AB11" i="33" s="1"/>
  <c r="G14" i="24"/>
  <c r="F14" i="33" s="1"/>
  <c r="F18" i="33" s="1"/>
  <c r="F19" i="33" s="1"/>
  <c r="G65" i="24"/>
  <c r="F65" i="33" s="1"/>
  <c r="F76" i="33" s="1"/>
  <c r="AB51" i="33"/>
  <c r="L8" i="33"/>
  <c r="AB33" i="33"/>
  <c r="L183" i="33"/>
  <c r="L185" i="33" s="1"/>
  <c r="L26" i="33" s="1"/>
  <c r="L25" i="33"/>
  <c r="G60" i="24"/>
  <c r="F60" i="33" s="1"/>
  <c r="F62" i="33" s="1"/>
  <c r="R41" i="33"/>
  <c r="BG81" i="24"/>
  <c r="BH81" i="24"/>
  <c r="AB71" i="33"/>
  <c r="L22" i="33"/>
  <c r="L179" i="33"/>
  <c r="L181" i="33" s="1"/>
  <c r="L23" i="33" s="1"/>
  <c r="L27" i="33"/>
  <c r="G21" i="24"/>
  <c r="F21" i="33" s="1"/>
  <c r="W65" i="33"/>
  <c r="G44" i="24"/>
  <c r="F44" i="33" s="1"/>
  <c r="F46" i="33" s="1"/>
  <c r="G32" i="24"/>
  <c r="F32" i="33" s="1"/>
  <c r="F34" i="33" s="1"/>
  <c r="L76" i="33"/>
  <c r="AV78" i="24"/>
  <c r="R78" i="33"/>
  <c r="AB78" i="33" s="1"/>
  <c r="L11" i="33"/>
  <c r="L12" i="33" s="1"/>
  <c r="L6" i="33"/>
  <c r="L62" i="33"/>
  <c r="R14" i="33"/>
  <c r="AI76" i="33"/>
  <c r="R81" i="24"/>
  <c r="L81" i="33" s="1"/>
  <c r="G81" i="24"/>
  <c r="R183" i="33"/>
  <c r="R185" i="33" s="1"/>
  <c r="AB24" i="33"/>
  <c r="AB15" i="33"/>
  <c r="F55" i="33"/>
  <c r="R62" i="33"/>
  <c r="AB60" i="33"/>
  <c r="AI22" i="33"/>
  <c r="AW60" i="24"/>
  <c r="G5" i="24"/>
  <c r="F5" i="33" s="1"/>
  <c r="AI25" i="33"/>
  <c r="AI183" i="33"/>
  <c r="AI185" i="33" s="1"/>
  <c r="L19" i="33"/>
  <c r="AB42" i="33"/>
  <c r="AB30" i="33"/>
  <c r="W179" i="33"/>
  <c r="W181" i="33" s="1"/>
  <c r="W27" i="33"/>
  <c r="W35" i="33" s="1"/>
  <c r="AW53" i="24"/>
  <c r="R32" i="33"/>
  <c r="R27" i="33"/>
  <c r="L43" i="33"/>
  <c r="F36" i="31"/>
  <c r="I35" i="31"/>
  <c r="F57" i="31"/>
  <c r="I49" i="31"/>
  <c r="AD86" i="31"/>
  <c r="AD110" i="31" s="1"/>
  <c r="AE83" i="31"/>
  <c r="AD85" i="31"/>
  <c r="AD109" i="31" s="1"/>
  <c r="AD84" i="31"/>
  <c r="H84" i="31"/>
  <c r="H86" i="31"/>
  <c r="H110" i="31" s="1"/>
  <c r="H85" i="31"/>
  <c r="H109" i="31" s="1"/>
  <c r="H90" i="31"/>
  <c r="F81" i="24"/>
  <c r="F81" i="33" l="1"/>
  <c r="AI179" i="33"/>
  <c r="AI181" i="33" s="1"/>
  <c r="F49" i="33"/>
  <c r="AB44" i="33"/>
  <c r="AB46" i="33" s="1"/>
  <c r="F37" i="37"/>
  <c r="F38" i="37"/>
  <c r="AI81" i="33"/>
  <c r="F57" i="33"/>
  <c r="AB183" i="33"/>
  <c r="AB185" i="33" s="1"/>
  <c r="F179" i="33"/>
  <c r="F181" i="33" s="1"/>
  <c r="F23" i="33" s="1"/>
  <c r="F27" i="33"/>
  <c r="F22" i="33"/>
  <c r="AB55" i="33"/>
  <c r="W64" i="33"/>
  <c r="W69" i="33" s="1"/>
  <c r="AB62" i="33"/>
  <c r="AI35" i="33"/>
  <c r="AB27" i="33"/>
  <c r="R34" i="33"/>
  <c r="AB32" i="33"/>
  <c r="F11" i="33"/>
  <c r="F12" i="33" s="1"/>
  <c r="F6" i="33"/>
  <c r="AB14" i="33"/>
  <c r="R18" i="33"/>
  <c r="L28" i="33"/>
  <c r="L35" i="33"/>
  <c r="AB41" i="33"/>
  <c r="R58" i="33"/>
  <c r="R43" i="33"/>
  <c r="R49" i="33" s="1"/>
  <c r="R57" i="33" s="1"/>
  <c r="W76" i="33"/>
  <c r="W77" i="33" s="1"/>
  <c r="AB65" i="33"/>
  <c r="AB76" i="33" s="1"/>
  <c r="AV81" i="24"/>
  <c r="R81" i="33"/>
  <c r="AB81" i="33" s="1"/>
  <c r="L49" i="33"/>
  <c r="L57" i="33" s="1"/>
  <c r="F77" i="31"/>
  <c r="I57" i="31"/>
  <c r="F38" i="31"/>
  <c r="I38" i="31" s="1"/>
  <c r="F37" i="31"/>
  <c r="I37" i="31" s="1"/>
  <c r="I36" i="31"/>
  <c r="F64" i="31"/>
  <c r="H96" i="31"/>
  <c r="R35" i="33" l="1"/>
  <c r="AP9" i="24"/>
  <c r="AQ9" i="24"/>
  <c r="AP14" i="24"/>
  <c r="AP16" i="24"/>
  <c r="AQ16" i="24"/>
  <c r="AP21" i="24"/>
  <c r="AP179" i="24" s="1"/>
  <c r="AP181" i="24" s="1"/>
  <c r="AP30" i="24"/>
  <c r="AQ30" i="24"/>
  <c r="AP33" i="24"/>
  <c r="AQ33" i="24"/>
  <c r="AP42" i="24"/>
  <c r="AQ42" i="24"/>
  <c r="AP45" i="24"/>
  <c r="AQ45" i="24"/>
  <c r="AP48" i="24"/>
  <c r="AQ48" i="24"/>
  <c r="AP53" i="24"/>
  <c r="AP60" i="24"/>
  <c r="AP65" i="24"/>
  <c r="AP67" i="24"/>
  <c r="AQ67" i="24"/>
  <c r="AP70" i="24"/>
  <c r="AQ70" i="24"/>
  <c r="AP72" i="24"/>
  <c r="AQ72" i="24"/>
  <c r="AP74" i="24"/>
  <c r="AQ74" i="24"/>
  <c r="AP78" i="24"/>
  <c r="AQ78" i="24"/>
  <c r="U5" i="24"/>
  <c r="BK9" i="24"/>
  <c r="BL9" i="24"/>
  <c r="BK14" i="24"/>
  <c r="BK16" i="24"/>
  <c r="BL16" i="24"/>
  <c r="BK21" i="24"/>
  <c r="BK179" i="24" s="1"/>
  <c r="BK181" i="24" s="1"/>
  <c r="BK30" i="24"/>
  <c r="BL30" i="24"/>
  <c r="BK33" i="24"/>
  <c r="BL33" i="24"/>
  <c r="BK42" i="24"/>
  <c r="BL42" i="24"/>
  <c r="BK45" i="24"/>
  <c r="BL45" i="24"/>
  <c r="BK48" i="24"/>
  <c r="BL48" i="24"/>
  <c r="BK53" i="24"/>
  <c r="BK60" i="24"/>
  <c r="BK65" i="24"/>
  <c r="BK67" i="24"/>
  <c r="BL67" i="24"/>
  <c r="BK70" i="24"/>
  <c r="BL70" i="24"/>
  <c r="BK72" i="24"/>
  <c r="BL72" i="24"/>
  <c r="BK74" i="24"/>
  <c r="BL74" i="24"/>
  <c r="BK78" i="24"/>
  <c r="BL78" i="24"/>
  <c r="AP5" i="24"/>
  <c r="U7" i="24"/>
  <c r="U10" i="24"/>
  <c r="U15" i="24"/>
  <c r="U17" i="24"/>
  <c r="U24" i="24"/>
  <c r="U32" i="24"/>
  <c r="U41" i="24"/>
  <c r="U44" i="24"/>
  <c r="U47" i="24"/>
  <c r="U51" i="24"/>
  <c r="U54" i="24"/>
  <c r="U61" i="24"/>
  <c r="U66" i="24"/>
  <c r="U68" i="24"/>
  <c r="U71" i="24"/>
  <c r="U73" i="24"/>
  <c r="U75" i="24"/>
  <c r="U81" i="24"/>
  <c r="AF7" i="24"/>
  <c r="AG7" i="24"/>
  <c r="AF10" i="24"/>
  <c r="AG10" i="24"/>
  <c r="AF15" i="24"/>
  <c r="AG15" i="24"/>
  <c r="AF17" i="24"/>
  <c r="AG17" i="24"/>
  <c r="AF24" i="24"/>
  <c r="AF183" i="24" s="1"/>
  <c r="AF185" i="24" s="1"/>
  <c r="AG24" i="24"/>
  <c r="AG183" i="24" s="1"/>
  <c r="AG185" i="24" s="1"/>
  <c r="AF32" i="24"/>
  <c r="AF41" i="24"/>
  <c r="AF44" i="24"/>
  <c r="AF47" i="24"/>
  <c r="AG47" i="24"/>
  <c r="AF51" i="24"/>
  <c r="AG51" i="24"/>
  <c r="AF54" i="24"/>
  <c r="AG54" i="24"/>
  <c r="AF61" i="24"/>
  <c r="AG61" i="24"/>
  <c r="AF66" i="24"/>
  <c r="AG66" i="24"/>
  <c r="AF68" i="24"/>
  <c r="AG68" i="24"/>
  <c r="AF71" i="24"/>
  <c r="AG71" i="24"/>
  <c r="AF73" i="24"/>
  <c r="AG73" i="24"/>
  <c r="AF75" i="24"/>
  <c r="AG75" i="24"/>
  <c r="AF81" i="24"/>
  <c r="AG81" i="24"/>
  <c r="AP7" i="24"/>
  <c r="AQ7" i="24"/>
  <c r="AP10" i="24"/>
  <c r="AQ10" i="24"/>
  <c r="AP15" i="24"/>
  <c r="AQ15" i="24"/>
  <c r="AP17" i="24"/>
  <c r="AQ17" i="24"/>
  <c r="AP24" i="24"/>
  <c r="AP183" i="24" s="1"/>
  <c r="AP185" i="24" s="1"/>
  <c r="AQ24" i="24"/>
  <c r="AQ183" i="24" s="1"/>
  <c r="AQ185" i="24" s="1"/>
  <c r="AP32" i="24"/>
  <c r="AP41" i="24"/>
  <c r="AP44" i="24"/>
  <c r="AP47" i="24"/>
  <c r="AQ47" i="24"/>
  <c r="AP51" i="24"/>
  <c r="AQ51" i="24"/>
  <c r="AP54" i="24"/>
  <c r="AQ54" i="24"/>
  <c r="AP61" i="24"/>
  <c r="AQ61" i="24"/>
  <c r="AP66" i="24"/>
  <c r="AQ66" i="24"/>
  <c r="AP68" i="24"/>
  <c r="AQ68" i="24"/>
  <c r="AP71" i="24"/>
  <c r="AQ71" i="24"/>
  <c r="AP73" i="24"/>
  <c r="AQ73" i="24"/>
  <c r="AP75" i="24"/>
  <c r="AQ75" i="24"/>
  <c r="AP81" i="24"/>
  <c r="AQ81" i="24"/>
  <c r="BK7" i="24"/>
  <c r="BL7" i="24"/>
  <c r="BK10" i="24"/>
  <c r="BL10" i="24"/>
  <c r="BK15" i="24"/>
  <c r="BL15" i="24"/>
  <c r="BK17" i="24"/>
  <c r="BL17" i="24"/>
  <c r="BK24" i="24"/>
  <c r="BK183" i="24" s="1"/>
  <c r="BK185" i="24" s="1"/>
  <c r="BL24" i="24"/>
  <c r="BL183" i="24" s="1"/>
  <c r="BL185" i="24" s="1"/>
  <c r="BK32" i="24"/>
  <c r="BK41" i="24"/>
  <c r="BK44" i="24"/>
  <c r="BK47" i="24"/>
  <c r="BL47" i="24"/>
  <c r="BK51" i="24"/>
  <c r="BL51" i="24"/>
  <c r="BK54" i="24"/>
  <c r="BL54" i="24"/>
  <c r="BK61" i="24"/>
  <c r="BL61" i="24"/>
  <c r="BK66" i="24"/>
  <c r="BL66" i="24"/>
  <c r="BK68" i="24"/>
  <c r="BL68" i="24"/>
  <c r="BK71" i="24"/>
  <c r="BL71" i="24"/>
  <c r="BK73" i="24"/>
  <c r="BL73" i="24"/>
  <c r="BK75" i="24"/>
  <c r="BL75" i="24"/>
  <c r="BK81" i="24"/>
  <c r="BL81" i="24"/>
  <c r="AF5" i="24"/>
  <c r="U9" i="24"/>
  <c r="U14" i="24"/>
  <c r="U16" i="24"/>
  <c r="U21" i="24"/>
  <c r="U30" i="24"/>
  <c r="U33" i="24"/>
  <c r="U42" i="24"/>
  <c r="U45" i="24"/>
  <c r="U48" i="24"/>
  <c r="U53" i="24"/>
  <c r="U60" i="24"/>
  <c r="U65" i="24"/>
  <c r="U67" i="24"/>
  <c r="U70" i="24"/>
  <c r="U72" i="24"/>
  <c r="U74" i="24"/>
  <c r="U78" i="24"/>
  <c r="BK5" i="24"/>
  <c r="AF9" i="24"/>
  <c r="AG9" i="24"/>
  <c r="BA9" i="24" s="1"/>
  <c r="AF14" i="24"/>
  <c r="AF16" i="24"/>
  <c r="AG16" i="24"/>
  <c r="BA16" i="24" s="1"/>
  <c r="AF21" i="24"/>
  <c r="AF179" i="24" s="1"/>
  <c r="AF181" i="24" s="1"/>
  <c r="AF30" i="24"/>
  <c r="AG30" i="24"/>
  <c r="BA30" i="24" s="1"/>
  <c r="AF33" i="24"/>
  <c r="AG33" i="24"/>
  <c r="AF42" i="24"/>
  <c r="AG42" i="24"/>
  <c r="BA42" i="24" s="1"/>
  <c r="AF45" i="24"/>
  <c r="AG45" i="24"/>
  <c r="AF48" i="24"/>
  <c r="AG48" i="24"/>
  <c r="BA48" i="24" s="1"/>
  <c r="AF53" i="24"/>
  <c r="AF60" i="24"/>
  <c r="AF65" i="24"/>
  <c r="AZ65" i="24" s="1"/>
  <c r="AF67" i="24"/>
  <c r="AG67" i="24"/>
  <c r="BA67" i="24" s="1"/>
  <c r="AF70" i="24"/>
  <c r="AG70" i="24"/>
  <c r="AF72" i="24"/>
  <c r="AG72" i="24"/>
  <c r="BA72" i="24" s="1"/>
  <c r="AF74" i="24"/>
  <c r="AG74" i="24"/>
  <c r="AF78" i="24"/>
  <c r="AG78" i="24"/>
  <c r="R64" i="33"/>
  <c r="R69" i="33" s="1"/>
  <c r="R77" i="33"/>
  <c r="AI64" i="33"/>
  <c r="AI77" i="33"/>
  <c r="AI36" i="33"/>
  <c r="L64" i="33"/>
  <c r="L69" i="33" s="1"/>
  <c r="L36" i="33"/>
  <c r="L77" i="33"/>
  <c r="F28" i="33"/>
  <c r="F35" i="33"/>
  <c r="AB58" i="33"/>
  <c r="AB43" i="33"/>
  <c r="AB49" i="33" s="1"/>
  <c r="AB34" i="33"/>
  <c r="W80" i="33"/>
  <c r="W79" i="33"/>
  <c r="AB18" i="33"/>
  <c r="F69" i="31"/>
  <c r="I69" i="31" s="1"/>
  <c r="I64" i="31"/>
  <c r="F80" i="31"/>
  <c r="F79" i="31"/>
  <c r="I79" i="31" s="1"/>
  <c r="I77" i="31"/>
  <c r="J9" i="24"/>
  <c r="J14" i="24"/>
  <c r="J16" i="24"/>
  <c r="J21" i="24"/>
  <c r="J30" i="24"/>
  <c r="J33" i="24"/>
  <c r="J42" i="24"/>
  <c r="J45" i="24"/>
  <c r="J48" i="24"/>
  <c r="J53" i="24"/>
  <c r="J60" i="24"/>
  <c r="J67" i="24"/>
  <c r="J70" i="24"/>
  <c r="J72" i="24"/>
  <c r="J74" i="24"/>
  <c r="J78" i="24"/>
  <c r="J7" i="24"/>
  <c r="J10" i="24"/>
  <c r="J15" i="24"/>
  <c r="J17" i="24"/>
  <c r="J47" i="24"/>
  <c r="J51" i="24"/>
  <c r="J54" i="24"/>
  <c r="J61" i="24"/>
  <c r="J66" i="24"/>
  <c r="J68" i="24"/>
  <c r="J71" i="24"/>
  <c r="J73" i="24"/>
  <c r="J75" i="24"/>
  <c r="J81" i="24"/>
  <c r="J5" i="24"/>
  <c r="J65" i="24"/>
  <c r="AK78" i="33" l="1"/>
  <c r="AK67" i="33"/>
  <c r="AK48" i="33"/>
  <c r="AK30" i="33"/>
  <c r="AK9" i="33"/>
  <c r="Y72" i="33"/>
  <c r="Y16" i="33"/>
  <c r="AK72" i="33"/>
  <c r="AK74" i="33"/>
  <c r="AK45" i="33"/>
  <c r="Y70" i="33"/>
  <c r="BA70" i="24"/>
  <c r="BA33" i="24"/>
  <c r="Y42" i="33"/>
  <c r="AK70" i="33"/>
  <c r="AK33" i="33"/>
  <c r="Y74" i="33"/>
  <c r="BA74" i="24"/>
  <c r="BA45" i="24"/>
  <c r="AZ74" i="24"/>
  <c r="T74" i="33"/>
  <c r="AZ45" i="24"/>
  <c r="T45" i="33"/>
  <c r="AZ21" i="24"/>
  <c r="AZ179" i="24" s="1"/>
  <c r="AZ181" i="24" s="1"/>
  <c r="V70" i="24"/>
  <c r="N70" i="33" s="1"/>
  <c r="O70" i="33" s="1"/>
  <c r="K70" i="24"/>
  <c r="H70" i="33" s="1"/>
  <c r="I70" i="33" s="1"/>
  <c r="V53" i="24"/>
  <c r="K33" i="24"/>
  <c r="H33" i="33" s="1"/>
  <c r="I33" i="33" s="1"/>
  <c r="V33" i="24"/>
  <c r="N33" i="33" s="1"/>
  <c r="O33" i="33" s="1"/>
  <c r="V14" i="24"/>
  <c r="BL25" i="24"/>
  <c r="AQ41" i="24"/>
  <c r="Y41" i="33" s="1"/>
  <c r="BA75" i="24"/>
  <c r="BA66" i="24"/>
  <c r="BA47" i="24"/>
  <c r="BA24" i="24"/>
  <c r="BA183" i="24" s="1"/>
  <c r="BA185" i="24" s="1"/>
  <c r="BA7" i="24"/>
  <c r="BL53" i="24"/>
  <c r="BL55" i="24" s="1"/>
  <c r="BL14" i="24"/>
  <c r="BL18" i="24" s="1"/>
  <c r="AS65" i="24"/>
  <c r="AS76" i="24" s="1"/>
  <c r="AS77" i="24" s="1"/>
  <c r="AQ65" i="24"/>
  <c r="AR65" i="24"/>
  <c r="AR76" i="24" s="1"/>
  <c r="AR77" i="24" s="1"/>
  <c r="AQ21" i="24"/>
  <c r="AQ179" i="24" s="1"/>
  <c r="AQ181" i="24" s="1"/>
  <c r="AG60" i="24"/>
  <c r="N14" i="33"/>
  <c r="AK75" i="33"/>
  <c r="AK66" i="33"/>
  <c r="AK47" i="33"/>
  <c r="AK24" i="33"/>
  <c r="AK7" i="33"/>
  <c r="Y71" i="33"/>
  <c r="Y54" i="33"/>
  <c r="Y15" i="33"/>
  <c r="AZ75" i="24"/>
  <c r="T75" i="33"/>
  <c r="AZ66" i="24"/>
  <c r="T66" i="33"/>
  <c r="AZ47" i="24"/>
  <c r="T47" i="33"/>
  <c r="AZ24" i="24"/>
  <c r="AZ183" i="24" s="1"/>
  <c r="AZ185" i="24" s="1"/>
  <c r="T24" i="33"/>
  <c r="AZ7" i="24"/>
  <c r="T7" i="33"/>
  <c r="V71" i="24"/>
  <c r="N71" i="33" s="1"/>
  <c r="O71" i="33" s="1"/>
  <c r="K71" i="24"/>
  <c r="H71" i="33" s="1"/>
  <c r="I71" i="33" s="1"/>
  <c r="V54" i="24"/>
  <c r="N54" i="33" s="1"/>
  <c r="O54" i="33" s="1"/>
  <c r="K54" i="24"/>
  <c r="H54" i="33" s="1"/>
  <c r="I54" i="33" s="1"/>
  <c r="V41" i="24"/>
  <c r="V15" i="24"/>
  <c r="N15" i="33" s="1"/>
  <c r="O15" i="33" s="1"/>
  <c r="K15" i="24"/>
  <c r="AK14" i="33"/>
  <c r="Y45" i="33"/>
  <c r="Y21" i="33"/>
  <c r="AZ72" i="24"/>
  <c r="T72" i="33"/>
  <c r="AD72" i="33" s="1"/>
  <c r="AF72" i="33" s="1"/>
  <c r="AZ60" i="24"/>
  <c r="AZ42" i="24"/>
  <c r="T42" i="33"/>
  <c r="AZ16" i="24"/>
  <c r="T16" i="33"/>
  <c r="V78" i="24"/>
  <c r="N78" i="33" s="1"/>
  <c r="O78" i="33" s="1"/>
  <c r="K78" i="24"/>
  <c r="H78" i="33" s="1"/>
  <c r="I78" i="33" s="1"/>
  <c r="V67" i="24"/>
  <c r="N67" i="33" s="1"/>
  <c r="O67" i="33" s="1"/>
  <c r="K67" i="24"/>
  <c r="V48" i="24"/>
  <c r="N48" i="33" s="1"/>
  <c r="O48" i="33" s="1"/>
  <c r="K48" i="24"/>
  <c r="H48" i="33" s="1"/>
  <c r="I48" i="33" s="1"/>
  <c r="V30" i="24"/>
  <c r="N30" i="33" s="1"/>
  <c r="O30" i="33" s="1"/>
  <c r="K30" i="24"/>
  <c r="H30" i="33" s="1"/>
  <c r="I30" i="33" s="1"/>
  <c r="V9" i="24"/>
  <c r="N9" i="33" s="1"/>
  <c r="O9" i="33" s="1"/>
  <c r="K9" i="24"/>
  <c r="H9" i="33" s="1"/>
  <c r="I9" i="33" s="1"/>
  <c r="BL44" i="24"/>
  <c r="BL46" i="24" s="1"/>
  <c r="AQ32" i="24"/>
  <c r="AQ34" i="24" s="1"/>
  <c r="BA73" i="24"/>
  <c r="BA61" i="24"/>
  <c r="AG44" i="24"/>
  <c r="T44" i="33" s="1"/>
  <c r="BA17" i="24"/>
  <c r="N41" i="33"/>
  <c r="AQ60" i="24"/>
  <c r="AQ62" i="24" s="1"/>
  <c r="AG53" i="24"/>
  <c r="T53" i="33" s="1"/>
  <c r="AG14" i="24"/>
  <c r="T14" i="33" s="1"/>
  <c r="AK73" i="33"/>
  <c r="AK61" i="33"/>
  <c r="AK17" i="33"/>
  <c r="Y81" i="33"/>
  <c r="Y68" i="33"/>
  <c r="Y51" i="33"/>
  <c r="Y10" i="33"/>
  <c r="AZ73" i="24"/>
  <c r="T73" i="33"/>
  <c r="AZ61" i="24"/>
  <c r="T61" i="33"/>
  <c r="AZ44" i="24"/>
  <c r="AZ17" i="24"/>
  <c r="T17" i="33"/>
  <c r="V81" i="24"/>
  <c r="K81" i="24"/>
  <c r="H81" i="33" s="1"/>
  <c r="I81" i="33" s="1"/>
  <c r="V68" i="24"/>
  <c r="N68" i="33" s="1"/>
  <c r="O68" i="33" s="1"/>
  <c r="K68" i="24"/>
  <c r="H68" i="33" s="1"/>
  <c r="I68" i="33" s="1"/>
  <c r="V51" i="24"/>
  <c r="N51" i="33" s="1"/>
  <c r="O51" i="33" s="1"/>
  <c r="K51" i="24"/>
  <c r="H51" i="33" s="1"/>
  <c r="I51" i="33" s="1"/>
  <c r="V32" i="24"/>
  <c r="V34" i="24" s="1"/>
  <c r="V10" i="24"/>
  <c r="N10" i="33" s="1"/>
  <c r="O10" i="33" s="1"/>
  <c r="K10" i="24"/>
  <c r="H10" i="33" s="1"/>
  <c r="I10" i="33" s="1"/>
  <c r="AZ70" i="24"/>
  <c r="T70" i="33"/>
  <c r="AD70" i="33" s="1"/>
  <c r="AF70" i="33" s="1"/>
  <c r="AZ53" i="24"/>
  <c r="AZ33" i="24"/>
  <c r="T33" i="33"/>
  <c r="AZ14" i="24"/>
  <c r="V74" i="24"/>
  <c r="N74" i="33" s="1"/>
  <c r="O74" i="33" s="1"/>
  <c r="K74" i="24"/>
  <c r="H74" i="33" s="1"/>
  <c r="I74" i="33" s="1"/>
  <c r="W65" i="24"/>
  <c r="W76" i="24" s="1"/>
  <c r="W77" i="24" s="1"/>
  <c r="X65" i="24"/>
  <c r="X76" i="24" s="1"/>
  <c r="X77" i="24" s="1"/>
  <c r="V65" i="24"/>
  <c r="V45" i="24"/>
  <c r="N45" i="33" s="1"/>
  <c r="O45" i="33" s="1"/>
  <c r="K45" i="24"/>
  <c r="H45" i="33" s="1"/>
  <c r="I45" i="33" s="1"/>
  <c r="V21" i="24"/>
  <c r="AG5" i="24"/>
  <c r="T5" i="33" s="1"/>
  <c r="BL41" i="24"/>
  <c r="AK41" i="33" s="1"/>
  <c r="Y66" i="33"/>
  <c r="AQ76" i="24"/>
  <c r="BA71" i="24"/>
  <c r="BA54" i="24"/>
  <c r="AG41" i="24"/>
  <c r="T41" i="33" s="1"/>
  <c r="BA15" i="24"/>
  <c r="N32" i="33"/>
  <c r="BM65" i="24"/>
  <c r="BM76" i="24" s="1"/>
  <c r="BM77" i="24" s="1"/>
  <c r="BN65" i="24"/>
  <c r="BN76" i="24" s="1"/>
  <c r="BN77" i="24" s="1"/>
  <c r="BL65" i="24"/>
  <c r="BL76" i="24" s="1"/>
  <c r="BL21" i="24"/>
  <c r="BL179" i="24" s="1"/>
  <c r="BL181" i="24" s="1"/>
  <c r="V5" i="24"/>
  <c r="AQ53" i="24"/>
  <c r="AQ55" i="24" s="1"/>
  <c r="AQ56" i="24" s="1"/>
  <c r="Y33" i="33"/>
  <c r="AQ14" i="24"/>
  <c r="AQ18" i="24" s="1"/>
  <c r="H67" i="33"/>
  <c r="I67" i="33" s="1"/>
  <c r="BA78" i="24"/>
  <c r="AK71" i="33"/>
  <c r="AK54" i="33"/>
  <c r="AK15" i="33"/>
  <c r="Y75" i="33"/>
  <c r="Y47" i="33"/>
  <c r="Y24" i="33"/>
  <c r="Y183" i="33" s="1"/>
  <c r="Y7" i="33"/>
  <c r="AZ71" i="24"/>
  <c r="T71" i="33"/>
  <c r="AZ54" i="24"/>
  <c r="T54" i="33"/>
  <c r="AZ41" i="24"/>
  <c r="AZ15" i="24"/>
  <c r="T15" i="33"/>
  <c r="V75" i="24"/>
  <c r="N75" i="33" s="1"/>
  <c r="O75" i="33" s="1"/>
  <c r="K75" i="24"/>
  <c r="H75" i="33" s="1"/>
  <c r="I75" i="33" s="1"/>
  <c r="V66" i="24"/>
  <c r="K66" i="24"/>
  <c r="V47" i="24"/>
  <c r="K47" i="24"/>
  <c r="H47" i="33" s="1"/>
  <c r="I47" i="33" s="1"/>
  <c r="V24" i="24"/>
  <c r="N24" i="33" s="1"/>
  <c r="K24" i="24"/>
  <c r="V7" i="24"/>
  <c r="N7" i="33" s="1"/>
  <c r="K7" i="24"/>
  <c r="H7" i="33" s="1"/>
  <c r="AK21" i="33"/>
  <c r="Y14" i="33"/>
  <c r="H15" i="33"/>
  <c r="I15" i="33" s="1"/>
  <c r="AZ78" i="24"/>
  <c r="T78" i="33"/>
  <c r="AZ67" i="24"/>
  <c r="T67" i="33"/>
  <c r="AZ48" i="24"/>
  <c r="T48" i="33"/>
  <c r="AZ30" i="24"/>
  <c r="T30" i="33"/>
  <c r="AZ9" i="24"/>
  <c r="T9" i="33"/>
  <c r="V72" i="24"/>
  <c r="N72" i="33" s="1"/>
  <c r="O72" i="33" s="1"/>
  <c r="K72" i="24"/>
  <c r="H72" i="33" s="1"/>
  <c r="I72" i="33" s="1"/>
  <c r="V60" i="24"/>
  <c r="N60" i="33" s="1"/>
  <c r="V42" i="24"/>
  <c r="N42" i="33" s="1"/>
  <c r="O42" i="33" s="1"/>
  <c r="K42" i="24"/>
  <c r="H42" i="33" s="1"/>
  <c r="I42" i="33" s="1"/>
  <c r="V16" i="24"/>
  <c r="N16" i="33" s="1"/>
  <c r="O16" i="33" s="1"/>
  <c r="K16" i="24"/>
  <c r="H16" i="33" s="1"/>
  <c r="I16" i="33" s="1"/>
  <c r="BL32" i="24"/>
  <c r="BL34" i="24" s="1"/>
  <c r="AQ44" i="24"/>
  <c r="AQ46" i="24" s="1"/>
  <c r="BA81" i="24"/>
  <c r="BA68" i="24"/>
  <c r="BA51" i="24"/>
  <c r="AG32" i="24"/>
  <c r="T32" i="33" s="1"/>
  <c r="BA10" i="24"/>
  <c r="N47" i="33"/>
  <c r="O47" i="33" s="1"/>
  <c r="BL60" i="24"/>
  <c r="BL62" i="24" s="1"/>
  <c r="AG65" i="24"/>
  <c r="BA65" i="24" s="1"/>
  <c r="AI65" i="24"/>
  <c r="AH65" i="24"/>
  <c r="AG21" i="24"/>
  <c r="AG179" i="24" s="1"/>
  <c r="AG181" i="24" s="1"/>
  <c r="BL5" i="24"/>
  <c r="AK5" i="33" s="1"/>
  <c r="AK81" i="33"/>
  <c r="AK68" i="33"/>
  <c r="AK51" i="33"/>
  <c r="AK10" i="33"/>
  <c r="Y73" i="33"/>
  <c r="Y61" i="33"/>
  <c r="Y17" i="33"/>
  <c r="AZ81" i="24"/>
  <c r="T81" i="33"/>
  <c r="AZ68" i="24"/>
  <c r="T68" i="33"/>
  <c r="AD68" i="33" s="1"/>
  <c r="AF68" i="33" s="1"/>
  <c r="AZ51" i="24"/>
  <c r="T51" i="33"/>
  <c r="AD51" i="33" s="1"/>
  <c r="AF51" i="33" s="1"/>
  <c r="AZ32" i="24"/>
  <c r="AZ10" i="24"/>
  <c r="T10" i="33"/>
  <c r="V73" i="24"/>
  <c r="N73" i="33" s="1"/>
  <c r="O73" i="33" s="1"/>
  <c r="K73" i="24"/>
  <c r="H73" i="33" s="1"/>
  <c r="I73" i="33" s="1"/>
  <c r="V61" i="24"/>
  <c r="N61" i="33" s="1"/>
  <c r="O61" i="33" s="1"/>
  <c r="K61" i="24"/>
  <c r="H61" i="33" s="1"/>
  <c r="I61" i="33" s="1"/>
  <c r="V44" i="24"/>
  <c r="V17" i="24"/>
  <c r="N17" i="33" s="1"/>
  <c r="O17" i="33" s="1"/>
  <c r="K17" i="24"/>
  <c r="H17" i="33" s="1"/>
  <c r="I17" i="33" s="1"/>
  <c r="AQ5" i="24"/>
  <c r="AQ11" i="24" s="1"/>
  <c r="AK42" i="33"/>
  <c r="AK16" i="33"/>
  <c r="Y78" i="33"/>
  <c r="Y67" i="33"/>
  <c r="Y48" i="33"/>
  <c r="Y30" i="33"/>
  <c r="Y9" i="33"/>
  <c r="W83" i="33"/>
  <c r="W82" i="33"/>
  <c r="L79" i="33"/>
  <c r="L80" i="33"/>
  <c r="L87" i="33" s="1"/>
  <c r="L38" i="33"/>
  <c r="L37" i="33"/>
  <c r="AB57" i="33"/>
  <c r="AI38" i="33"/>
  <c r="AI37" i="33"/>
  <c r="AI80" i="33"/>
  <c r="AI79" i="33"/>
  <c r="AB35" i="33"/>
  <c r="F77" i="33"/>
  <c r="F36" i="33"/>
  <c r="F64" i="33"/>
  <c r="F69" i="33" s="1"/>
  <c r="R80" i="33"/>
  <c r="R79" i="33"/>
  <c r="F83" i="31"/>
  <c r="F82" i="31"/>
  <c r="I82" i="31" s="1"/>
  <c r="I80" i="31"/>
  <c r="J44" i="24"/>
  <c r="J32" i="24"/>
  <c r="J41" i="24"/>
  <c r="J24" i="24"/>
  <c r="H24" i="33" s="1"/>
  <c r="Y65" i="33" l="1"/>
  <c r="AD16" i="33"/>
  <c r="AF16" i="33" s="1"/>
  <c r="AD42" i="33"/>
  <c r="AF42" i="33" s="1"/>
  <c r="AD81" i="33"/>
  <c r="AF81" i="33" s="1"/>
  <c r="N65" i="33"/>
  <c r="O65" i="33" s="1"/>
  <c r="Y53" i="33"/>
  <c r="Y58" i="33" s="1"/>
  <c r="AD10" i="33"/>
  <c r="AF10" i="33" s="1"/>
  <c r="AD71" i="33"/>
  <c r="AF71" i="33" s="1"/>
  <c r="Y32" i="33"/>
  <c r="Y34" i="33" s="1"/>
  <c r="AK53" i="33"/>
  <c r="AK58" i="33" s="1"/>
  <c r="AK60" i="33"/>
  <c r="AK62" i="33" s="1"/>
  <c r="AD15" i="33"/>
  <c r="AF15" i="33" s="1"/>
  <c r="AK32" i="33"/>
  <c r="AK34" i="33" s="1"/>
  <c r="Y55" i="33"/>
  <c r="Y56" i="33" s="1"/>
  <c r="AD67" i="33"/>
  <c r="AF67" i="33" s="1"/>
  <c r="AD54" i="33"/>
  <c r="AF54" i="33" s="1"/>
  <c r="Y44" i="33"/>
  <c r="Y46" i="33" s="1"/>
  <c r="AD78" i="33"/>
  <c r="AF78" i="33" s="1"/>
  <c r="AK65" i="33"/>
  <c r="AK76" i="33" s="1"/>
  <c r="AK44" i="33"/>
  <c r="AK46" i="33" s="1"/>
  <c r="AD74" i="33"/>
  <c r="AF74" i="33" s="1"/>
  <c r="N183" i="33"/>
  <c r="N25" i="33"/>
  <c r="O24" i="33"/>
  <c r="AD14" i="33"/>
  <c r="T18" i="33"/>
  <c r="AK11" i="33"/>
  <c r="AK12" i="33" s="1"/>
  <c r="AK6" i="33"/>
  <c r="H8" i="33"/>
  <c r="I7" i="33"/>
  <c r="T46" i="33"/>
  <c r="Y43" i="33"/>
  <c r="AD9" i="33"/>
  <c r="AF9" i="33" s="1"/>
  <c r="T58" i="33"/>
  <c r="AD41" i="33"/>
  <c r="T43" i="33"/>
  <c r="K44" i="24"/>
  <c r="K46" i="24" s="1"/>
  <c r="BA21" i="24"/>
  <c r="BA179" i="24" s="1"/>
  <c r="BA181" i="24" s="1"/>
  <c r="AG27" i="24"/>
  <c r="K60" i="24"/>
  <c r="N66" i="33"/>
  <c r="V76" i="24"/>
  <c r="AG58" i="24"/>
  <c r="BA41" i="24"/>
  <c r="AG43" i="24"/>
  <c r="BA5" i="24"/>
  <c r="BA11" i="24" s="1"/>
  <c r="AG11" i="24"/>
  <c r="X79" i="24"/>
  <c r="X80" i="24"/>
  <c r="X87" i="24" s="1"/>
  <c r="AD7" i="33"/>
  <c r="AF7" i="33" s="1"/>
  <c r="AK183" i="33"/>
  <c r="AK25" i="33"/>
  <c r="AR80" i="24"/>
  <c r="AR79" i="24"/>
  <c r="Y5" i="33"/>
  <c r="Y11" i="33" s="1"/>
  <c r="V55" i="24"/>
  <c r="N34" i="33"/>
  <c r="O32" i="33"/>
  <c r="T34" i="33"/>
  <c r="AH76" i="24"/>
  <c r="AH77" i="24" s="1"/>
  <c r="BB65" i="24"/>
  <c r="BB76" i="24" s="1"/>
  <c r="BB77" i="24" s="1"/>
  <c r="AD48" i="33"/>
  <c r="AF48" i="33" s="1"/>
  <c r="AK43" i="33"/>
  <c r="AK49" i="33" s="1"/>
  <c r="BN80" i="24"/>
  <c r="BN79" i="24"/>
  <c r="N21" i="33"/>
  <c r="V27" i="24"/>
  <c r="V28" i="24" s="1"/>
  <c r="V179" i="24"/>
  <c r="V22" i="24"/>
  <c r="T55" i="33"/>
  <c r="AD53" i="33"/>
  <c r="Y179" i="33"/>
  <c r="Y181" i="33" s="1"/>
  <c r="Y27" i="33"/>
  <c r="K41" i="24"/>
  <c r="H41" i="33" s="1"/>
  <c r="AD75" i="33"/>
  <c r="AF75" i="33" s="1"/>
  <c r="AG62" i="24"/>
  <c r="BA60" i="24"/>
  <c r="BA62" i="24" s="1"/>
  <c r="AG76" i="24"/>
  <c r="K14" i="24"/>
  <c r="N8" i="33"/>
  <c r="O7" i="33"/>
  <c r="V183" i="24"/>
  <c r="V25" i="24"/>
  <c r="V11" i="24"/>
  <c r="V12" i="24" s="1"/>
  <c r="V6" i="24"/>
  <c r="N5" i="33"/>
  <c r="V46" i="24"/>
  <c r="AI76" i="24"/>
  <c r="AI77" i="24" s="1"/>
  <c r="BC65" i="24"/>
  <c r="BC76" i="24" s="1"/>
  <c r="BC77" i="24" s="1"/>
  <c r="BA32" i="24"/>
  <c r="BA34" i="24" s="1"/>
  <c r="AG34" i="24"/>
  <c r="V62" i="24"/>
  <c r="K5" i="24"/>
  <c r="BM79" i="24"/>
  <c r="BM80" i="24"/>
  <c r="W79" i="24"/>
  <c r="W80" i="24"/>
  <c r="W87" i="24" s="1"/>
  <c r="T60" i="33"/>
  <c r="T183" i="33"/>
  <c r="AD24" i="33"/>
  <c r="N44" i="33"/>
  <c r="BA76" i="24"/>
  <c r="N62" i="33"/>
  <c r="O62" i="33" s="1"/>
  <c r="O60" i="33"/>
  <c r="Y18" i="33"/>
  <c r="K25" i="24"/>
  <c r="K183" i="24"/>
  <c r="K185" i="24" s="1"/>
  <c r="K26" i="24" s="1"/>
  <c r="K21" i="24"/>
  <c r="Y60" i="33"/>
  <c r="Y62" i="33" s="1"/>
  <c r="AD61" i="33"/>
  <c r="AF61" i="33" s="1"/>
  <c r="V43" i="24"/>
  <c r="AS79" i="24"/>
  <c r="AS80" i="24"/>
  <c r="V18" i="24"/>
  <c r="BA14" i="24"/>
  <c r="BA18" i="24" s="1"/>
  <c r="AG18" i="24"/>
  <c r="BA44" i="24"/>
  <c r="BA46" i="24" s="1"/>
  <c r="AG46" i="24"/>
  <c r="Y76" i="33"/>
  <c r="T21" i="33"/>
  <c r="AD73" i="33"/>
  <c r="AF73" i="33" s="1"/>
  <c r="AK18" i="33"/>
  <c r="AD47" i="33"/>
  <c r="AF47" i="33" s="1"/>
  <c r="N18" i="33"/>
  <c r="P18" i="33" s="1"/>
  <c r="O14" i="33"/>
  <c r="AQ43" i="24"/>
  <c r="AQ49" i="24" s="1"/>
  <c r="AQ57" i="24" s="1"/>
  <c r="AQ58" i="24"/>
  <c r="T11" i="33"/>
  <c r="BL11" i="24"/>
  <c r="BL12" i="24" s="1"/>
  <c r="BL6" i="24"/>
  <c r="AK179" i="33"/>
  <c r="AK181" i="33" s="1"/>
  <c r="AK27" i="33"/>
  <c r="AK28" i="33" s="1"/>
  <c r="AK22" i="33"/>
  <c r="BL22" i="24"/>
  <c r="BL27" i="24"/>
  <c r="BL28" i="24" s="1"/>
  <c r="BL43" i="24"/>
  <c r="BL49" i="24" s="1"/>
  <c r="BL57" i="24" s="1"/>
  <c r="BL58" i="24"/>
  <c r="N81" i="33"/>
  <c r="O81" i="33" s="1"/>
  <c r="BA53" i="24"/>
  <c r="BA55" i="24" s="1"/>
  <c r="AG55" i="24"/>
  <c r="N53" i="33"/>
  <c r="AD30" i="33"/>
  <c r="AF30" i="33" s="1"/>
  <c r="K65" i="24"/>
  <c r="L65" i="24"/>
  <c r="L76" i="24" s="1"/>
  <c r="L77" i="24" s="1"/>
  <c r="M65" i="24"/>
  <c r="M76" i="24" s="1"/>
  <c r="M77" i="24" s="1"/>
  <c r="AD33" i="33"/>
  <c r="AF33" i="33" s="1"/>
  <c r="H66" i="33"/>
  <c r="K32" i="24"/>
  <c r="K34" i="24" s="1"/>
  <c r="AD17" i="33"/>
  <c r="AF17" i="33" s="1"/>
  <c r="N43" i="33"/>
  <c r="O41" i="33"/>
  <c r="AD66" i="33"/>
  <c r="AF66" i="33" s="1"/>
  <c r="AQ27" i="24"/>
  <c r="AQ35" i="24" s="1"/>
  <c r="K53" i="24"/>
  <c r="AD45" i="33"/>
  <c r="AF45" i="33" s="1"/>
  <c r="T65" i="33"/>
  <c r="AI83" i="33"/>
  <c r="AI82" i="33"/>
  <c r="L83" i="33"/>
  <c r="L82" i="33"/>
  <c r="R82" i="33"/>
  <c r="R83" i="33"/>
  <c r="F37" i="33"/>
  <c r="F38" i="33"/>
  <c r="F80" i="33"/>
  <c r="F79" i="33"/>
  <c r="AB77" i="33"/>
  <c r="AB64" i="33"/>
  <c r="AB69" i="33" s="1"/>
  <c r="W86" i="33"/>
  <c r="W110" i="33" s="1"/>
  <c r="W85" i="33"/>
  <c r="W109" i="33" s="1"/>
  <c r="I24" i="33"/>
  <c r="H183" i="33"/>
  <c r="H25" i="33"/>
  <c r="F84" i="31"/>
  <c r="F86" i="31"/>
  <c r="F110" i="31" s="1"/>
  <c r="F85" i="31"/>
  <c r="F109" i="31" s="1"/>
  <c r="F90" i="31"/>
  <c r="I83" i="31"/>
  <c r="Y49" i="33" l="1"/>
  <c r="Y57" i="33" s="1"/>
  <c r="AK55" i="33"/>
  <c r="AK57" i="33" s="1"/>
  <c r="AD32" i="33"/>
  <c r="AD34" i="33" s="1"/>
  <c r="AD5" i="33"/>
  <c r="AG35" i="24"/>
  <c r="V35" i="24"/>
  <c r="V36" i="24" s="1"/>
  <c r="V37" i="24" s="1"/>
  <c r="AD44" i="33"/>
  <c r="AD46" i="33" s="1"/>
  <c r="H44" i="33"/>
  <c r="I41" i="33"/>
  <c r="H43" i="33"/>
  <c r="AQ64" i="24"/>
  <c r="I66" i="33"/>
  <c r="BL35" i="24"/>
  <c r="N11" i="33"/>
  <c r="P11" i="33" s="1"/>
  <c r="N6" i="33"/>
  <c r="O5" i="33"/>
  <c r="K18" i="24"/>
  <c r="H14" i="33"/>
  <c r="BN82" i="24"/>
  <c r="BN83" i="24"/>
  <c r="BN84" i="24" s="1"/>
  <c r="BA27" i="24"/>
  <c r="BA35" i="24" s="1"/>
  <c r="N55" i="33"/>
  <c r="O53" i="33"/>
  <c r="AD21" i="33"/>
  <c r="T27" i="33"/>
  <c r="T35" i="33" s="1"/>
  <c r="T179" i="33"/>
  <c r="T181" i="33" s="1"/>
  <c r="AD60" i="33"/>
  <c r="T62" i="33"/>
  <c r="AD55" i="33"/>
  <c r="AF55" i="33" s="1"/>
  <c r="AF53" i="33"/>
  <c r="M80" i="24"/>
  <c r="M79" i="24"/>
  <c r="N19" i="33"/>
  <c r="O18" i="33"/>
  <c r="K22" i="24"/>
  <c r="K27" i="24"/>
  <c r="K28" i="24" s="1"/>
  <c r="K179" i="24"/>
  <c r="K181" i="24" s="1"/>
  <c r="K23" i="24" s="1"/>
  <c r="H21" i="33"/>
  <c r="W83" i="24"/>
  <c r="W82" i="24"/>
  <c r="X82" i="24"/>
  <c r="X83" i="24"/>
  <c r="N76" i="33"/>
  <c r="O76" i="33" s="1"/>
  <c r="O66" i="33"/>
  <c r="L80" i="24"/>
  <c r="L79" i="24"/>
  <c r="AS82" i="24"/>
  <c r="AS83" i="24"/>
  <c r="BC80" i="24"/>
  <c r="BC79" i="24"/>
  <c r="AD65" i="33"/>
  <c r="AF65" i="33" s="1"/>
  <c r="T76" i="33"/>
  <c r="H65" i="33"/>
  <c r="I65" i="33" s="1"/>
  <c r="AD11" i="33"/>
  <c r="AF5" i="33"/>
  <c r="AK35" i="33"/>
  <c r="BM83" i="24"/>
  <c r="BM84" i="24" s="1"/>
  <c r="BM82" i="24"/>
  <c r="AI80" i="24"/>
  <c r="AI79" i="24"/>
  <c r="Y35" i="33"/>
  <c r="AD18" i="33"/>
  <c r="AF14" i="33"/>
  <c r="N46" i="33"/>
  <c r="N49" i="33" s="1"/>
  <c r="O44" i="33"/>
  <c r="BB80" i="24"/>
  <c r="BB79" i="24"/>
  <c r="K62" i="24"/>
  <c r="H60" i="33"/>
  <c r="AD183" i="33"/>
  <c r="AF24" i="33"/>
  <c r="V49" i="24"/>
  <c r="V57" i="24" s="1"/>
  <c r="K58" i="24"/>
  <c r="K43" i="24"/>
  <c r="K49" i="24" s="1"/>
  <c r="N22" i="33"/>
  <c r="N179" i="33"/>
  <c r="N181" i="33" s="1"/>
  <c r="N23" i="33" s="1"/>
  <c r="N27" i="33"/>
  <c r="O21" i="33"/>
  <c r="AH79" i="24"/>
  <c r="AH80" i="24"/>
  <c r="AR82" i="24"/>
  <c r="AR83" i="24"/>
  <c r="AG49" i="24"/>
  <c r="AG57" i="24" s="1"/>
  <c r="T49" i="33"/>
  <c r="T57" i="33" s="1"/>
  <c r="K55" i="24"/>
  <c r="H53" i="33"/>
  <c r="K76" i="24"/>
  <c r="K6" i="24"/>
  <c r="K11" i="24"/>
  <c r="K12" i="24" s="1"/>
  <c r="H5" i="33"/>
  <c r="H32" i="33"/>
  <c r="BA58" i="24"/>
  <c r="BA43" i="24"/>
  <c r="BA49" i="24" s="1"/>
  <c r="BA57" i="24" s="1"/>
  <c r="AD43" i="33"/>
  <c r="AD58" i="33"/>
  <c r="AF41" i="33"/>
  <c r="L86" i="33"/>
  <c r="L110" i="33" s="1"/>
  <c r="L85" i="33"/>
  <c r="L109" i="33" s="1"/>
  <c r="AB80" i="33"/>
  <c r="AB79" i="33"/>
  <c r="R85" i="33"/>
  <c r="R109" i="33" s="1"/>
  <c r="R86" i="33"/>
  <c r="R110" i="33" s="1"/>
  <c r="F83" i="33"/>
  <c r="F82" i="33"/>
  <c r="I90" i="31"/>
  <c r="BJ81" i="24"/>
  <c r="AO81" i="24"/>
  <c r="AE81" i="24"/>
  <c r="T81" i="24"/>
  <c r="BJ78" i="24"/>
  <c r="AO78" i="24"/>
  <c r="AE78" i="24"/>
  <c r="T78" i="24"/>
  <c r="BJ75" i="24"/>
  <c r="AO75" i="24"/>
  <c r="AE75" i="24"/>
  <c r="T75" i="24"/>
  <c r="BJ74" i="24"/>
  <c r="AO74" i="24"/>
  <c r="AE74" i="24"/>
  <c r="T74" i="24"/>
  <c r="BJ73" i="24"/>
  <c r="AO73" i="24"/>
  <c r="AE73" i="24"/>
  <c r="T73" i="24"/>
  <c r="BJ72" i="24"/>
  <c r="AO72" i="24"/>
  <c r="AE72" i="24"/>
  <c r="T72" i="24"/>
  <c r="BJ71" i="24"/>
  <c r="AO71" i="24"/>
  <c r="AE71" i="24"/>
  <c r="T71" i="24"/>
  <c r="BJ70" i="24"/>
  <c r="AO70" i="24"/>
  <c r="AE70" i="24"/>
  <c r="T70" i="24"/>
  <c r="BJ68" i="24"/>
  <c r="AO68" i="24"/>
  <c r="AE68" i="24"/>
  <c r="T68" i="24"/>
  <c r="BJ67" i="24"/>
  <c r="AO67" i="24"/>
  <c r="AE67" i="24"/>
  <c r="T67" i="24"/>
  <c r="BJ66" i="24"/>
  <c r="AO66" i="24"/>
  <c r="AE66" i="24"/>
  <c r="T66" i="24"/>
  <c r="BJ65" i="24"/>
  <c r="AO65" i="24"/>
  <c r="AE65" i="24"/>
  <c r="BJ61" i="24"/>
  <c r="AO61" i="24"/>
  <c r="AE61" i="24"/>
  <c r="T61" i="24"/>
  <c r="BJ60" i="24"/>
  <c r="AO60" i="24"/>
  <c r="AE60" i="24"/>
  <c r="T60" i="24"/>
  <c r="BJ54" i="24"/>
  <c r="AO54" i="24"/>
  <c r="AE54" i="24"/>
  <c r="BJ51" i="24"/>
  <c r="AO51" i="24"/>
  <c r="AE51" i="24"/>
  <c r="BJ48" i="24"/>
  <c r="AO48" i="24"/>
  <c r="AE48" i="24"/>
  <c r="T48" i="24"/>
  <c r="BJ47" i="24"/>
  <c r="AO47" i="24"/>
  <c r="AE47" i="24"/>
  <c r="T47" i="24"/>
  <c r="BJ42" i="24"/>
  <c r="AO42" i="24"/>
  <c r="AE42" i="24"/>
  <c r="T42" i="24"/>
  <c r="BJ33" i="24"/>
  <c r="AO33" i="24"/>
  <c r="AE33" i="24"/>
  <c r="T33" i="24"/>
  <c r="BJ30" i="24"/>
  <c r="AO30" i="24"/>
  <c r="AE30" i="24"/>
  <c r="T30" i="24"/>
  <c r="T24" i="24"/>
  <c r="BJ17" i="24"/>
  <c r="AO17" i="24"/>
  <c r="AE17" i="24"/>
  <c r="BJ16" i="24"/>
  <c r="AO16" i="24"/>
  <c r="AE16" i="24"/>
  <c r="T16" i="24"/>
  <c r="BJ15" i="24"/>
  <c r="AO15" i="24"/>
  <c r="AE15" i="24"/>
  <c r="T15" i="24"/>
  <c r="AO14" i="24"/>
  <c r="BJ10" i="24"/>
  <c r="AO10" i="24"/>
  <c r="AE10" i="24"/>
  <c r="BJ9" i="24"/>
  <c r="AO9" i="24"/>
  <c r="AE9" i="24"/>
  <c r="T9" i="24"/>
  <c r="BJ7" i="24"/>
  <c r="AO7" i="24"/>
  <c r="T7" i="24"/>
  <c r="BJ5" i="24"/>
  <c r="AE5" i="24"/>
  <c r="V64" i="24" l="1"/>
  <c r="V77" i="24" s="1"/>
  <c r="AF32" i="33"/>
  <c r="AG64" i="24"/>
  <c r="AG77" i="24" s="1"/>
  <c r="N57" i="33"/>
  <c r="AF44" i="33"/>
  <c r="K57" i="24"/>
  <c r="F41" i="37"/>
  <c r="F43" i="37" s="1"/>
  <c r="I43" i="33"/>
  <c r="N35" i="33"/>
  <c r="O35" i="33" s="1"/>
  <c r="P27" i="33"/>
  <c r="T64" i="33"/>
  <c r="T69" i="33" s="1"/>
  <c r="I44" i="33"/>
  <c r="H46" i="33"/>
  <c r="H49" i="33" s="1"/>
  <c r="V69" i="24"/>
  <c r="H55" i="33"/>
  <c r="I55" i="33" s="1"/>
  <c r="I53" i="33"/>
  <c r="AH83" i="24"/>
  <c r="AH82" i="24"/>
  <c r="AS84" i="24"/>
  <c r="AS86" i="24"/>
  <c r="AS110" i="24" s="1"/>
  <c r="AS85" i="24"/>
  <c r="AS109" i="24" s="1"/>
  <c r="AD62" i="33"/>
  <c r="AF62" i="33" s="1"/>
  <c r="AF60" i="33"/>
  <c r="W84" i="24"/>
  <c r="W86" i="24"/>
  <c r="W110" i="24" s="1"/>
  <c r="W85" i="24"/>
  <c r="W109" i="24" s="1"/>
  <c r="BL64" i="24"/>
  <c r="BL77" i="24" s="1"/>
  <c r="BL36" i="24"/>
  <c r="BL37" i="24" s="1"/>
  <c r="BB82" i="24"/>
  <c r="BB83" i="24"/>
  <c r="Y64" i="33"/>
  <c r="Y69" i="33" s="1"/>
  <c r="Y77" i="33"/>
  <c r="H179" i="33"/>
  <c r="H181" i="33" s="1"/>
  <c r="H23" i="33" s="1"/>
  <c r="H22" i="33"/>
  <c r="I21" i="33"/>
  <c r="H27" i="33"/>
  <c r="I32" i="33"/>
  <c r="H34" i="33"/>
  <c r="N28" i="33"/>
  <c r="O27" i="33"/>
  <c r="T77" i="33"/>
  <c r="L83" i="24"/>
  <c r="L82" i="24"/>
  <c r="I14" i="33"/>
  <c r="H18" i="33"/>
  <c r="H76" i="33"/>
  <c r="I76" i="33" s="1"/>
  <c r="H11" i="33"/>
  <c r="H6" i="33"/>
  <c r="I5" i="33"/>
  <c r="AI82" i="24"/>
  <c r="AI83" i="24"/>
  <c r="M83" i="24"/>
  <c r="M82" i="24"/>
  <c r="AD179" i="33"/>
  <c r="AD181" i="33" s="1"/>
  <c r="AD27" i="33"/>
  <c r="AD35" i="33" s="1"/>
  <c r="AF21" i="33"/>
  <c r="K35" i="24"/>
  <c r="AQ69" i="24"/>
  <c r="AQ77" i="24"/>
  <c r="AF43" i="33"/>
  <c r="AR86" i="24"/>
  <c r="AR110" i="24" s="1"/>
  <c r="AR85" i="24"/>
  <c r="AR109" i="24" s="1"/>
  <c r="AR84" i="24"/>
  <c r="AD49" i="33"/>
  <c r="X86" i="24"/>
  <c r="X110" i="24" s="1"/>
  <c r="X84" i="24"/>
  <c r="X85" i="24"/>
  <c r="X109" i="24" s="1"/>
  <c r="H58" i="33"/>
  <c r="H62" i="33"/>
  <c r="I62" i="33" s="1"/>
  <c r="I60" i="33"/>
  <c r="AD76" i="33"/>
  <c r="AF76" i="33" s="1"/>
  <c r="AK77" i="33"/>
  <c r="AK36" i="33"/>
  <c r="AK64" i="33"/>
  <c r="BC83" i="24"/>
  <c r="BC82" i="24"/>
  <c r="BA64" i="24"/>
  <c r="N12" i="33"/>
  <c r="O11" i="33"/>
  <c r="F85" i="33"/>
  <c r="F109" i="33" s="1"/>
  <c r="F86" i="33"/>
  <c r="F110" i="33" s="1"/>
  <c r="F90" i="33"/>
  <c r="AB83" i="33"/>
  <c r="AB82" i="33"/>
  <c r="AY15" i="24"/>
  <c r="AY9" i="24"/>
  <c r="I49" i="33"/>
  <c r="AY16" i="24"/>
  <c r="AY81" i="24"/>
  <c r="AY78" i="24"/>
  <c r="AY66" i="24"/>
  <c r="AY68" i="24"/>
  <c r="AY71" i="24"/>
  <c r="AY73" i="24"/>
  <c r="AY75" i="24"/>
  <c r="AY67" i="24"/>
  <c r="AY70" i="24"/>
  <c r="AY72" i="24"/>
  <c r="AY74" i="24"/>
  <c r="AY61" i="24"/>
  <c r="AY60" i="24"/>
  <c r="AY54" i="24"/>
  <c r="AY51" i="24"/>
  <c r="AY48" i="24"/>
  <c r="AY47" i="24"/>
  <c r="AY42" i="24"/>
  <c r="AY30" i="24"/>
  <c r="AE24" i="24"/>
  <c r="AE183" i="24" s="1"/>
  <c r="AE185" i="24" s="1"/>
  <c r="BJ24" i="24"/>
  <c r="BJ183" i="24" s="1"/>
  <c r="BJ185" i="24" s="1"/>
  <c r="AO24" i="24"/>
  <c r="AO183" i="24" s="1"/>
  <c r="AO185" i="24" s="1"/>
  <c r="AE21" i="24"/>
  <c r="AE179" i="24" s="1"/>
  <c r="AE181" i="24" s="1"/>
  <c r="BJ21" i="24"/>
  <c r="BJ179" i="24" s="1"/>
  <c r="BJ181" i="24" s="1"/>
  <c r="AY17" i="24"/>
  <c r="AY33" i="24"/>
  <c r="AY10" i="24"/>
  <c r="AY65" i="24"/>
  <c r="I72" i="24"/>
  <c r="N72" i="24" s="1"/>
  <c r="I66" i="24"/>
  <c r="N66" i="24" s="1"/>
  <c r="I71" i="24"/>
  <c r="N71" i="24" s="1"/>
  <c r="I73" i="24"/>
  <c r="N73" i="24" s="1"/>
  <c r="I75" i="24"/>
  <c r="N75" i="24" s="1"/>
  <c r="I68" i="24"/>
  <c r="N68" i="24" s="1"/>
  <c r="I60" i="24"/>
  <c r="N60" i="24" s="1"/>
  <c r="I61" i="24"/>
  <c r="N61" i="24" s="1"/>
  <c r="I48" i="24"/>
  <c r="N48" i="24" s="1"/>
  <c r="I47" i="24"/>
  <c r="N47" i="24" s="1"/>
  <c r="I42" i="24"/>
  <c r="N42" i="24" s="1"/>
  <c r="I30" i="24"/>
  <c r="N30" i="24" s="1"/>
  <c r="I24" i="24"/>
  <c r="N24" i="24" s="1"/>
  <c r="I16" i="24"/>
  <c r="N16" i="24" s="1"/>
  <c r="I15" i="24"/>
  <c r="N15" i="24" s="1"/>
  <c r="I9" i="24"/>
  <c r="N9" i="24" s="1"/>
  <c r="BJ53" i="24"/>
  <c r="T41" i="24"/>
  <c r="AE41" i="24"/>
  <c r="AO41" i="24"/>
  <c r="T53" i="24"/>
  <c r="AE53" i="24"/>
  <c r="AO21" i="24"/>
  <c r="AO179" i="24" s="1"/>
  <c r="AO181" i="24" s="1"/>
  <c r="T51" i="24"/>
  <c r="T21" i="24"/>
  <c r="T10" i="24"/>
  <c r="T14" i="24"/>
  <c r="I78" i="24"/>
  <c r="N78" i="24" s="1"/>
  <c r="AE14" i="24"/>
  <c r="AY14" i="24" s="1"/>
  <c r="AE7" i="24"/>
  <c r="AY7" i="24" s="1"/>
  <c r="AO5" i="24"/>
  <c r="I70" i="24"/>
  <c r="N70" i="24" s="1"/>
  <c r="I74" i="24"/>
  <c r="N74" i="24" s="1"/>
  <c r="T54" i="24"/>
  <c r="AO53" i="24"/>
  <c r="T17" i="24"/>
  <c r="T65" i="24"/>
  <c r="BJ14" i="24"/>
  <c r="I33" i="24"/>
  <c r="N33" i="24" s="1"/>
  <c r="BJ41" i="24"/>
  <c r="I67" i="24"/>
  <c r="N67" i="24" s="1"/>
  <c r="I81" i="24"/>
  <c r="N81" i="24" s="1"/>
  <c r="AG69" i="24" l="1"/>
  <c r="H43" i="37"/>
  <c r="H57" i="33"/>
  <c r="I57" i="33" s="1"/>
  <c r="N64" i="33"/>
  <c r="O64" i="33" s="1"/>
  <c r="N77" i="33"/>
  <c r="O77" i="33" s="1"/>
  <c r="N36" i="33"/>
  <c r="N38" i="33" s="1"/>
  <c r="H41" i="37"/>
  <c r="F58" i="37"/>
  <c r="AK38" i="33"/>
  <c r="AK37" i="33"/>
  <c r="M84" i="24"/>
  <c r="M90" i="24"/>
  <c r="M96" i="24" s="1"/>
  <c r="M85" i="24"/>
  <c r="M109" i="24" s="1"/>
  <c r="M86" i="24"/>
  <c r="M110" i="24" s="1"/>
  <c r="H28" i="33"/>
  <c r="I27" i="33"/>
  <c r="AG80" i="24"/>
  <c r="AG79" i="24"/>
  <c r="AK80" i="33"/>
  <c r="AK79" i="33"/>
  <c r="AQ80" i="24"/>
  <c r="AQ79" i="24"/>
  <c r="AI86" i="24"/>
  <c r="AI110" i="24" s="1"/>
  <c r="AI85" i="24"/>
  <c r="AI109" i="24" s="1"/>
  <c r="AI84" i="24"/>
  <c r="BL80" i="24"/>
  <c r="BL79" i="24"/>
  <c r="AD57" i="33"/>
  <c r="AF57" i="33" s="1"/>
  <c r="AF49" i="33"/>
  <c r="L84" i="24"/>
  <c r="L85" i="24"/>
  <c r="L109" i="24" s="1"/>
  <c r="L86" i="24"/>
  <c r="L110" i="24" s="1"/>
  <c r="L90" i="24"/>
  <c r="L96" i="24" s="1"/>
  <c r="K36" i="24"/>
  <c r="K37" i="24" s="1"/>
  <c r="K64" i="24"/>
  <c r="T79" i="33"/>
  <c r="T80" i="33"/>
  <c r="BA69" i="24"/>
  <c r="BA77" i="24"/>
  <c r="Y80" i="33"/>
  <c r="Y79" i="33"/>
  <c r="I11" i="33"/>
  <c r="H12" i="33"/>
  <c r="AH86" i="24"/>
  <c r="AH110" i="24" s="1"/>
  <c r="AH85" i="24"/>
  <c r="AH109" i="24" s="1"/>
  <c r="AH84" i="24"/>
  <c r="BC86" i="24"/>
  <c r="BC110" i="24" s="1"/>
  <c r="BC84" i="24"/>
  <c r="BC85" i="24"/>
  <c r="BC109" i="24" s="1"/>
  <c r="H35" i="33"/>
  <c r="BB84" i="24"/>
  <c r="BB86" i="24"/>
  <c r="BB110" i="24" s="1"/>
  <c r="BB85" i="24"/>
  <c r="BB109" i="24" s="1"/>
  <c r="V80" i="24"/>
  <c r="V87" i="24" s="1"/>
  <c r="V79" i="24"/>
  <c r="I18" i="33"/>
  <c r="H19" i="33"/>
  <c r="AB85" i="33"/>
  <c r="AB109" i="33" s="1"/>
  <c r="AB84" i="33"/>
  <c r="AB86" i="33"/>
  <c r="AB110" i="33" s="1"/>
  <c r="AY53" i="24"/>
  <c r="AY41" i="24"/>
  <c r="AY24" i="24"/>
  <c r="AY183" i="24" s="1"/>
  <c r="AY185" i="24" s="1"/>
  <c r="AY21" i="24"/>
  <c r="AY179" i="24" s="1"/>
  <c r="AY181" i="24" s="1"/>
  <c r="I54" i="24"/>
  <c r="N54" i="24" s="1"/>
  <c r="I51" i="24"/>
  <c r="N51" i="24" s="1"/>
  <c r="I17" i="24"/>
  <c r="N17" i="24" s="1"/>
  <c r="T5" i="24"/>
  <c r="I5" i="24"/>
  <c r="N5" i="24" s="1"/>
  <c r="I10" i="24"/>
  <c r="N10" i="24" s="1"/>
  <c r="I7" i="24"/>
  <c r="N7" i="24" s="1"/>
  <c r="I32" i="24"/>
  <c r="I65" i="24"/>
  <c r="AO44" i="24"/>
  <c r="T44" i="24"/>
  <c r="BJ44" i="24"/>
  <c r="AE44" i="24"/>
  <c r="F44" i="37" l="1"/>
  <c r="H52" i="33"/>
  <c r="H77" i="33"/>
  <c r="H80" i="33" s="1"/>
  <c r="N79" i="33"/>
  <c r="N80" i="33"/>
  <c r="N37" i="33"/>
  <c r="N69" i="33"/>
  <c r="AQ83" i="24"/>
  <c r="AQ82" i="24"/>
  <c r="V83" i="24"/>
  <c r="V84" i="24" s="1"/>
  <c r="V82" i="24"/>
  <c r="AK83" i="33"/>
  <c r="AK82" i="33"/>
  <c r="BL83" i="24"/>
  <c r="BL84" i="24" s="1"/>
  <c r="BL82" i="24"/>
  <c r="K69" i="24"/>
  <c r="K77" i="24"/>
  <c r="I35" i="33"/>
  <c r="H36" i="33"/>
  <c r="N82" i="33"/>
  <c r="AG83" i="24"/>
  <c r="AG82" i="24"/>
  <c r="BA80" i="24"/>
  <c r="BA79" i="24"/>
  <c r="AD77" i="33"/>
  <c r="Y83" i="33"/>
  <c r="Y82" i="33"/>
  <c r="H64" i="33"/>
  <c r="I64" i="33" s="1"/>
  <c r="T83" i="33"/>
  <c r="T82" i="33"/>
  <c r="AD64" i="33"/>
  <c r="AY44" i="24"/>
  <c r="I21" i="24"/>
  <c r="N21" i="24" s="1"/>
  <c r="I14" i="24"/>
  <c r="N14" i="24" s="1"/>
  <c r="T84" i="37"/>
  <c r="I53" i="24"/>
  <c r="N53" i="24" s="1"/>
  <c r="I41" i="24"/>
  <c r="N41" i="24" s="1"/>
  <c r="N83" i="33" l="1"/>
  <c r="N87" i="33"/>
  <c r="O80" i="33"/>
  <c r="F46" i="37"/>
  <c r="H44" i="37"/>
  <c r="H79" i="33"/>
  <c r="I77" i="33"/>
  <c r="H69" i="33"/>
  <c r="AG84" i="24"/>
  <c r="AG86" i="24"/>
  <c r="AG110" i="24" s="1"/>
  <c r="Y85" i="33"/>
  <c r="Y109" i="33" s="1"/>
  <c r="Y86" i="33"/>
  <c r="Y110" i="33" s="1"/>
  <c r="AF77" i="33"/>
  <c r="AD80" i="33"/>
  <c r="AD79" i="33"/>
  <c r="T86" i="33"/>
  <c r="T110" i="33" s="1"/>
  <c r="T85" i="33"/>
  <c r="T109" i="33" s="1"/>
  <c r="O83" i="33"/>
  <c r="N86" i="33"/>
  <c r="N110" i="33" s="1"/>
  <c r="N85" i="33"/>
  <c r="N109" i="33" s="1"/>
  <c r="AF64" i="33"/>
  <c r="AD69" i="33"/>
  <c r="BA83" i="24"/>
  <c r="BA82" i="24"/>
  <c r="K80" i="24"/>
  <c r="K79" i="24"/>
  <c r="H37" i="33"/>
  <c r="H38" i="33"/>
  <c r="AQ86" i="24"/>
  <c r="AQ110" i="24" s="1"/>
  <c r="AQ84" i="24"/>
  <c r="H83" i="33"/>
  <c r="I80" i="33"/>
  <c r="H82" i="33"/>
  <c r="I44" i="24"/>
  <c r="N44" i="24" s="1"/>
  <c r="AC84" i="37"/>
  <c r="P84" i="37"/>
  <c r="K84" i="37" l="1"/>
  <c r="H46" i="37"/>
  <c r="F49" i="37"/>
  <c r="AF80" i="33"/>
  <c r="AD82" i="33"/>
  <c r="AD83" i="33"/>
  <c r="BA86" i="24"/>
  <c r="BA110" i="24" s="1"/>
  <c r="BA84" i="24"/>
  <c r="K83" i="24"/>
  <c r="K82" i="24"/>
  <c r="H90" i="33"/>
  <c r="I83" i="33"/>
  <c r="H86" i="33"/>
  <c r="H110" i="33" s="1"/>
  <c r="H85" i="33"/>
  <c r="H109" i="33" s="1"/>
  <c r="F57" i="37" l="1"/>
  <c r="H49" i="37"/>
  <c r="AD86" i="33"/>
  <c r="AD110" i="33" s="1"/>
  <c r="AF83" i="33"/>
  <c r="AD84" i="33"/>
  <c r="AD85" i="33"/>
  <c r="AD109" i="33" s="1"/>
  <c r="K85" i="24"/>
  <c r="K109" i="24" s="1"/>
  <c r="K84" i="24"/>
  <c r="K90" i="24"/>
  <c r="K96" i="24" s="1"/>
  <c r="K86" i="24"/>
  <c r="K110" i="24" s="1"/>
  <c r="F64" i="37" l="1"/>
  <c r="F77" i="37"/>
  <c r="H57" i="37"/>
  <c r="AO58" i="24"/>
  <c r="AN58" i="24"/>
  <c r="AM58" i="24"/>
  <c r="AL58" i="24"/>
  <c r="AE58" i="24"/>
  <c r="AD58" i="24"/>
  <c r="AC58" i="24"/>
  <c r="AB58" i="24"/>
  <c r="I58" i="24"/>
  <c r="H58" i="24"/>
  <c r="G58" i="24"/>
  <c r="F58" i="24"/>
  <c r="AO46" i="24"/>
  <c r="AN46" i="24"/>
  <c r="AM46" i="24"/>
  <c r="AL46" i="24"/>
  <c r="AE46" i="24"/>
  <c r="AD46" i="24"/>
  <c r="AC46" i="24"/>
  <c r="AB46" i="24"/>
  <c r="T46" i="24"/>
  <c r="S46" i="24"/>
  <c r="R46" i="24"/>
  <c r="Q46" i="24"/>
  <c r="J166" i="24"/>
  <c r="I166" i="24"/>
  <c r="N166" i="24" s="1"/>
  <c r="H166" i="24"/>
  <c r="G166" i="24"/>
  <c r="F166" i="24"/>
  <c r="E166" i="24"/>
  <c r="I160" i="24"/>
  <c r="F160" i="37" s="1"/>
  <c r="J159" i="24"/>
  <c r="H159" i="24"/>
  <c r="G159" i="24"/>
  <c r="F159" i="24"/>
  <c r="F164" i="24" s="1"/>
  <c r="E159" i="24"/>
  <c r="J158" i="24"/>
  <c r="I158" i="24"/>
  <c r="H158" i="24"/>
  <c r="G158" i="24"/>
  <c r="F158" i="24"/>
  <c r="E158" i="24"/>
  <c r="J153" i="24"/>
  <c r="F153" i="24"/>
  <c r="I149" i="24"/>
  <c r="N149" i="24" s="1"/>
  <c r="H149" i="24"/>
  <c r="G149" i="24"/>
  <c r="E149" i="24"/>
  <c r="T146" i="24"/>
  <c r="S146" i="24"/>
  <c r="R146" i="24"/>
  <c r="Q146" i="24"/>
  <c r="P146" i="24"/>
  <c r="I146" i="24"/>
  <c r="N146" i="24" s="1"/>
  <c r="H146" i="24"/>
  <c r="G146" i="24"/>
  <c r="F146" i="24"/>
  <c r="E146" i="24"/>
  <c r="J145" i="24"/>
  <c r="I145" i="24"/>
  <c r="H145" i="24"/>
  <c r="G145" i="24"/>
  <c r="F145" i="24"/>
  <c r="E145" i="24"/>
  <c r="BG6" i="24"/>
  <c r="T6" i="24"/>
  <c r="R6" i="24"/>
  <c r="J141" i="24"/>
  <c r="O141" i="24" s="1"/>
  <c r="I141" i="24"/>
  <c r="N141" i="24" s="1"/>
  <c r="H141" i="24"/>
  <c r="G141" i="24"/>
  <c r="F141" i="24"/>
  <c r="E141" i="24"/>
  <c r="U136" i="24"/>
  <c r="T136" i="24"/>
  <c r="S136" i="24"/>
  <c r="R136" i="24"/>
  <c r="Q136" i="24"/>
  <c r="P136" i="24"/>
  <c r="J136" i="24"/>
  <c r="I136" i="24"/>
  <c r="N136" i="24" s="1"/>
  <c r="H136" i="24"/>
  <c r="G136" i="24"/>
  <c r="F136" i="24"/>
  <c r="E136" i="24"/>
  <c r="J128" i="24"/>
  <c r="J25" i="24" s="1"/>
  <c r="I128" i="24"/>
  <c r="H128" i="24"/>
  <c r="G128" i="24"/>
  <c r="F128" i="24"/>
  <c r="E128" i="24"/>
  <c r="U121" i="24"/>
  <c r="T121" i="24"/>
  <c r="S121" i="24"/>
  <c r="R121" i="24"/>
  <c r="Q121" i="24"/>
  <c r="P121" i="24"/>
  <c r="U120" i="24"/>
  <c r="T120" i="24"/>
  <c r="S120" i="24"/>
  <c r="R120" i="24"/>
  <c r="Q120" i="24"/>
  <c r="P120" i="24"/>
  <c r="U119" i="24"/>
  <c r="T119" i="24"/>
  <c r="S119" i="24"/>
  <c r="R119" i="24"/>
  <c r="Q119" i="24"/>
  <c r="P119" i="24"/>
  <c r="J118" i="24"/>
  <c r="K8" i="24" s="1"/>
  <c r="I118" i="24"/>
  <c r="N118" i="24" s="1"/>
  <c r="H118" i="24"/>
  <c r="G118" i="24"/>
  <c r="F118" i="24"/>
  <c r="E118" i="24"/>
  <c r="U116" i="24"/>
  <c r="U115" i="24" s="1"/>
  <c r="T116" i="24"/>
  <c r="T115" i="24" s="1"/>
  <c r="S116" i="24"/>
  <c r="S115" i="24" s="1"/>
  <c r="R116" i="24"/>
  <c r="R115" i="24" s="1"/>
  <c r="Q116" i="24"/>
  <c r="Q115" i="24" s="1"/>
  <c r="P116" i="24"/>
  <c r="P115" i="24" s="1"/>
  <c r="J115" i="24"/>
  <c r="I115" i="24"/>
  <c r="N115" i="24" s="1"/>
  <c r="H115" i="24"/>
  <c r="G115" i="24"/>
  <c r="F115" i="24"/>
  <c r="E115" i="24"/>
  <c r="J113" i="24"/>
  <c r="I113" i="24"/>
  <c r="H113" i="24"/>
  <c r="G113" i="24"/>
  <c r="F113" i="24"/>
  <c r="E113" i="24"/>
  <c r="U108" i="24"/>
  <c r="T108" i="24"/>
  <c r="S108" i="24"/>
  <c r="R108" i="24"/>
  <c r="Q108" i="24"/>
  <c r="P108" i="24"/>
  <c r="U107" i="24"/>
  <c r="T107" i="24"/>
  <c r="S107" i="24"/>
  <c r="R107" i="24"/>
  <c r="Q107" i="24"/>
  <c r="P107" i="24"/>
  <c r="J106" i="24"/>
  <c r="I106" i="24"/>
  <c r="H106" i="24"/>
  <c r="G106" i="24"/>
  <c r="F106" i="24"/>
  <c r="E106" i="24"/>
  <c r="U105" i="24"/>
  <c r="T105" i="24"/>
  <c r="S105" i="24"/>
  <c r="R105" i="24"/>
  <c r="Q105" i="24"/>
  <c r="P105" i="24"/>
  <c r="AQ85" i="24"/>
  <c r="AQ109" i="24" s="1"/>
  <c r="U103" i="24"/>
  <c r="T103" i="24"/>
  <c r="S103" i="24"/>
  <c r="R103" i="24"/>
  <c r="Q103" i="24"/>
  <c r="P103" i="24"/>
  <c r="BA85" i="24"/>
  <c r="BA109" i="24" s="1"/>
  <c r="AG85" i="24"/>
  <c r="AG109" i="24" s="1"/>
  <c r="U102" i="24"/>
  <c r="T102" i="24"/>
  <c r="S102" i="24"/>
  <c r="R102" i="24"/>
  <c r="Q102" i="24"/>
  <c r="P102" i="24"/>
  <c r="J101" i="24"/>
  <c r="I101" i="24"/>
  <c r="H101" i="24"/>
  <c r="G101" i="24"/>
  <c r="F101" i="24"/>
  <c r="E101" i="24"/>
  <c r="U100" i="24"/>
  <c r="T100" i="24"/>
  <c r="S100" i="24"/>
  <c r="R100" i="24"/>
  <c r="Q100" i="24"/>
  <c r="P100" i="24"/>
  <c r="F95" i="31"/>
  <c r="F94" i="31"/>
  <c r="F92" i="31"/>
  <c r="S62" i="24"/>
  <c r="Y62" i="24" s="1"/>
  <c r="R62" i="24"/>
  <c r="F55" i="24"/>
  <c r="BK46" i="24"/>
  <c r="BJ46" i="24"/>
  <c r="BI46" i="24"/>
  <c r="BH46" i="24"/>
  <c r="BG46" i="24"/>
  <c r="AP46" i="24"/>
  <c r="AF46" i="24"/>
  <c r="U46" i="24"/>
  <c r="F46" i="24"/>
  <c r="BK58" i="24"/>
  <c r="BJ58" i="24"/>
  <c r="BI58" i="24"/>
  <c r="BH58" i="24"/>
  <c r="BG58" i="24"/>
  <c r="AP58" i="24"/>
  <c r="AN43" i="24"/>
  <c r="AF58" i="24"/>
  <c r="Q43" i="24"/>
  <c r="J58" i="24"/>
  <c r="G43" i="24"/>
  <c r="U183" i="24"/>
  <c r="T183" i="24"/>
  <c r="R183" i="24"/>
  <c r="Q183" i="24"/>
  <c r="I183" i="24"/>
  <c r="E183" i="24"/>
  <c r="E185" i="24" s="1"/>
  <c r="BJ6" i="24"/>
  <c r="BK3" i="24"/>
  <c r="BJ3" i="24"/>
  <c r="BI3" i="24"/>
  <c r="BH3" i="24"/>
  <c r="BG3" i="24"/>
  <c r="BF3" i="24"/>
  <c r="BD3" i="24"/>
  <c r="AZ3" i="24"/>
  <c r="AY3" i="24"/>
  <c r="AX3" i="24"/>
  <c r="AW3" i="24"/>
  <c r="AV3" i="24"/>
  <c r="AU3" i="24"/>
  <c r="AP3" i="24"/>
  <c r="AO3" i="24"/>
  <c r="AN3" i="24"/>
  <c r="AM3" i="24"/>
  <c r="AL3" i="24"/>
  <c r="AK3" i="24"/>
  <c r="AF3" i="24"/>
  <c r="AE3" i="24"/>
  <c r="AD3" i="24"/>
  <c r="AC3" i="24"/>
  <c r="AB3" i="24"/>
  <c r="AA3" i="24"/>
  <c r="Y3" i="24"/>
  <c r="U3" i="24"/>
  <c r="T3" i="24"/>
  <c r="S3" i="24"/>
  <c r="R3" i="24"/>
  <c r="Q3" i="24"/>
  <c r="P3" i="24"/>
  <c r="H77" i="37" l="1"/>
  <c r="F80" i="37"/>
  <c r="F79" i="37"/>
  <c r="F69" i="37"/>
  <c r="H64" i="37"/>
  <c r="F159" i="37"/>
  <c r="K160" i="37"/>
  <c r="F163" i="37"/>
  <c r="N101" i="24"/>
  <c r="H184" i="33"/>
  <c r="I22" i="24"/>
  <c r="N128" i="24"/>
  <c r="N160" i="24"/>
  <c r="H163" i="24"/>
  <c r="H22" i="24"/>
  <c r="Q49" i="24"/>
  <c r="F139" i="24"/>
  <c r="U184" i="24"/>
  <c r="U185" i="24" s="1"/>
  <c r="H184" i="31"/>
  <c r="G163" i="24"/>
  <c r="T160" i="24"/>
  <c r="F96" i="31"/>
  <c r="I96" i="31" s="1"/>
  <c r="Q153" i="24"/>
  <c r="U153" i="24"/>
  <c r="AN49" i="24"/>
  <c r="V86" i="24"/>
  <c r="V110" i="24" s="1"/>
  <c r="V185" i="24"/>
  <c r="V26" i="24" s="1"/>
  <c r="V149" i="24"/>
  <c r="V19" i="24"/>
  <c r="V181" i="24"/>
  <c r="V23" i="24" s="1"/>
  <c r="K19" i="24"/>
  <c r="Q185" i="24"/>
  <c r="G8" i="24"/>
  <c r="F8" i="24"/>
  <c r="R185" i="24"/>
  <c r="P141" i="24"/>
  <c r="H8" i="24"/>
  <c r="Q166" i="24"/>
  <c r="H123" i="24"/>
  <c r="T118" i="24"/>
  <c r="J146" i="24"/>
  <c r="U118" i="24"/>
  <c r="BG34" i="24"/>
  <c r="G139" i="24"/>
  <c r="R166" i="24"/>
  <c r="J8" i="24"/>
  <c r="AO34" i="24"/>
  <c r="G46" i="24"/>
  <c r="G49" i="24" s="1"/>
  <c r="I8" i="24"/>
  <c r="BI34" i="24"/>
  <c r="H46" i="24"/>
  <c r="I46" i="24"/>
  <c r="J46" i="24"/>
  <c r="E139" i="24"/>
  <c r="H155" i="24"/>
  <c r="U146" i="24"/>
  <c r="P166" i="24"/>
  <c r="BH55" i="24"/>
  <c r="AD34" i="24"/>
  <c r="AL34" i="24"/>
  <c r="G62" i="24"/>
  <c r="AD62" i="24"/>
  <c r="AL62" i="24"/>
  <c r="H34" i="24"/>
  <c r="Q34" i="24"/>
  <c r="AE62" i="24"/>
  <c r="AM62" i="24"/>
  <c r="AO62" i="24"/>
  <c r="J123" i="24"/>
  <c r="K38" i="24" s="1"/>
  <c r="AE55" i="24"/>
  <c r="AM55" i="24"/>
  <c r="AM56" i="24" s="1"/>
  <c r="Q159" i="24"/>
  <c r="S166" i="24"/>
  <c r="H62" i="24"/>
  <c r="AC11" i="24"/>
  <c r="BJ34" i="24"/>
  <c r="G55" i="24"/>
  <c r="AL55" i="24"/>
  <c r="AL56" i="24" s="1"/>
  <c r="AB34" i="24"/>
  <c r="AM34" i="24"/>
  <c r="BJ11" i="24"/>
  <c r="BJ12" i="24" s="1"/>
  <c r="I55" i="24"/>
  <c r="N55" i="24" s="1"/>
  <c r="AX5" i="24"/>
  <c r="Q18" i="24"/>
  <c r="Q19" i="24" s="1"/>
  <c r="R159" i="24"/>
  <c r="F123" i="24"/>
  <c r="U159" i="24"/>
  <c r="R118" i="24"/>
  <c r="AN62" i="24"/>
  <c r="BG62" i="24"/>
  <c r="AO11" i="24"/>
  <c r="BG18" i="24"/>
  <c r="AP34" i="24"/>
  <c r="BH34" i="24"/>
  <c r="F34" i="24"/>
  <c r="AB18" i="24"/>
  <c r="BJ18" i="24"/>
  <c r="G34" i="24"/>
  <c r="U55" i="24"/>
  <c r="AB11" i="24"/>
  <c r="AV5" i="24"/>
  <c r="G11" i="24"/>
  <c r="AC18" i="24"/>
  <c r="I34" i="24"/>
  <c r="R34" i="24"/>
  <c r="F11" i="24"/>
  <c r="F12" i="24" s="1"/>
  <c r="R11" i="24"/>
  <c r="AN34" i="24"/>
  <c r="BK18" i="24"/>
  <c r="G123" i="24"/>
  <c r="R141" i="24"/>
  <c r="BI55" i="24"/>
  <c r="BH62" i="24"/>
  <c r="AC55" i="24"/>
  <c r="BI62" i="24"/>
  <c r="Q106" i="24"/>
  <c r="I123" i="24"/>
  <c r="N123" i="24" s="1"/>
  <c r="T149" i="24"/>
  <c r="T155" i="24" s="1"/>
  <c r="BJ62" i="24"/>
  <c r="S55" i="24"/>
  <c r="S118" i="24"/>
  <c r="BG22" i="24"/>
  <c r="S128" i="24"/>
  <c r="R128" i="24"/>
  <c r="S159" i="24"/>
  <c r="U166" i="24"/>
  <c r="T166" i="24"/>
  <c r="S141" i="24"/>
  <c r="U141" i="24"/>
  <c r="I155" i="24"/>
  <c r="N155" i="24" s="1"/>
  <c r="T141" i="24"/>
  <c r="F149" i="24"/>
  <c r="F155" i="24" s="1"/>
  <c r="P159" i="24"/>
  <c r="R149" i="24"/>
  <c r="R155" i="24" s="1"/>
  <c r="F163" i="24"/>
  <c r="P128" i="24"/>
  <c r="P139" i="24" s="1"/>
  <c r="BK55" i="24"/>
  <c r="AP55" i="24"/>
  <c r="AP56" i="24" s="1"/>
  <c r="AP62" i="24"/>
  <c r="BK11" i="24"/>
  <c r="BK12" i="24" s="1"/>
  <c r="AF62" i="24"/>
  <c r="AF34" i="24"/>
  <c r="BK62" i="24"/>
  <c r="AF18" i="24"/>
  <c r="J11" i="24"/>
  <c r="J12" i="24" s="1"/>
  <c r="J6" i="24"/>
  <c r="S11" i="24"/>
  <c r="S6" i="24"/>
  <c r="AE11" i="24"/>
  <c r="AY5" i="24"/>
  <c r="AM11" i="24"/>
  <c r="H18" i="24"/>
  <c r="BH11" i="24"/>
  <c r="BH12" i="24" s="1"/>
  <c r="H11" i="24"/>
  <c r="Q11" i="24"/>
  <c r="Q12" i="24" s="1"/>
  <c r="BI11" i="24"/>
  <c r="BI12" i="24" s="1"/>
  <c r="G6" i="24"/>
  <c r="BI6" i="24"/>
  <c r="BH18" i="24"/>
  <c r="I25" i="24"/>
  <c r="I11" i="24"/>
  <c r="AP11" i="24"/>
  <c r="J18" i="24"/>
  <c r="J19" i="24" s="1"/>
  <c r="BI18" i="24"/>
  <c r="H183" i="24"/>
  <c r="H185" i="24" s="1"/>
  <c r="H26" i="24" s="1"/>
  <c r="H25" i="24"/>
  <c r="AC34" i="24"/>
  <c r="BH27" i="24"/>
  <c r="AO18" i="24"/>
  <c r="S183" i="24"/>
  <c r="S185" i="24" s="1"/>
  <c r="AP18" i="24"/>
  <c r="I18" i="24"/>
  <c r="AD11" i="24"/>
  <c r="AL11" i="24"/>
  <c r="U76" i="24"/>
  <c r="F62" i="24"/>
  <c r="BG55" i="24"/>
  <c r="BG76" i="24"/>
  <c r="J34" i="24"/>
  <c r="S34" i="24"/>
  <c r="AE34" i="24"/>
  <c r="H55" i="24"/>
  <c r="Q55" i="24"/>
  <c r="AF55" i="24"/>
  <c r="AN55" i="24"/>
  <c r="AN56" i="24" s="1"/>
  <c r="Q62" i="24"/>
  <c r="AC62" i="24"/>
  <c r="BK34" i="24"/>
  <c r="H76" i="24"/>
  <c r="BJ55" i="24"/>
  <c r="BJ76" i="24"/>
  <c r="BL38" i="24"/>
  <c r="E123" i="24"/>
  <c r="J139" i="24"/>
  <c r="Q128" i="24"/>
  <c r="Q118" i="24"/>
  <c r="Q123" i="24" s="1"/>
  <c r="H139" i="24"/>
  <c r="I139" i="24"/>
  <c r="N139" i="24" s="1"/>
  <c r="U128" i="24"/>
  <c r="U22" i="24" s="1"/>
  <c r="Q141" i="24"/>
  <c r="G155" i="24"/>
  <c r="Q149" i="24"/>
  <c r="Q155" i="24" s="1"/>
  <c r="E155" i="24"/>
  <c r="S149" i="24"/>
  <c r="F18" i="24"/>
  <c r="AF11" i="24"/>
  <c r="AN11" i="24"/>
  <c r="Q6" i="24"/>
  <c r="AW5" i="24"/>
  <c r="I6" i="24"/>
  <c r="BH6" i="24"/>
  <c r="AD27" i="24"/>
  <c r="AZ5" i="24"/>
  <c r="U6" i="24"/>
  <c r="BK6" i="24"/>
  <c r="T11" i="24"/>
  <c r="E179" i="24"/>
  <c r="E181" i="24" s="1"/>
  <c r="AE27" i="24"/>
  <c r="AM27" i="24"/>
  <c r="U179" i="24"/>
  <c r="U27" i="24"/>
  <c r="U11" i="24"/>
  <c r="AD18" i="24"/>
  <c r="AL18" i="24"/>
  <c r="AL27" i="24"/>
  <c r="F6" i="24"/>
  <c r="AE18" i="24"/>
  <c r="AM18" i="24"/>
  <c r="AN18" i="24"/>
  <c r="T179" i="24"/>
  <c r="T27" i="24"/>
  <c r="BG11" i="24"/>
  <c r="BG12" i="24" s="1"/>
  <c r="T18" i="24"/>
  <c r="F183" i="24"/>
  <c r="F185" i="24" s="1"/>
  <c r="F26" i="24" s="1"/>
  <c r="F25" i="24"/>
  <c r="G18" i="24"/>
  <c r="H6" i="24"/>
  <c r="U18" i="24"/>
  <c r="G183" i="24"/>
  <c r="G185" i="24" s="1"/>
  <c r="G26" i="24" s="1"/>
  <c r="G25" i="24"/>
  <c r="P183" i="24"/>
  <c r="P185" i="24" s="1"/>
  <c r="S179" i="24"/>
  <c r="S181" i="24" s="1"/>
  <c r="R18" i="24"/>
  <c r="F179" i="24"/>
  <c r="F181" i="24" s="1"/>
  <c r="F23" i="24" s="1"/>
  <c r="F27" i="24"/>
  <c r="F28" i="24" s="1"/>
  <c r="AF27" i="24"/>
  <c r="AN27" i="24"/>
  <c r="S27" i="24"/>
  <c r="Y27" i="24" s="1"/>
  <c r="S18" i="24"/>
  <c r="Y18" i="24" s="1"/>
  <c r="G179" i="24"/>
  <c r="G181" i="24" s="1"/>
  <c r="G23" i="24" s="1"/>
  <c r="G27" i="24"/>
  <c r="AO27" i="24"/>
  <c r="BI27" i="24"/>
  <c r="H179" i="24"/>
  <c r="H181" i="24" s="1"/>
  <c r="H23" i="24" s="1"/>
  <c r="H27" i="24"/>
  <c r="P179" i="24"/>
  <c r="P181" i="24" s="1"/>
  <c r="AP27" i="24"/>
  <c r="J183" i="24"/>
  <c r="J185" i="24" s="1"/>
  <c r="J26" i="24" s="1"/>
  <c r="BJ27" i="24"/>
  <c r="I43" i="24"/>
  <c r="N43" i="24" s="1"/>
  <c r="R43" i="24"/>
  <c r="R49" i="24" s="1"/>
  <c r="I179" i="24"/>
  <c r="I27" i="24"/>
  <c r="Q179" i="24"/>
  <c r="Q181" i="24" s="1"/>
  <c r="Q27" i="24"/>
  <c r="BK27" i="24"/>
  <c r="F22" i="24"/>
  <c r="J179" i="24"/>
  <c r="J181" i="24" s="1"/>
  <c r="J23" i="24" s="1"/>
  <c r="J27" i="24"/>
  <c r="J22" i="24"/>
  <c r="R179" i="24"/>
  <c r="R181" i="24" s="1"/>
  <c r="R27" i="24"/>
  <c r="AB27" i="24"/>
  <c r="G22" i="24"/>
  <c r="AC27" i="24"/>
  <c r="S43" i="24"/>
  <c r="T43" i="24"/>
  <c r="T49" i="24" s="1"/>
  <c r="T34" i="24"/>
  <c r="AD43" i="24"/>
  <c r="AD49" i="24" s="1"/>
  <c r="AL43" i="24"/>
  <c r="U34" i="24"/>
  <c r="BG27" i="24"/>
  <c r="F43" i="24"/>
  <c r="BG43" i="24"/>
  <c r="BG49" i="24" s="1"/>
  <c r="H43" i="24"/>
  <c r="AP43" i="24"/>
  <c r="BH43" i="24"/>
  <c r="AD55" i="24"/>
  <c r="AB43" i="24"/>
  <c r="T55" i="24"/>
  <c r="AC43" i="24"/>
  <c r="BI43" i="24"/>
  <c r="R55" i="24"/>
  <c r="BJ43" i="24"/>
  <c r="J55" i="24"/>
  <c r="AE43" i="24"/>
  <c r="AM43" i="24"/>
  <c r="AB55" i="24"/>
  <c r="AO43" i="24"/>
  <c r="AO49" i="24" s="1"/>
  <c r="AB62" i="24"/>
  <c r="AO55" i="24"/>
  <c r="AO56" i="24" s="1"/>
  <c r="I62" i="24"/>
  <c r="N62" i="24" s="1"/>
  <c r="J62" i="24"/>
  <c r="AP76" i="24"/>
  <c r="U62" i="24"/>
  <c r="G76" i="24"/>
  <c r="AO76" i="24"/>
  <c r="I76" i="24"/>
  <c r="N76" i="24" s="1"/>
  <c r="Q76" i="24"/>
  <c r="BH76" i="24"/>
  <c r="J76" i="24"/>
  <c r="R76" i="24"/>
  <c r="AB76" i="24"/>
  <c r="BI76" i="24"/>
  <c r="S76" i="24"/>
  <c r="Y76" i="24" s="1"/>
  <c r="AC76" i="24"/>
  <c r="T76" i="24"/>
  <c r="AD76" i="24"/>
  <c r="AL76" i="24"/>
  <c r="BK76" i="24"/>
  <c r="T62" i="24"/>
  <c r="AE76" i="24"/>
  <c r="AM76" i="24"/>
  <c r="F76" i="24"/>
  <c r="AF76" i="24"/>
  <c r="AN76" i="24"/>
  <c r="S106" i="24"/>
  <c r="T106" i="24"/>
  <c r="P101" i="24"/>
  <c r="U106" i="24"/>
  <c r="Q101" i="24"/>
  <c r="R101" i="24"/>
  <c r="S101" i="24"/>
  <c r="P106" i="24"/>
  <c r="T101" i="24"/>
  <c r="U101" i="24"/>
  <c r="V85" i="24" s="1"/>
  <c r="V109" i="24" s="1"/>
  <c r="R106" i="24"/>
  <c r="P118" i="24"/>
  <c r="P123" i="24" s="1"/>
  <c r="T128" i="24"/>
  <c r="T22" i="24" s="1"/>
  <c r="BJ22" i="24"/>
  <c r="J164" i="24"/>
  <c r="J163" i="24"/>
  <c r="Y146" i="24"/>
  <c r="P149" i="24"/>
  <c r="P155" i="24" s="1"/>
  <c r="E163" i="24"/>
  <c r="E164" i="24"/>
  <c r="H164" i="24"/>
  <c r="G164" i="24"/>
  <c r="J149" i="24"/>
  <c r="I159" i="24"/>
  <c r="N159" i="24" s="1"/>
  <c r="BK43" i="24"/>
  <c r="F82" i="37" l="1"/>
  <c r="F83" i="37"/>
  <c r="H80" i="37"/>
  <c r="T8" i="24"/>
  <c r="K159" i="37"/>
  <c r="F164" i="37"/>
  <c r="Q57" i="24"/>
  <c r="T123" i="24"/>
  <c r="AK184" i="33"/>
  <c r="AK185" i="33" s="1"/>
  <c r="Y184" i="33"/>
  <c r="Y185" i="33" s="1"/>
  <c r="T184" i="33"/>
  <c r="T185" i="33" s="1"/>
  <c r="AD184" i="33"/>
  <c r="AD185" i="33" s="1"/>
  <c r="N184" i="33"/>
  <c r="N185" i="33" s="1"/>
  <c r="N26" i="33" s="1"/>
  <c r="H185" i="33"/>
  <c r="H26" i="33" s="1"/>
  <c r="I19" i="24"/>
  <c r="N18" i="24"/>
  <c r="I28" i="24"/>
  <c r="N27" i="24"/>
  <c r="I12" i="24"/>
  <c r="N11" i="24"/>
  <c r="E124" i="31"/>
  <c r="E124" i="33"/>
  <c r="F124" i="33"/>
  <c r="G124" i="31"/>
  <c r="G124" i="33"/>
  <c r="S139" i="24"/>
  <c r="S123" i="24"/>
  <c r="S155" i="24"/>
  <c r="H28" i="24"/>
  <c r="H19" i="24"/>
  <c r="H12" i="24"/>
  <c r="S12" i="24"/>
  <c r="Y11" i="24"/>
  <c r="H140" i="31"/>
  <c r="O139" i="24"/>
  <c r="F140" i="31"/>
  <c r="AJ184" i="31"/>
  <c r="AJ185" i="31" s="1"/>
  <c r="Y184" i="31"/>
  <c r="Y185" i="31" s="1"/>
  <c r="N184" i="31"/>
  <c r="N185" i="31" s="1"/>
  <c r="N26" i="31" s="1"/>
  <c r="AD184" i="31"/>
  <c r="AD185" i="31" s="1"/>
  <c r="T184" i="31"/>
  <c r="T185" i="31" s="1"/>
  <c r="H185" i="31"/>
  <c r="H26" i="31" s="1"/>
  <c r="F124" i="31"/>
  <c r="R123" i="24"/>
  <c r="R12" i="24"/>
  <c r="G12" i="24"/>
  <c r="G28" i="24"/>
  <c r="V155" i="24"/>
  <c r="R25" i="24"/>
  <c r="Q23" i="24"/>
  <c r="AX62" i="24"/>
  <c r="U123" i="24"/>
  <c r="V8" i="24"/>
  <c r="AY43" i="24"/>
  <c r="AW27" i="24"/>
  <c r="BG28" i="24"/>
  <c r="AW34" i="24"/>
  <c r="AW55" i="24"/>
  <c r="BD55" i="24" s="1"/>
  <c r="AV62" i="24"/>
  <c r="AY55" i="24"/>
  <c r="R22" i="24"/>
  <c r="U8" i="24"/>
  <c r="U139" i="24"/>
  <c r="AX34" i="24"/>
  <c r="I49" i="24"/>
  <c r="AO35" i="24"/>
  <c r="AY11" i="24"/>
  <c r="AY62" i="24"/>
  <c r="U12" i="24"/>
  <c r="AB35" i="24"/>
  <c r="AZ55" i="24"/>
  <c r="BI49" i="24"/>
  <c r="BI57" i="24" s="1"/>
  <c r="BJ49" i="24"/>
  <c r="BJ57" i="24" s="1"/>
  <c r="BH49" i="24"/>
  <c r="BH57" i="24" s="1"/>
  <c r="BK28" i="24"/>
  <c r="AX58" i="24"/>
  <c r="AX11" i="24"/>
  <c r="AM49" i="24"/>
  <c r="AM57" i="24" s="1"/>
  <c r="AV27" i="24"/>
  <c r="AL49" i="24"/>
  <c r="AL57" i="24" s="1"/>
  <c r="AW46" i="24"/>
  <c r="BD46" i="24" s="1"/>
  <c r="AY34" i="24"/>
  <c r="AV11" i="24"/>
  <c r="AW58" i="24"/>
  <c r="AE49" i="24"/>
  <c r="AE57" i="24" s="1"/>
  <c r="AB49" i="24"/>
  <c r="AB57" i="24" s="1"/>
  <c r="AC49" i="24"/>
  <c r="AC57" i="24" s="1"/>
  <c r="AV43" i="24"/>
  <c r="AV58" i="24"/>
  <c r="AV46" i="24"/>
  <c r="AX46" i="24"/>
  <c r="AY46" i="24"/>
  <c r="AY58" i="24"/>
  <c r="AW18" i="24"/>
  <c r="S49" i="24"/>
  <c r="S57" i="24" s="1"/>
  <c r="G57" i="24"/>
  <c r="F49" i="24"/>
  <c r="F57" i="24" s="1"/>
  <c r="H49" i="24"/>
  <c r="BK49" i="24"/>
  <c r="BK57" i="24" s="1"/>
  <c r="AZ46" i="24"/>
  <c r="AZ58" i="24"/>
  <c r="AP49" i="24"/>
  <c r="AP57" i="24" s="1"/>
  <c r="U28" i="24"/>
  <c r="U26" i="24"/>
  <c r="BH25" i="24"/>
  <c r="BG25" i="24"/>
  <c r="R139" i="24"/>
  <c r="S8" i="24"/>
  <c r="R28" i="24"/>
  <c r="R23" i="24"/>
  <c r="R26" i="24"/>
  <c r="AV34" i="24"/>
  <c r="AV18" i="24"/>
  <c r="BH28" i="24"/>
  <c r="BJ35" i="24"/>
  <c r="BJ36" i="24" s="1"/>
  <c r="AC35" i="24"/>
  <c r="S23" i="24"/>
  <c r="S28" i="24"/>
  <c r="AY76" i="24"/>
  <c r="BK22" i="24"/>
  <c r="U149" i="24"/>
  <c r="AE35" i="24"/>
  <c r="AW11" i="24"/>
  <c r="S25" i="24"/>
  <c r="AY18" i="24"/>
  <c r="S26" i="24"/>
  <c r="AZ34" i="24"/>
  <c r="Q28" i="24"/>
  <c r="BI35" i="24"/>
  <c r="BI36" i="24" s="1"/>
  <c r="BK25" i="24"/>
  <c r="AV76" i="24"/>
  <c r="S22" i="24"/>
  <c r="AW76" i="24"/>
  <c r="BD76" i="24" s="1"/>
  <c r="AZ62" i="24"/>
  <c r="U43" i="24"/>
  <c r="AF43" i="24"/>
  <c r="AZ11" i="24"/>
  <c r="AZ76" i="24"/>
  <c r="BG57" i="24"/>
  <c r="AF35" i="24"/>
  <c r="BH35" i="24"/>
  <c r="BH36" i="24" s="1"/>
  <c r="Q35" i="24"/>
  <c r="BI22" i="24"/>
  <c r="Q139" i="24"/>
  <c r="Q25" i="24"/>
  <c r="AW62" i="24"/>
  <c r="BD62" i="24" s="1"/>
  <c r="U25" i="24"/>
  <c r="Q26" i="24"/>
  <c r="Q22" i="24"/>
  <c r="AX76" i="24"/>
  <c r="AX55" i="24"/>
  <c r="R8" i="24"/>
  <c r="BH22" i="24"/>
  <c r="BI25" i="24"/>
  <c r="AP35" i="24"/>
  <c r="AN57" i="24"/>
  <c r="AZ18" i="24"/>
  <c r="AL35" i="24"/>
  <c r="T12" i="24"/>
  <c r="AX27" i="24"/>
  <c r="AW43" i="24"/>
  <c r="BD43" i="24" s="1"/>
  <c r="BI28" i="24"/>
  <c r="R35" i="24"/>
  <c r="R19" i="24"/>
  <c r="H35" i="24"/>
  <c r="T159" i="24"/>
  <c r="T57" i="24"/>
  <c r="J28" i="24"/>
  <c r="T28" i="24"/>
  <c r="AX18" i="24"/>
  <c r="BJ25" i="24"/>
  <c r="T139" i="24"/>
  <c r="T25" i="24"/>
  <c r="T35" i="24"/>
  <c r="T19" i="24"/>
  <c r="U35" i="24"/>
  <c r="U19" i="24"/>
  <c r="BG35" i="24"/>
  <c r="AD35" i="24"/>
  <c r="F35" i="24"/>
  <c r="F19" i="24"/>
  <c r="AX43" i="24"/>
  <c r="AZ43" i="24"/>
  <c r="BK35" i="24"/>
  <c r="I35" i="24"/>
  <c r="N35" i="24" s="1"/>
  <c r="Q8" i="24"/>
  <c r="I164" i="24"/>
  <c r="AD57" i="24"/>
  <c r="J155" i="24"/>
  <c r="AV55" i="24"/>
  <c r="BJ28" i="24"/>
  <c r="G35" i="24"/>
  <c r="G19" i="24"/>
  <c r="AM35" i="24"/>
  <c r="J35" i="24"/>
  <c r="O35" i="24" s="1"/>
  <c r="I163" i="24"/>
  <c r="AO57" i="24"/>
  <c r="R57" i="24"/>
  <c r="AZ27" i="24"/>
  <c r="S35" i="24"/>
  <c r="Y35" i="24" s="1"/>
  <c r="S19" i="24"/>
  <c r="AN35" i="24"/>
  <c r="U181" i="24"/>
  <c r="U23" i="24" s="1"/>
  <c r="AY27" i="24"/>
  <c r="F86" i="37" l="1"/>
  <c r="F110" i="37" s="1"/>
  <c r="F84" i="37"/>
  <c r="H83" i="37"/>
  <c r="F85" i="37"/>
  <c r="F109" i="37" s="1"/>
  <c r="F90" i="37"/>
  <c r="I57" i="24"/>
  <c r="N57" i="24" s="1"/>
  <c r="N49" i="24"/>
  <c r="H57" i="24"/>
  <c r="H64" i="24" s="1"/>
  <c r="AY49" i="24"/>
  <c r="AY57" i="24" s="1"/>
  <c r="V38" i="24"/>
  <c r="AX49" i="24"/>
  <c r="AX57" i="24" s="1"/>
  <c r="AW49" i="24"/>
  <c r="AC64" i="24"/>
  <c r="AB64" i="24"/>
  <c r="BJ64" i="24"/>
  <c r="BJ77" i="24" s="1"/>
  <c r="BJ80" i="24" s="1"/>
  <c r="U155" i="24"/>
  <c r="BI64" i="24"/>
  <c r="BI77" i="24" s="1"/>
  <c r="BI80" i="24" s="1"/>
  <c r="AV35" i="24"/>
  <c r="AV49" i="24"/>
  <c r="AV57" i="24" s="1"/>
  <c r="AW35" i="24"/>
  <c r="AY35" i="24"/>
  <c r="Q36" i="24"/>
  <c r="Q37" i="24" s="1"/>
  <c r="Q64" i="24"/>
  <c r="AF49" i="24"/>
  <c r="AF57" i="24" s="1"/>
  <c r="AF64" i="24" s="1"/>
  <c r="AF77" i="24" s="1"/>
  <c r="U49" i="24"/>
  <c r="U57" i="24" s="1"/>
  <c r="AZ49" i="24"/>
  <c r="AP64" i="24"/>
  <c r="BH64" i="24"/>
  <c r="BH77" i="24" s="1"/>
  <c r="BH79" i="24" s="1"/>
  <c r="AX35" i="24"/>
  <c r="J43" i="24"/>
  <c r="J49" i="24" s="1"/>
  <c r="AZ35" i="24"/>
  <c r="F64" i="24"/>
  <c r="F36" i="24"/>
  <c r="G64" i="24"/>
  <c r="G36" i="24"/>
  <c r="AL64" i="24"/>
  <c r="R64" i="24"/>
  <c r="R36" i="24"/>
  <c r="S64" i="24"/>
  <c r="Y64" i="24" s="1"/>
  <c r="S36" i="24"/>
  <c r="Y36" i="24" s="1"/>
  <c r="AD64" i="24"/>
  <c r="H36" i="24"/>
  <c r="AN64" i="24"/>
  <c r="BK64" i="24"/>
  <c r="BK77" i="24" s="1"/>
  <c r="BK36" i="24"/>
  <c r="BG64" i="24"/>
  <c r="BG77" i="24" s="1"/>
  <c r="BG36" i="24"/>
  <c r="T64" i="24"/>
  <c r="T77" i="24" s="1"/>
  <c r="T36" i="24"/>
  <c r="AE64" i="24"/>
  <c r="AO64" i="24"/>
  <c r="BJ37" i="24"/>
  <c r="BJ38" i="24"/>
  <c r="BI37" i="24"/>
  <c r="BI38" i="24"/>
  <c r="AM64" i="24"/>
  <c r="J36" i="24"/>
  <c r="U36" i="24"/>
  <c r="I36" i="24"/>
  <c r="N36" i="24" s="1"/>
  <c r="BH37" i="24"/>
  <c r="BH38" i="24"/>
  <c r="H90" i="37" l="1"/>
  <c r="F96" i="37"/>
  <c r="H96" i="37" s="1"/>
  <c r="I64" i="24"/>
  <c r="N64" i="24" s="1"/>
  <c r="H77" i="24"/>
  <c r="S69" i="24"/>
  <c r="S77" i="24"/>
  <c r="Q69" i="24"/>
  <c r="Q77" i="24"/>
  <c r="AB69" i="24"/>
  <c r="AB77" i="24"/>
  <c r="AB80" i="24" s="1"/>
  <c r="AD69" i="24"/>
  <c r="AD77" i="24"/>
  <c r="AD79" i="24" s="1"/>
  <c r="AL69" i="24"/>
  <c r="AL77" i="24"/>
  <c r="AL80" i="24" s="1"/>
  <c r="AN69" i="24"/>
  <c r="AN77" i="24"/>
  <c r="AN80" i="24" s="1"/>
  <c r="F69" i="24"/>
  <c r="F77" i="24"/>
  <c r="F79" i="24" s="1"/>
  <c r="AP69" i="24"/>
  <c r="AP77" i="24"/>
  <c r="AP80" i="24" s="1"/>
  <c r="AP82" i="24" s="1"/>
  <c r="AW57" i="24"/>
  <c r="BD57" i="24" s="1"/>
  <c r="BD49" i="24"/>
  <c r="AM69" i="24"/>
  <c r="AM77" i="24"/>
  <c r="AM79" i="24" s="1"/>
  <c r="R69" i="24"/>
  <c r="R77" i="24"/>
  <c r="G69" i="24"/>
  <c r="G77" i="24"/>
  <c r="AE69" i="24"/>
  <c r="AE77" i="24"/>
  <c r="AE80" i="24" s="1"/>
  <c r="AE82" i="24" s="1"/>
  <c r="AO69" i="24"/>
  <c r="AO77" i="24"/>
  <c r="AO80" i="24" s="1"/>
  <c r="AO82" i="24" s="1"/>
  <c r="AC69" i="24"/>
  <c r="AC77" i="24"/>
  <c r="AC79" i="24" s="1"/>
  <c r="BH80" i="24"/>
  <c r="BH83" i="24" s="1"/>
  <c r="BH84" i="24" s="1"/>
  <c r="BI79" i="24"/>
  <c r="AX64" i="24"/>
  <c r="AZ57" i="24"/>
  <c r="BJ79" i="24"/>
  <c r="AY64" i="24"/>
  <c r="Q38" i="24"/>
  <c r="U64" i="24"/>
  <c r="U77" i="24" s="1"/>
  <c r="AF80" i="24"/>
  <c r="AF83" i="24" s="1"/>
  <c r="AF69" i="24"/>
  <c r="AV64" i="24"/>
  <c r="S37" i="24"/>
  <c r="S38" i="24"/>
  <c r="I37" i="24"/>
  <c r="I38" i="24"/>
  <c r="BG37" i="24"/>
  <c r="BG38" i="24"/>
  <c r="BI83" i="24"/>
  <c r="BI84" i="24" s="1"/>
  <c r="BI82" i="24"/>
  <c r="H69" i="24"/>
  <c r="R37" i="24"/>
  <c r="R38" i="24"/>
  <c r="BK37" i="24"/>
  <c r="BK38" i="24"/>
  <c r="H80" i="24"/>
  <c r="H79" i="24"/>
  <c r="U38" i="24"/>
  <c r="U37" i="24"/>
  <c r="T37" i="24"/>
  <c r="T38" i="24"/>
  <c r="BG80" i="24"/>
  <c r="BG79" i="24"/>
  <c r="J37" i="24"/>
  <c r="J38" i="24"/>
  <c r="BK80" i="24"/>
  <c r="BK79" i="24"/>
  <c r="H37" i="24"/>
  <c r="H38" i="24"/>
  <c r="BJ83" i="24"/>
  <c r="BJ84" i="24" s="1"/>
  <c r="BJ82" i="24"/>
  <c r="T69" i="24"/>
  <c r="G37" i="24"/>
  <c r="G38" i="24"/>
  <c r="F37" i="24"/>
  <c r="F38" i="24"/>
  <c r="T80" i="24"/>
  <c r="T87" i="24" s="1"/>
  <c r="T79" i="24"/>
  <c r="I69" i="24" l="1"/>
  <c r="I77" i="24"/>
  <c r="I80" i="24" s="1"/>
  <c r="I83" i="24" s="1"/>
  <c r="I79" i="24"/>
  <c r="N77" i="24"/>
  <c r="AM80" i="24"/>
  <c r="AF84" i="24"/>
  <c r="T84" i="33"/>
  <c r="AN79" i="24"/>
  <c r="AP83" i="24"/>
  <c r="AP86" i="24" s="1"/>
  <c r="AP110" i="24" s="1"/>
  <c r="S80" i="24"/>
  <c r="Y77" i="24"/>
  <c r="AD80" i="24"/>
  <c r="AD83" i="24" s="1"/>
  <c r="AD84" i="24" s="1"/>
  <c r="S79" i="24"/>
  <c r="AP79" i="24"/>
  <c r="AL79" i="24"/>
  <c r="R79" i="24"/>
  <c r="F80" i="24"/>
  <c r="F82" i="24" s="1"/>
  <c r="AB79" i="24"/>
  <c r="AE79" i="24"/>
  <c r="R80" i="24"/>
  <c r="AW64" i="24"/>
  <c r="BD64" i="24" s="1"/>
  <c r="Q80" i="24"/>
  <c r="Q87" i="24" s="1"/>
  <c r="Q79" i="24"/>
  <c r="AV69" i="24"/>
  <c r="AV77" i="24"/>
  <c r="AV80" i="24" s="1"/>
  <c r="AV82" i="24" s="1"/>
  <c r="AX69" i="24"/>
  <c r="AX77" i="24"/>
  <c r="AX80" i="24" s="1"/>
  <c r="AX83" i="24" s="1"/>
  <c r="AE83" i="24"/>
  <c r="AE84" i="24" s="1"/>
  <c r="G80" i="24"/>
  <c r="G83" i="24" s="1"/>
  <c r="AC80" i="24"/>
  <c r="AC82" i="24" s="1"/>
  <c r="AO83" i="24"/>
  <c r="AO84" i="24" s="1"/>
  <c r="AY69" i="24"/>
  <c r="AY77" i="24"/>
  <c r="AY80" i="24" s="1"/>
  <c r="AY83" i="24" s="1"/>
  <c r="G79" i="24"/>
  <c r="AO79" i="24"/>
  <c r="BH82" i="24"/>
  <c r="AF79" i="24"/>
  <c r="AZ64" i="24"/>
  <c r="AF82" i="24"/>
  <c r="U79" i="24"/>
  <c r="U69" i="24"/>
  <c r="U80" i="24"/>
  <c r="U87" i="24" s="1"/>
  <c r="J57" i="24"/>
  <c r="O57" i="24" s="1"/>
  <c r="H83" i="24"/>
  <c r="H82" i="24"/>
  <c r="T83" i="24"/>
  <c r="T84" i="24" s="1"/>
  <c r="T82" i="24"/>
  <c r="P110" i="24"/>
  <c r="P109" i="24"/>
  <c r="BK83" i="24"/>
  <c r="BK82" i="24"/>
  <c r="AF86" i="24"/>
  <c r="AF110" i="24" s="1"/>
  <c r="AF85" i="24"/>
  <c r="AF109" i="24" s="1"/>
  <c r="AM83" i="24"/>
  <c r="AM84" i="24" s="1"/>
  <c r="AM82" i="24"/>
  <c r="BG83" i="24"/>
  <c r="BG82" i="24"/>
  <c r="AB83" i="24"/>
  <c r="AB82" i="24"/>
  <c r="AN83" i="24"/>
  <c r="AN84" i="24" s="1"/>
  <c r="AN82" i="24"/>
  <c r="AL83" i="24"/>
  <c r="AL82" i="24"/>
  <c r="Y80" i="24" l="1"/>
  <c r="S87" i="24"/>
  <c r="R83" i="24"/>
  <c r="R87" i="24"/>
  <c r="I84" i="24"/>
  <c r="N83" i="24"/>
  <c r="I82" i="24"/>
  <c r="N80" i="24"/>
  <c r="AP85" i="24"/>
  <c r="AP109" i="24" s="1"/>
  <c r="AV83" i="24"/>
  <c r="AV85" i="24" s="1"/>
  <c r="AV109" i="24" s="1"/>
  <c r="S83" i="24"/>
  <c r="Y83" i="24" s="1"/>
  <c r="S82" i="24"/>
  <c r="BK84" i="24"/>
  <c r="AK84" i="33"/>
  <c r="AB84" i="24"/>
  <c r="AP84" i="24"/>
  <c r="Y84" i="33"/>
  <c r="AL84" i="24"/>
  <c r="W84" i="33"/>
  <c r="BG84" i="24"/>
  <c r="AI84" i="33"/>
  <c r="H84" i="24"/>
  <c r="AD82" i="24"/>
  <c r="AO85" i="24"/>
  <c r="AO109" i="24" s="1"/>
  <c r="AO86" i="24"/>
  <c r="AO110" i="24" s="1"/>
  <c r="F83" i="24"/>
  <c r="F85" i="24" s="1"/>
  <c r="F109" i="24" s="1"/>
  <c r="R82" i="24"/>
  <c r="AW77" i="24"/>
  <c r="AW79" i="24" s="1"/>
  <c r="G82" i="24"/>
  <c r="AE86" i="24"/>
  <c r="AE110" i="24" s="1"/>
  <c r="AW69" i="24"/>
  <c r="AX79" i="24"/>
  <c r="AX82" i="24"/>
  <c r="AE85" i="24"/>
  <c r="AE109" i="24" s="1"/>
  <c r="AV79" i="24"/>
  <c r="Q83" i="24"/>
  <c r="Q82" i="24"/>
  <c r="AZ69" i="24"/>
  <c r="AZ77" i="24"/>
  <c r="AZ80" i="24" s="1"/>
  <c r="AZ82" i="24" s="1"/>
  <c r="AC83" i="24"/>
  <c r="AC84" i="24" s="1"/>
  <c r="AY79" i="24"/>
  <c r="G84" i="24"/>
  <c r="R84" i="24"/>
  <c r="AY82" i="24"/>
  <c r="U82" i="24"/>
  <c r="U83" i="24"/>
  <c r="J64" i="24"/>
  <c r="AX86" i="24"/>
  <c r="AX110" i="24" s="1"/>
  <c r="AX85" i="24"/>
  <c r="AX109" i="24" s="1"/>
  <c r="AX84" i="24"/>
  <c r="H86" i="24"/>
  <c r="H110" i="24" s="1"/>
  <c r="H90" i="24"/>
  <c r="H85" i="24"/>
  <c r="H109" i="24" s="1"/>
  <c r="E110" i="24"/>
  <c r="E109" i="24"/>
  <c r="AD86" i="24"/>
  <c r="AD110" i="24" s="1"/>
  <c r="AD85" i="24"/>
  <c r="AD109" i="24" s="1"/>
  <c r="AB85" i="24"/>
  <c r="AB109" i="24" s="1"/>
  <c r="AB86" i="24"/>
  <c r="AB110" i="24" s="1"/>
  <c r="AL85" i="24"/>
  <c r="AL109" i="24" s="1"/>
  <c r="AL86" i="24"/>
  <c r="AL110" i="24" s="1"/>
  <c r="AY86" i="24"/>
  <c r="AY110" i="24" s="1"/>
  <c r="AY85" i="24"/>
  <c r="AY109" i="24" s="1"/>
  <c r="AY84" i="24"/>
  <c r="AM85" i="24"/>
  <c r="AM109" i="24" s="1"/>
  <c r="AM86" i="24"/>
  <c r="AM110" i="24" s="1"/>
  <c r="I86" i="24"/>
  <c r="I110" i="24" s="1"/>
  <c r="I90" i="24"/>
  <c r="I85" i="24"/>
  <c r="I109" i="24" s="1"/>
  <c r="R86" i="24"/>
  <c r="R110" i="24" s="1"/>
  <c r="R85" i="24"/>
  <c r="R109" i="24" s="1"/>
  <c r="AN86" i="24"/>
  <c r="AN110" i="24" s="1"/>
  <c r="AN85" i="24"/>
  <c r="AN109" i="24" s="1"/>
  <c r="T86" i="24"/>
  <c r="T110" i="24" s="1"/>
  <c r="T85" i="24"/>
  <c r="T109" i="24" s="1"/>
  <c r="G90" i="24"/>
  <c r="G86" i="24"/>
  <c r="G110" i="24" s="1"/>
  <c r="G85" i="24"/>
  <c r="G109" i="24" s="1"/>
  <c r="S84" i="24" l="1"/>
  <c r="S85" i="24"/>
  <c r="S109" i="24" s="1"/>
  <c r="S86" i="24"/>
  <c r="S110" i="24" s="1"/>
  <c r="L84" i="33"/>
  <c r="AV84" i="24"/>
  <c r="AV86" i="24"/>
  <c r="AV110" i="24" s="1"/>
  <c r="F86" i="24"/>
  <c r="F110" i="24" s="1"/>
  <c r="I96" i="24"/>
  <c r="N96" i="24" s="1"/>
  <c r="N90" i="24"/>
  <c r="N84" i="33"/>
  <c r="R84" i="33"/>
  <c r="F84" i="24"/>
  <c r="F84" i="33"/>
  <c r="H96" i="24"/>
  <c r="BD77" i="24"/>
  <c r="AW80" i="24"/>
  <c r="AW82" i="24" s="1"/>
  <c r="F90" i="24"/>
  <c r="F96" i="24" s="1"/>
  <c r="J77" i="24"/>
  <c r="J79" i="24" s="1"/>
  <c r="O64" i="24"/>
  <c r="AZ79" i="24"/>
  <c r="AC86" i="24"/>
  <c r="AC110" i="24" s="1"/>
  <c r="AZ83" i="24"/>
  <c r="AZ84" i="24" s="1"/>
  <c r="Q84" i="24"/>
  <c r="Q86" i="24"/>
  <c r="Q110" i="24" s="1"/>
  <c r="Q85" i="24"/>
  <c r="Q109" i="24" s="1"/>
  <c r="AC85" i="24"/>
  <c r="AC109" i="24" s="1"/>
  <c r="G96" i="24"/>
  <c r="U85" i="24"/>
  <c r="U109" i="24" s="1"/>
  <c r="U84" i="24"/>
  <c r="U86" i="24"/>
  <c r="U110" i="24" s="1"/>
  <c r="J69" i="24"/>
  <c r="BD80" i="24" l="1"/>
  <c r="AW83" i="24"/>
  <c r="J80" i="24"/>
  <c r="AZ86" i="24"/>
  <c r="AZ110" i="24" s="1"/>
  <c r="AZ85" i="24"/>
  <c r="AZ109" i="24" s="1"/>
  <c r="J83" i="24"/>
  <c r="J82" i="24"/>
  <c r="J84" i="24" l="1"/>
  <c r="H84" i="33"/>
  <c r="BD83" i="24"/>
  <c r="AW86" i="24"/>
  <c r="AW110" i="24" s="1"/>
  <c r="AW85" i="24"/>
  <c r="AW109" i="24" s="1"/>
  <c r="AW84" i="24"/>
  <c r="J85" i="24"/>
  <c r="J109" i="24" s="1"/>
  <c r="J86" i="24"/>
  <c r="J110" i="24" s="1"/>
  <c r="J90" i="24"/>
  <c r="DO86" i="14"/>
  <c r="DN86" i="14"/>
  <c r="DM86" i="14"/>
  <c r="DL86" i="14"/>
  <c r="DK86" i="14"/>
  <c r="DJ86" i="14"/>
  <c r="DI86" i="14"/>
  <c r="DH86" i="14"/>
  <c r="DG86" i="14"/>
  <c r="DF86" i="14"/>
  <c r="DE86" i="14"/>
  <c r="DD86" i="14"/>
  <c r="DC86" i="14"/>
  <c r="DB86" i="14"/>
  <c r="DA86" i="14"/>
  <c r="CZ86" i="14"/>
  <c r="CB86" i="14"/>
  <c r="CA86" i="14"/>
  <c r="BZ86" i="14"/>
  <c r="BY86" i="14"/>
  <c r="BX86" i="14"/>
  <c r="BW86" i="14"/>
  <c r="BV86" i="14"/>
  <c r="BU86" i="14"/>
  <c r="BT86" i="14"/>
  <c r="BS86" i="14"/>
  <c r="BR86" i="14"/>
  <c r="BQ86" i="14"/>
  <c r="BP86" i="14"/>
  <c r="BO86" i="14"/>
  <c r="BN86" i="14"/>
  <c r="BM86" i="14"/>
  <c r="DO83" i="14"/>
  <c r="DN83" i="14"/>
  <c r="DM83" i="14"/>
  <c r="DL83" i="14"/>
  <c r="DK83" i="14"/>
  <c r="DJ83" i="14"/>
  <c r="DI83" i="14"/>
  <c r="DH83" i="14"/>
  <c r="DG83" i="14"/>
  <c r="DF83" i="14"/>
  <c r="DE83" i="14"/>
  <c r="DD83" i="14"/>
  <c r="DC83" i="14"/>
  <c r="DB83" i="14"/>
  <c r="DA83" i="14"/>
  <c r="CZ83" i="14"/>
  <c r="CB83" i="14"/>
  <c r="CA83" i="14"/>
  <c r="BZ83" i="14"/>
  <c r="BY83" i="14"/>
  <c r="BX83" i="14"/>
  <c r="BW83" i="14"/>
  <c r="BV83" i="14"/>
  <c r="BU83" i="14"/>
  <c r="BT83" i="14"/>
  <c r="BS83" i="14"/>
  <c r="BR83" i="14"/>
  <c r="BQ83" i="14"/>
  <c r="BP83" i="14"/>
  <c r="BO83" i="14"/>
  <c r="BN83" i="14"/>
  <c r="BM83" i="14"/>
  <c r="DO80" i="14"/>
  <c r="DN80" i="14"/>
  <c r="DM80" i="14"/>
  <c r="DL80" i="14"/>
  <c r="DK80" i="14"/>
  <c r="DJ80" i="14"/>
  <c r="DI80" i="14"/>
  <c r="DH80" i="14"/>
  <c r="DG80" i="14"/>
  <c r="DF80" i="14"/>
  <c r="DE80" i="14"/>
  <c r="DD80" i="14"/>
  <c r="DC80" i="14"/>
  <c r="DB80" i="14"/>
  <c r="DA80" i="14"/>
  <c r="CZ80" i="14"/>
  <c r="CB80" i="14"/>
  <c r="CA80" i="14"/>
  <c r="BZ80" i="14"/>
  <c r="BY80" i="14"/>
  <c r="BX80" i="14"/>
  <c r="BW80" i="14"/>
  <c r="BV80" i="14"/>
  <c r="BU80" i="14"/>
  <c r="BT80" i="14"/>
  <c r="BS80" i="14"/>
  <c r="BR80" i="14"/>
  <c r="BQ80" i="14"/>
  <c r="BP80" i="14"/>
  <c r="BO80" i="14"/>
  <c r="BN80" i="14"/>
  <c r="BM80" i="14"/>
  <c r="DO79" i="14"/>
  <c r="DN79" i="14"/>
  <c r="DM79" i="14"/>
  <c r="DL79" i="14"/>
  <c r="DK79" i="14"/>
  <c r="DJ79" i="14"/>
  <c r="DI79" i="14"/>
  <c r="DH79" i="14"/>
  <c r="DG79" i="14"/>
  <c r="DF79" i="14"/>
  <c r="DE79" i="14"/>
  <c r="DD79" i="14"/>
  <c r="DC79" i="14"/>
  <c r="DB79" i="14"/>
  <c r="DA79" i="14"/>
  <c r="CZ79" i="14"/>
  <c r="CB79" i="14"/>
  <c r="CA79" i="14"/>
  <c r="BZ79" i="14"/>
  <c r="BY79" i="14"/>
  <c r="BX79" i="14"/>
  <c r="BW79" i="14"/>
  <c r="BV79" i="14"/>
  <c r="BU79" i="14"/>
  <c r="BT79" i="14"/>
  <c r="BS79" i="14"/>
  <c r="BR79" i="14"/>
  <c r="BQ79" i="14"/>
  <c r="BP79" i="14"/>
  <c r="BO79" i="14"/>
  <c r="BN79" i="14"/>
  <c r="BM79" i="14"/>
  <c r="DO78" i="14"/>
  <c r="DN78" i="14"/>
  <c r="DM78" i="14"/>
  <c r="DL78" i="14"/>
  <c r="DK78" i="14"/>
  <c r="DJ78" i="14"/>
  <c r="DI78" i="14"/>
  <c r="DH78" i="14"/>
  <c r="DG78" i="14"/>
  <c r="DF78" i="14"/>
  <c r="DE78" i="14"/>
  <c r="DD78" i="14"/>
  <c r="DC78" i="14"/>
  <c r="DB78" i="14"/>
  <c r="DA78" i="14"/>
  <c r="CZ78" i="14"/>
  <c r="CB78" i="14"/>
  <c r="CA78" i="14"/>
  <c r="BZ78" i="14"/>
  <c r="BY78" i="14"/>
  <c r="BX78" i="14"/>
  <c r="BW78" i="14"/>
  <c r="BV78" i="14"/>
  <c r="BU78" i="14"/>
  <c r="BT78" i="14"/>
  <c r="BS78" i="14"/>
  <c r="BR78" i="14"/>
  <c r="BQ78" i="14"/>
  <c r="BP78" i="14"/>
  <c r="BO78" i="14"/>
  <c r="BN78" i="14"/>
  <c r="BM78" i="14"/>
  <c r="DO77" i="14"/>
  <c r="DN77" i="14"/>
  <c r="DM77" i="14"/>
  <c r="DL77" i="14"/>
  <c r="DK77" i="14"/>
  <c r="DJ77" i="14"/>
  <c r="DI77" i="14"/>
  <c r="DH77" i="14"/>
  <c r="DG77" i="14"/>
  <c r="DF77" i="14"/>
  <c r="DE77" i="14"/>
  <c r="DD77" i="14"/>
  <c r="DC77" i="14"/>
  <c r="DB77" i="14"/>
  <c r="DA77" i="14"/>
  <c r="CZ77" i="14"/>
  <c r="CB77" i="14"/>
  <c r="CA77" i="14"/>
  <c r="BZ77" i="14"/>
  <c r="BY77" i="14"/>
  <c r="BX77" i="14"/>
  <c r="BW77" i="14"/>
  <c r="BV77" i="14"/>
  <c r="BU77" i="14"/>
  <c r="BT77" i="14"/>
  <c r="BS77" i="14"/>
  <c r="BR77" i="14"/>
  <c r="BQ77" i="14"/>
  <c r="BP77" i="14"/>
  <c r="BO77" i="14"/>
  <c r="BN77" i="14"/>
  <c r="BM77" i="14"/>
  <c r="DO76" i="14"/>
  <c r="DN76" i="14"/>
  <c r="DM76" i="14"/>
  <c r="DL76" i="14"/>
  <c r="DK76" i="14"/>
  <c r="DJ76" i="14"/>
  <c r="DI76" i="14"/>
  <c r="DH76" i="14"/>
  <c r="DG76" i="14"/>
  <c r="DF76" i="14"/>
  <c r="DE76" i="14"/>
  <c r="DD76" i="14"/>
  <c r="DC76" i="14"/>
  <c r="DB76" i="14"/>
  <c r="DA76" i="14"/>
  <c r="CZ76" i="14"/>
  <c r="CB76" i="14"/>
  <c r="CA76" i="14"/>
  <c r="BZ76" i="14"/>
  <c r="BY76" i="14"/>
  <c r="BX76" i="14"/>
  <c r="BW76" i="14"/>
  <c r="BV76" i="14"/>
  <c r="BU76" i="14"/>
  <c r="BT76" i="14"/>
  <c r="BS76" i="14"/>
  <c r="BR76" i="14"/>
  <c r="BQ76" i="14"/>
  <c r="BP76" i="14"/>
  <c r="BO76" i="14"/>
  <c r="BN76" i="14"/>
  <c r="BM76" i="14"/>
  <c r="DO75" i="14"/>
  <c r="DN75" i="14"/>
  <c r="DM75" i="14"/>
  <c r="DL75" i="14"/>
  <c r="DK75" i="14"/>
  <c r="DJ75" i="14"/>
  <c r="DI75" i="14"/>
  <c r="DH75" i="14"/>
  <c r="DG75" i="14"/>
  <c r="DF75" i="14"/>
  <c r="DE75" i="14"/>
  <c r="DD75" i="14"/>
  <c r="DC75" i="14"/>
  <c r="DB75" i="14"/>
  <c r="DA75" i="14"/>
  <c r="CZ75" i="14"/>
  <c r="CB75" i="14"/>
  <c r="CA75" i="14"/>
  <c r="BZ75" i="14"/>
  <c r="BY75" i="14"/>
  <c r="BX75" i="14"/>
  <c r="BW75" i="14"/>
  <c r="BV75" i="14"/>
  <c r="BU75" i="14"/>
  <c r="BT75" i="14"/>
  <c r="BS75" i="14"/>
  <c r="BR75" i="14"/>
  <c r="BQ75" i="14"/>
  <c r="BP75" i="14"/>
  <c r="BO75" i="14"/>
  <c r="BN75" i="14"/>
  <c r="BM75" i="14"/>
  <c r="DO73" i="14"/>
  <c r="DN73" i="14"/>
  <c r="DM73" i="14"/>
  <c r="DL73" i="14"/>
  <c r="DK73" i="14"/>
  <c r="DJ73" i="14"/>
  <c r="DI73" i="14"/>
  <c r="DH73" i="14"/>
  <c r="DG73" i="14"/>
  <c r="DF73" i="14"/>
  <c r="DE73" i="14"/>
  <c r="DD73" i="14"/>
  <c r="DC73" i="14"/>
  <c r="DB73" i="14"/>
  <c r="DA73" i="14"/>
  <c r="CZ73" i="14"/>
  <c r="CB73" i="14"/>
  <c r="CA73" i="14"/>
  <c r="BZ73" i="14"/>
  <c r="BY73" i="14"/>
  <c r="BX73" i="14"/>
  <c r="BW73" i="14"/>
  <c r="BV73" i="14"/>
  <c r="BU73" i="14"/>
  <c r="BT73" i="14"/>
  <c r="BS73" i="14"/>
  <c r="BR73" i="14"/>
  <c r="BQ73" i="14"/>
  <c r="BP73" i="14"/>
  <c r="BO73" i="14"/>
  <c r="BN73" i="14"/>
  <c r="BM73" i="14"/>
  <c r="DO72" i="14"/>
  <c r="DN72" i="14"/>
  <c r="DM72" i="14"/>
  <c r="DL72" i="14"/>
  <c r="DK72" i="14"/>
  <c r="DJ72" i="14"/>
  <c r="DI72" i="14"/>
  <c r="DH72" i="14"/>
  <c r="DG72" i="14"/>
  <c r="DF72" i="14"/>
  <c r="DE72" i="14"/>
  <c r="DD72" i="14"/>
  <c r="DC72" i="14"/>
  <c r="DB72" i="14"/>
  <c r="DA72" i="14"/>
  <c r="CZ72" i="14"/>
  <c r="CB72" i="14"/>
  <c r="CA72" i="14"/>
  <c r="BZ72" i="14"/>
  <c r="BY72" i="14"/>
  <c r="BX72" i="14"/>
  <c r="BW72" i="14"/>
  <c r="BV72" i="14"/>
  <c r="BU72" i="14"/>
  <c r="BT72" i="14"/>
  <c r="BS72" i="14"/>
  <c r="BR72" i="14"/>
  <c r="BQ72" i="14"/>
  <c r="BP72" i="14"/>
  <c r="BO72" i="14"/>
  <c r="BN72" i="14"/>
  <c r="BM72" i="14"/>
  <c r="DO71" i="14"/>
  <c r="DN71" i="14"/>
  <c r="DM71" i="14"/>
  <c r="DL71" i="14"/>
  <c r="DK71" i="14"/>
  <c r="DJ71" i="14"/>
  <c r="DI71" i="14"/>
  <c r="DH71" i="14"/>
  <c r="DG71" i="14"/>
  <c r="DF71" i="14"/>
  <c r="DE71" i="14"/>
  <c r="DD71" i="14"/>
  <c r="DC71" i="14"/>
  <c r="DB71" i="14"/>
  <c r="DA71" i="14"/>
  <c r="CZ71" i="14"/>
  <c r="CB71" i="14"/>
  <c r="CA71" i="14"/>
  <c r="BZ71" i="14"/>
  <c r="BY71" i="14"/>
  <c r="BX71" i="14"/>
  <c r="BW71" i="14"/>
  <c r="BV71" i="14"/>
  <c r="BU71" i="14"/>
  <c r="BT71" i="14"/>
  <c r="BS71" i="14"/>
  <c r="BR71" i="14"/>
  <c r="BQ71" i="14"/>
  <c r="BP71" i="14"/>
  <c r="BO71" i="14"/>
  <c r="BN71" i="14"/>
  <c r="BM71" i="14"/>
  <c r="DO70" i="14"/>
  <c r="DN70" i="14"/>
  <c r="DM70" i="14"/>
  <c r="DL70" i="14"/>
  <c r="DK70" i="14"/>
  <c r="DJ70" i="14"/>
  <c r="DI70" i="14"/>
  <c r="CJ70" i="14"/>
  <c r="CB70" i="14"/>
  <c r="CA70" i="14"/>
  <c r="BZ70" i="14"/>
  <c r="BY70" i="14"/>
  <c r="BX70" i="14"/>
  <c r="BW70" i="14"/>
  <c r="BV70" i="14"/>
  <c r="CN70" i="14"/>
  <c r="CM70" i="14"/>
  <c r="CL70" i="14"/>
  <c r="CK70" i="14"/>
  <c r="CI70" i="14"/>
  <c r="CH70" i="14"/>
  <c r="CG70" i="14"/>
  <c r="CF70" i="14"/>
  <c r="DO66" i="14"/>
  <c r="DN66" i="14"/>
  <c r="DM66" i="14"/>
  <c r="DL66" i="14"/>
  <c r="DK66" i="14"/>
  <c r="DJ66" i="14"/>
  <c r="DI66" i="14"/>
  <c r="DH66" i="14"/>
  <c r="DG66" i="14"/>
  <c r="DF66" i="14"/>
  <c r="DE66" i="14"/>
  <c r="DD66" i="14"/>
  <c r="DC66" i="14"/>
  <c r="DB66" i="14"/>
  <c r="DA66" i="14"/>
  <c r="CZ66" i="14"/>
  <c r="CB66" i="14"/>
  <c r="CA66" i="14"/>
  <c r="BZ66" i="14"/>
  <c r="BY66" i="14"/>
  <c r="BX66" i="14"/>
  <c r="BW66" i="14"/>
  <c r="BV66" i="14"/>
  <c r="BU66" i="14"/>
  <c r="BT66" i="14"/>
  <c r="BS66" i="14"/>
  <c r="BR66" i="14"/>
  <c r="BQ66" i="14"/>
  <c r="BP66" i="14"/>
  <c r="BO66" i="14"/>
  <c r="BN66" i="14"/>
  <c r="BM66" i="14"/>
  <c r="DO65" i="14"/>
  <c r="DN65" i="14"/>
  <c r="DM65" i="14"/>
  <c r="DL65" i="14"/>
  <c r="DK65" i="14"/>
  <c r="DJ65" i="14"/>
  <c r="DI65" i="14"/>
  <c r="DH65" i="14"/>
  <c r="DG65" i="14"/>
  <c r="DF65" i="14"/>
  <c r="DE65" i="14"/>
  <c r="DD65" i="14"/>
  <c r="DC65" i="14"/>
  <c r="DB65" i="14"/>
  <c r="DA65" i="14"/>
  <c r="CZ65" i="14"/>
  <c r="CB65" i="14"/>
  <c r="CA65" i="14"/>
  <c r="BZ65" i="14"/>
  <c r="BY65" i="14"/>
  <c r="BX65" i="14"/>
  <c r="BW65" i="14"/>
  <c r="BV65" i="14"/>
  <c r="BU65" i="14"/>
  <c r="BT65" i="14"/>
  <c r="BS65" i="14"/>
  <c r="BR65" i="14"/>
  <c r="BQ65" i="14"/>
  <c r="BP65" i="14"/>
  <c r="BO65" i="14"/>
  <c r="BN65" i="14"/>
  <c r="BM65" i="14"/>
  <c r="DO59" i="14"/>
  <c r="DN59" i="14"/>
  <c r="DM59" i="14"/>
  <c r="DL59" i="14"/>
  <c r="DK59" i="14"/>
  <c r="DJ59" i="14"/>
  <c r="DI59" i="14"/>
  <c r="DH59" i="14"/>
  <c r="DG59" i="14"/>
  <c r="DF59" i="14"/>
  <c r="DE59" i="14"/>
  <c r="DD59" i="14"/>
  <c r="DC59" i="14"/>
  <c r="DB59" i="14"/>
  <c r="DA59" i="14"/>
  <c r="CZ59" i="14"/>
  <c r="CB59" i="14"/>
  <c r="CA59" i="14"/>
  <c r="BZ59" i="14"/>
  <c r="BY59" i="14"/>
  <c r="BX59" i="14"/>
  <c r="BW59" i="14"/>
  <c r="BV59" i="14"/>
  <c r="BU59" i="14"/>
  <c r="BT59" i="14"/>
  <c r="BS59" i="14"/>
  <c r="BR59" i="14"/>
  <c r="BQ59" i="14"/>
  <c r="BP59" i="14"/>
  <c r="BO59" i="14"/>
  <c r="BN59" i="14"/>
  <c r="BM59" i="14"/>
  <c r="DO58" i="14"/>
  <c r="DN58" i="14"/>
  <c r="DM58" i="14"/>
  <c r="DL58" i="14"/>
  <c r="DK58" i="14"/>
  <c r="DJ58" i="14"/>
  <c r="DI58" i="14"/>
  <c r="DH58" i="14"/>
  <c r="DG58" i="14"/>
  <c r="DF58" i="14"/>
  <c r="DE58" i="14"/>
  <c r="DD58" i="14"/>
  <c r="DC58" i="14"/>
  <c r="DB58" i="14"/>
  <c r="DA58" i="14"/>
  <c r="CZ58" i="14"/>
  <c r="CB58" i="14"/>
  <c r="CA58" i="14"/>
  <c r="BZ58" i="14"/>
  <c r="BY58" i="14"/>
  <c r="BX58" i="14"/>
  <c r="BW58" i="14"/>
  <c r="BV58" i="14"/>
  <c r="BU58" i="14"/>
  <c r="BT58" i="14"/>
  <c r="BS58" i="14"/>
  <c r="BR58" i="14"/>
  <c r="BQ58" i="14"/>
  <c r="BP58" i="14"/>
  <c r="BO58" i="14"/>
  <c r="BN58" i="14"/>
  <c r="BM58" i="14"/>
  <c r="DO56" i="14"/>
  <c r="DN56" i="14"/>
  <c r="DM56" i="14"/>
  <c r="DL56" i="14"/>
  <c r="DK56" i="14"/>
  <c r="DJ56" i="14"/>
  <c r="DI56" i="14"/>
  <c r="DH56" i="14"/>
  <c r="DG56" i="14"/>
  <c r="DF56" i="14"/>
  <c r="DE56" i="14"/>
  <c r="DD56" i="14"/>
  <c r="DC56" i="14"/>
  <c r="DB56" i="14"/>
  <c r="DA56" i="14"/>
  <c r="CZ56" i="14"/>
  <c r="CB56" i="14"/>
  <c r="CA56" i="14"/>
  <c r="BZ56" i="14"/>
  <c r="BY56" i="14"/>
  <c r="BX56" i="14"/>
  <c r="BW56" i="14"/>
  <c r="BV56" i="14"/>
  <c r="BU56" i="14"/>
  <c r="BT56" i="14"/>
  <c r="BS56" i="14"/>
  <c r="BR56" i="14"/>
  <c r="BQ56" i="14"/>
  <c r="BP56" i="14"/>
  <c r="BO56" i="14"/>
  <c r="BN56" i="14"/>
  <c r="BM56" i="14"/>
  <c r="DO51" i="14"/>
  <c r="DN51" i="14"/>
  <c r="DM51" i="14"/>
  <c r="DL51" i="14"/>
  <c r="DK51" i="14"/>
  <c r="DJ51" i="14"/>
  <c r="DI51" i="14"/>
  <c r="DH51" i="14"/>
  <c r="DG51" i="14"/>
  <c r="DF51" i="14"/>
  <c r="DE51" i="14"/>
  <c r="DD51" i="14"/>
  <c r="DC51" i="14"/>
  <c r="DB51" i="14"/>
  <c r="DA51" i="14"/>
  <c r="CZ51" i="14"/>
  <c r="CB51" i="14"/>
  <c r="CA51" i="14"/>
  <c r="BZ51" i="14"/>
  <c r="BY51" i="14"/>
  <c r="BX51" i="14"/>
  <c r="BW51" i="14"/>
  <c r="BV51" i="14"/>
  <c r="BU51" i="14"/>
  <c r="BT51" i="14"/>
  <c r="BS51" i="14"/>
  <c r="BR51" i="14"/>
  <c r="BQ51" i="14"/>
  <c r="BP51" i="14"/>
  <c r="BO51" i="14"/>
  <c r="BN51" i="14"/>
  <c r="BM51" i="14"/>
  <c r="DO50" i="14"/>
  <c r="DN50" i="14"/>
  <c r="DM50" i="14"/>
  <c r="DL50" i="14"/>
  <c r="DK50" i="14"/>
  <c r="DJ50" i="14"/>
  <c r="DI50" i="14"/>
  <c r="DH50" i="14"/>
  <c r="DG50" i="14"/>
  <c r="DF50" i="14"/>
  <c r="DE50" i="14"/>
  <c r="DD50" i="14"/>
  <c r="DC50" i="14"/>
  <c r="DB50" i="14"/>
  <c r="DA50" i="14"/>
  <c r="CZ50" i="14"/>
  <c r="CB50" i="14"/>
  <c r="CA50" i="14"/>
  <c r="BZ50" i="14"/>
  <c r="BY50" i="14"/>
  <c r="BX50" i="14"/>
  <c r="BW50" i="14"/>
  <c r="BV50" i="14"/>
  <c r="BU50" i="14"/>
  <c r="BT50" i="14"/>
  <c r="BS50" i="14"/>
  <c r="BR50" i="14"/>
  <c r="BQ50" i="14"/>
  <c r="BP50" i="14"/>
  <c r="BO50" i="14"/>
  <c r="BN50" i="14"/>
  <c r="BM50" i="14"/>
  <c r="DO48" i="14"/>
  <c r="DN48" i="14"/>
  <c r="DM48" i="14"/>
  <c r="DL48" i="14"/>
  <c r="DK48" i="14"/>
  <c r="DJ48" i="14"/>
  <c r="DI48" i="14"/>
  <c r="DH48" i="14"/>
  <c r="DG48" i="14"/>
  <c r="DF48" i="14"/>
  <c r="DE48" i="14"/>
  <c r="DD48" i="14"/>
  <c r="DC48" i="14"/>
  <c r="DB48" i="14"/>
  <c r="DA48" i="14"/>
  <c r="CZ48" i="14"/>
  <c r="CB48" i="14"/>
  <c r="CA48" i="14"/>
  <c r="BZ48" i="14"/>
  <c r="BY48" i="14"/>
  <c r="BX48" i="14"/>
  <c r="BW48" i="14"/>
  <c r="BV48" i="14"/>
  <c r="BU48" i="14"/>
  <c r="BT48" i="14"/>
  <c r="BS48" i="14"/>
  <c r="BR48" i="14"/>
  <c r="BQ48" i="14"/>
  <c r="BP48" i="14"/>
  <c r="BO48" i="14"/>
  <c r="BN48" i="14"/>
  <c r="BM48" i="14"/>
  <c r="DO46" i="14"/>
  <c r="DN46" i="14"/>
  <c r="DM46" i="14"/>
  <c r="DL46" i="14"/>
  <c r="DK46" i="14"/>
  <c r="DJ46" i="14"/>
  <c r="DI46" i="14"/>
  <c r="DH46" i="14"/>
  <c r="DG46" i="14"/>
  <c r="DF46" i="14"/>
  <c r="DE46" i="14"/>
  <c r="DD46" i="14"/>
  <c r="DC46" i="14"/>
  <c r="DB46" i="14"/>
  <c r="DA46" i="14"/>
  <c r="CZ46" i="14"/>
  <c r="CB46" i="14"/>
  <c r="CA46" i="14"/>
  <c r="BZ46" i="14"/>
  <c r="BY46" i="14"/>
  <c r="BX46" i="14"/>
  <c r="BW46" i="14"/>
  <c r="BV46" i="14"/>
  <c r="BU46" i="14"/>
  <c r="BT46" i="14"/>
  <c r="BS46" i="14"/>
  <c r="BR46" i="14"/>
  <c r="BQ46" i="14"/>
  <c r="BP46" i="14"/>
  <c r="BO46" i="14"/>
  <c r="BN46" i="14"/>
  <c r="BM46" i="14"/>
  <c r="DO43" i="14"/>
  <c r="DN43" i="14"/>
  <c r="DM43" i="14"/>
  <c r="DL43" i="14"/>
  <c r="DK43" i="14"/>
  <c r="DJ43" i="14"/>
  <c r="DI43" i="14"/>
  <c r="DH43" i="14"/>
  <c r="DG43" i="14"/>
  <c r="DF43" i="14"/>
  <c r="DE43" i="14"/>
  <c r="DD43" i="14"/>
  <c r="DC43" i="14"/>
  <c r="DB43" i="14"/>
  <c r="DA43" i="14"/>
  <c r="CZ43" i="14"/>
  <c r="CB43" i="14"/>
  <c r="CA43" i="14"/>
  <c r="BZ43" i="14"/>
  <c r="BY43" i="14"/>
  <c r="BX43" i="14"/>
  <c r="BW43" i="14"/>
  <c r="BV43" i="14"/>
  <c r="BU43" i="14"/>
  <c r="BT43" i="14"/>
  <c r="BS43" i="14"/>
  <c r="BR43" i="14"/>
  <c r="BQ43" i="14"/>
  <c r="BP43" i="14"/>
  <c r="BO43" i="14"/>
  <c r="BN43" i="14"/>
  <c r="BM43" i="14"/>
  <c r="DO42" i="14"/>
  <c r="DN42" i="14"/>
  <c r="DM42" i="14"/>
  <c r="DL42" i="14"/>
  <c r="DK42" i="14"/>
  <c r="DJ42" i="14"/>
  <c r="DI42" i="14"/>
  <c r="DH42" i="14"/>
  <c r="DG42" i="14"/>
  <c r="DF42" i="14"/>
  <c r="DE42" i="14"/>
  <c r="DD42" i="14"/>
  <c r="DC42" i="14"/>
  <c r="DB42" i="14"/>
  <c r="DA42" i="14"/>
  <c r="CZ42" i="14"/>
  <c r="CB42" i="14"/>
  <c r="CA42" i="14"/>
  <c r="BZ42" i="14"/>
  <c r="BY42" i="14"/>
  <c r="BX42" i="14"/>
  <c r="BW42" i="14"/>
  <c r="BV42" i="14"/>
  <c r="BU42" i="14"/>
  <c r="BT42" i="14"/>
  <c r="BS42" i="14"/>
  <c r="BR42" i="14"/>
  <c r="BQ42" i="14"/>
  <c r="BP42" i="14"/>
  <c r="BO42" i="14"/>
  <c r="BN42" i="14"/>
  <c r="BM42" i="14"/>
  <c r="DO41" i="14"/>
  <c r="DN41" i="14"/>
  <c r="DM41" i="14"/>
  <c r="DL41" i="14"/>
  <c r="DK41" i="14"/>
  <c r="DJ41" i="14"/>
  <c r="DI41" i="14"/>
  <c r="DH41" i="14"/>
  <c r="DG41" i="14"/>
  <c r="DF41" i="14"/>
  <c r="DE41" i="14"/>
  <c r="DD41" i="14"/>
  <c r="DC41" i="14"/>
  <c r="DB41" i="14"/>
  <c r="DA41" i="14"/>
  <c r="CZ41" i="14"/>
  <c r="CB41" i="14"/>
  <c r="CA41" i="14"/>
  <c r="BZ41" i="14"/>
  <c r="BY41" i="14"/>
  <c r="BX41" i="14"/>
  <c r="BW41" i="14"/>
  <c r="BV41" i="14"/>
  <c r="BU41" i="14"/>
  <c r="BT41" i="14"/>
  <c r="BS41" i="14"/>
  <c r="BR41" i="14"/>
  <c r="BQ41" i="14"/>
  <c r="BP41" i="14"/>
  <c r="BO41" i="14"/>
  <c r="BN41" i="14"/>
  <c r="BM41" i="14"/>
  <c r="DO33" i="14"/>
  <c r="DN33" i="14"/>
  <c r="DM33" i="14"/>
  <c r="DL33" i="14"/>
  <c r="DK33" i="14"/>
  <c r="DJ33" i="14"/>
  <c r="DI33" i="14"/>
  <c r="DH33" i="14"/>
  <c r="DG33" i="14"/>
  <c r="DF33" i="14"/>
  <c r="DE33" i="14"/>
  <c r="DD33" i="14"/>
  <c r="DC33" i="14"/>
  <c r="DB33" i="14"/>
  <c r="DA33" i="14"/>
  <c r="CZ33" i="14"/>
  <c r="CB33" i="14"/>
  <c r="CA33" i="14"/>
  <c r="BZ33" i="14"/>
  <c r="BY33" i="14"/>
  <c r="BX33" i="14"/>
  <c r="BW33" i="14"/>
  <c r="BV33" i="14"/>
  <c r="BU33" i="14"/>
  <c r="BT33" i="14"/>
  <c r="BS33" i="14"/>
  <c r="BR33" i="14"/>
  <c r="BQ33" i="14"/>
  <c r="BP33" i="14"/>
  <c r="BO33" i="14"/>
  <c r="BN33" i="14"/>
  <c r="BM33" i="14"/>
  <c r="DO32" i="14"/>
  <c r="DN32" i="14"/>
  <c r="DM32" i="14"/>
  <c r="DL32" i="14"/>
  <c r="DK32" i="14"/>
  <c r="DJ32" i="14"/>
  <c r="DI32" i="14"/>
  <c r="DH32" i="14"/>
  <c r="DG32" i="14"/>
  <c r="DF32" i="14"/>
  <c r="DE32" i="14"/>
  <c r="DD32" i="14"/>
  <c r="DC32" i="14"/>
  <c r="DB32" i="14"/>
  <c r="DA32" i="14"/>
  <c r="CZ32" i="14"/>
  <c r="CB32" i="14"/>
  <c r="CA32" i="14"/>
  <c r="BZ32" i="14"/>
  <c r="BY32" i="14"/>
  <c r="BX32" i="14"/>
  <c r="BW32" i="14"/>
  <c r="BV32" i="14"/>
  <c r="BU32" i="14"/>
  <c r="BT32" i="14"/>
  <c r="BS32" i="14"/>
  <c r="BR32" i="14"/>
  <c r="BQ32" i="14"/>
  <c r="BP32" i="14"/>
  <c r="BO32" i="14"/>
  <c r="BN32" i="14"/>
  <c r="BM32" i="14"/>
  <c r="DO30" i="14"/>
  <c r="DN30" i="14"/>
  <c r="DM30" i="14"/>
  <c r="DL30" i="14"/>
  <c r="DK30" i="14"/>
  <c r="DJ30" i="14"/>
  <c r="DI30" i="14"/>
  <c r="DH30" i="14"/>
  <c r="DG30" i="14"/>
  <c r="DF30" i="14"/>
  <c r="DE30" i="14"/>
  <c r="DD30" i="14"/>
  <c r="DC30" i="14"/>
  <c r="DB30" i="14"/>
  <c r="DA30" i="14"/>
  <c r="CZ30" i="14"/>
  <c r="CB30" i="14"/>
  <c r="CA30" i="14"/>
  <c r="BZ30" i="14"/>
  <c r="BY30" i="14"/>
  <c r="BX30" i="14"/>
  <c r="BW30" i="14"/>
  <c r="BV30" i="14"/>
  <c r="BU30" i="14"/>
  <c r="BT30" i="14"/>
  <c r="BS30" i="14"/>
  <c r="BR30" i="14"/>
  <c r="BQ30" i="14"/>
  <c r="BP30" i="14"/>
  <c r="BO30" i="14"/>
  <c r="BN30" i="14"/>
  <c r="BM30" i="14"/>
  <c r="DO24" i="14"/>
  <c r="DN24" i="14"/>
  <c r="DM24" i="14"/>
  <c r="DL24" i="14"/>
  <c r="DK24" i="14"/>
  <c r="DJ24" i="14"/>
  <c r="DI24" i="14"/>
  <c r="DH24" i="14"/>
  <c r="DG24" i="14"/>
  <c r="DF24" i="14"/>
  <c r="DE24" i="14"/>
  <c r="DD24" i="14"/>
  <c r="DC24" i="14"/>
  <c r="DB24" i="14"/>
  <c r="DA24" i="14"/>
  <c r="CZ24" i="14"/>
  <c r="CB24" i="14"/>
  <c r="CA24" i="14"/>
  <c r="BZ24" i="14"/>
  <c r="BY24" i="14"/>
  <c r="BX24" i="14"/>
  <c r="BW24" i="14"/>
  <c r="BV24" i="14"/>
  <c r="BU24" i="14"/>
  <c r="BT24" i="14"/>
  <c r="BS24" i="14"/>
  <c r="BR24" i="14"/>
  <c r="BQ24" i="14"/>
  <c r="BP24" i="14"/>
  <c r="BO24" i="14"/>
  <c r="BN24" i="14"/>
  <c r="BM24" i="14"/>
  <c r="DO21" i="14"/>
  <c r="DN21" i="14"/>
  <c r="DM21" i="14"/>
  <c r="DL21" i="14"/>
  <c r="DK21" i="14"/>
  <c r="DJ21" i="14"/>
  <c r="DI21" i="14"/>
  <c r="DH21" i="14"/>
  <c r="DG21" i="14"/>
  <c r="DF21" i="14"/>
  <c r="DE21" i="14"/>
  <c r="DD21" i="14"/>
  <c r="DC21" i="14"/>
  <c r="DB21" i="14"/>
  <c r="DA21" i="14"/>
  <c r="CZ21" i="14"/>
  <c r="CB21" i="14"/>
  <c r="CA21" i="14"/>
  <c r="BZ21" i="14"/>
  <c r="BY21" i="14"/>
  <c r="BX21" i="14"/>
  <c r="BW21" i="14"/>
  <c r="BV21" i="14"/>
  <c r="BU21" i="14"/>
  <c r="BT21" i="14"/>
  <c r="BS21" i="14"/>
  <c r="BR21" i="14"/>
  <c r="BQ21" i="14"/>
  <c r="BP21" i="14"/>
  <c r="BO21" i="14"/>
  <c r="BN21" i="14"/>
  <c r="BM21" i="14"/>
  <c r="DO17" i="14"/>
  <c r="DN17" i="14"/>
  <c r="DM17" i="14"/>
  <c r="DL17" i="14"/>
  <c r="DK17" i="14"/>
  <c r="DJ17" i="14"/>
  <c r="DI17" i="14"/>
  <c r="DH17" i="14"/>
  <c r="DG17" i="14"/>
  <c r="DF17" i="14"/>
  <c r="DE17" i="14"/>
  <c r="DD17" i="14"/>
  <c r="DC17" i="14"/>
  <c r="DB17" i="14"/>
  <c r="DA17" i="14"/>
  <c r="CZ17" i="14"/>
  <c r="CB17" i="14"/>
  <c r="CA17" i="14"/>
  <c r="BZ17" i="14"/>
  <c r="BY17" i="14"/>
  <c r="BX17" i="14"/>
  <c r="BW17" i="14"/>
  <c r="BV17" i="14"/>
  <c r="BU17" i="14"/>
  <c r="BT17" i="14"/>
  <c r="BS17" i="14"/>
  <c r="BR17" i="14"/>
  <c r="BQ17" i="14"/>
  <c r="BP17" i="14"/>
  <c r="BO17" i="14"/>
  <c r="BN17" i="14"/>
  <c r="BM17" i="14"/>
  <c r="DO16" i="14"/>
  <c r="DN16" i="14"/>
  <c r="DM16" i="14"/>
  <c r="DL16" i="14"/>
  <c r="DK16" i="14"/>
  <c r="DJ16" i="14"/>
  <c r="DI16" i="14"/>
  <c r="DH16" i="14"/>
  <c r="DG16" i="14"/>
  <c r="DF16" i="14"/>
  <c r="DE16" i="14"/>
  <c r="DD16" i="14"/>
  <c r="DC16" i="14"/>
  <c r="DB16" i="14"/>
  <c r="DA16" i="14"/>
  <c r="CZ16" i="14"/>
  <c r="CB16" i="14"/>
  <c r="CA16" i="14"/>
  <c r="BZ16" i="14"/>
  <c r="BY16" i="14"/>
  <c r="BX16" i="14"/>
  <c r="BW16" i="14"/>
  <c r="BV16" i="14"/>
  <c r="BU16" i="14"/>
  <c r="BT16" i="14"/>
  <c r="BS16" i="14"/>
  <c r="BR16" i="14"/>
  <c r="BQ16" i="14"/>
  <c r="BP16" i="14"/>
  <c r="BO16" i="14"/>
  <c r="BN16" i="14"/>
  <c r="BM16" i="14"/>
  <c r="DO15" i="14"/>
  <c r="DN15" i="14"/>
  <c r="DM15" i="14"/>
  <c r="DL15" i="14"/>
  <c r="DK15" i="14"/>
  <c r="DJ15" i="14"/>
  <c r="DI15" i="14"/>
  <c r="DH15" i="14"/>
  <c r="DG15" i="14"/>
  <c r="DF15" i="14"/>
  <c r="DE15" i="14"/>
  <c r="DD15" i="14"/>
  <c r="DC15" i="14"/>
  <c r="DB15" i="14"/>
  <c r="DA15" i="14"/>
  <c r="CZ15" i="14"/>
  <c r="CB15" i="14"/>
  <c r="CA15" i="14"/>
  <c r="BZ15" i="14"/>
  <c r="BY15" i="14"/>
  <c r="BX15" i="14"/>
  <c r="BW15" i="14"/>
  <c r="BV15" i="14"/>
  <c r="BU15" i="14"/>
  <c r="BT15" i="14"/>
  <c r="BS15" i="14"/>
  <c r="BR15" i="14"/>
  <c r="BQ15" i="14"/>
  <c r="BP15" i="14"/>
  <c r="BO15" i="14"/>
  <c r="BN15" i="14"/>
  <c r="BM15" i="14"/>
  <c r="DO14" i="14"/>
  <c r="DN14" i="14"/>
  <c r="DM14" i="14"/>
  <c r="DL14" i="14"/>
  <c r="DK14" i="14"/>
  <c r="DJ14" i="14"/>
  <c r="DI14" i="14"/>
  <c r="DH14" i="14"/>
  <c r="DG14" i="14"/>
  <c r="DF14" i="14"/>
  <c r="DE14" i="14"/>
  <c r="DD14" i="14"/>
  <c r="DC14" i="14"/>
  <c r="DB14" i="14"/>
  <c r="DA14" i="14"/>
  <c r="CZ14" i="14"/>
  <c r="CB14" i="14"/>
  <c r="CA14" i="14"/>
  <c r="BZ14" i="14"/>
  <c r="BY14" i="14"/>
  <c r="BX14" i="14"/>
  <c r="BW14" i="14"/>
  <c r="BV14" i="14"/>
  <c r="BU14" i="14"/>
  <c r="BT14" i="14"/>
  <c r="BS14" i="14"/>
  <c r="BR14" i="14"/>
  <c r="BQ14" i="14"/>
  <c r="BP14" i="14"/>
  <c r="BO14" i="14"/>
  <c r="BN14" i="14"/>
  <c r="BM14" i="14"/>
  <c r="DO10" i="14"/>
  <c r="DN10" i="14"/>
  <c r="DM10" i="14"/>
  <c r="DL10" i="14"/>
  <c r="DK10" i="14"/>
  <c r="DJ10" i="14"/>
  <c r="DI10" i="14"/>
  <c r="DH10" i="14"/>
  <c r="DG10" i="14"/>
  <c r="DF10" i="14"/>
  <c r="DE10" i="14"/>
  <c r="DD10" i="14"/>
  <c r="DC10" i="14"/>
  <c r="DB10" i="14"/>
  <c r="DA10" i="14"/>
  <c r="CZ10" i="14"/>
  <c r="CB10" i="14"/>
  <c r="CA10" i="14"/>
  <c r="BZ10" i="14"/>
  <c r="BY10" i="14"/>
  <c r="BX10" i="14"/>
  <c r="BW10" i="14"/>
  <c r="BV10" i="14"/>
  <c r="BU10" i="14"/>
  <c r="BT10" i="14"/>
  <c r="BS10" i="14"/>
  <c r="BR10" i="14"/>
  <c r="BQ10" i="14"/>
  <c r="BP10" i="14"/>
  <c r="BO10" i="14"/>
  <c r="BN10" i="14"/>
  <c r="BM10" i="14"/>
  <c r="DO9" i="14"/>
  <c r="DN9" i="14"/>
  <c r="DM9" i="14"/>
  <c r="DL9" i="14"/>
  <c r="DK9" i="14"/>
  <c r="DJ9" i="14"/>
  <c r="DI9" i="14"/>
  <c r="DH9" i="14"/>
  <c r="DG9" i="14"/>
  <c r="DF9" i="14"/>
  <c r="DE9" i="14"/>
  <c r="DD9" i="14"/>
  <c r="DC9" i="14"/>
  <c r="DB9" i="14"/>
  <c r="DA9" i="14"/>
  <c r="CZ9" i="14"/>
  <c r="CB9" i="14"/>
  <c r="CA9" i="14"/>
  <c r="BZ9" i="14"/>
  <c r="BY9" i="14"/>
  <c r="BX9" i="14"/>
  <c r="BW9" i="14"/>
  <c r="BV9" i="14"/>
  <c r="BU9" i="14"/>
  <c r="BT9" i="14"/>
  <c r="BS9" i="14"/>
  <c r="BR9" i="14"/>
  <c r="BQ9" i="14"/>
  <c r="BP9" i="14"/>
  <c r="BO9" i="14"/>
  <c r="BN9" i="14"/>
  <c r="BM9" i="14"/>
  <c r="DO7" i="14"/>
  <c r="DN7" i="14"/>
  <c r="DM7" i="14"/>
  <c r="DL7" i="14"/>
  <c r="DK7" i="14"/>
  <c r="DJ7" i="14"/>
  <c r="DI7" i="14"/>
  <c r="DH7" i="14"/>
  <c r="DG7" i="14"/>
  <c r="DF7" i="14"/>
  <c r="DE7" i="14"/>
  <c r="DD7" i="14"/>
  <c r="DC7" i="14"/>
  <c r="DB7" i="14"/>
  <c r="DA7" i="14"/>
  <c r="CZ7" i="14"/>
  <c r="CB7" i="14"/>
  <c r="CA7" i="14"/>
  <c r="BZ7" i="14"/>
  <c r="BY7" i="14"/>
  <c r="BX7" i="14"/>
  <c r="BW7" i="14"/>
  <c r="BV7" i="14"/>
  <c r="BU7" i="14"/>
  <c r="BT7" i="14"/>
  <c r="BS7" i="14"/>
  <c r="BR7" i="14"/>
  <c r="BQ7" i="14"/>
  <c r="BP7" i="14"/>
  <c r="BO7" i="14"/>
  <c r="BN7" i="14"/>
  <c r="BM7" i="14"/>
  <c r="AO70" i="14"/>
  <c r="AN70" i="14"/>
  <c r="AM70" i="14"/>
  <c r="AL70" i="14"/>
  <c r="AK70" i="14"/>
  <c r="AJ70" i="14"/>
  <c r="AI70" i="14"/>
  <c r="AO86" i="14"/>
  <c r="AN86" i="14"/>
  <c r="AM86" i="14"/>
  <c r="AL86" i="14"/>
  <c r="AK86" i="14"/>
  <c r="AJ86" i="14"/>
  <c r="AI86" i="14"/>
  <c r="AH86" i="14"/>
  <c r="AG86" i="14"/>
  <c r="AF86" i="14"/>
  <c r="AE86" i="14"/>
  <c r="AD86" i="14"/>
  <c r="AC86" i="14"/>
  <c r="AB86" i="14"/>
  <c r="AA86" i="14"/>
  <c r="Z86" i="14"/>
  <c r="AO83" i="14"/>
  <c r="AN83" i="14"/>
  <c r="AM83" i="14"/>
  <c r="AL83" i="14"/>
  <c r="AK83" i="14"/>
  <c r="AJ83" i="14"/>
  <c r="AI83" i="14"/>
  <c r="AH83" i="14"/>
  <c r="AG83" i="14"/>
  <c r="AF83" i="14"/>
  <c r="AE83" i="14"/>
  <c r="AD83" i="14"/>
  <c r="AC83" i="14"/>
  <c r="AB83" i="14"/>
  <c r="AA83" i="14"/>
  <c r="Z83" i="14"/>
  <c r="AO80" i="14"/>
  <c r="AN80" i="14"/>
  <c r="AM80" i="14"/>
  <c r="AL80" i="14"/>
  <c r="AK80" i="14"/>
  <c r="AJ80" i="14"/>
  <c r="AI80" i="14"/>
  <c r="AH80" i="14"/>
  <c r="AG80" i="14"/>
  <c r="AF80" i="14"/>
  <c r="AE80" i="14"/>
  <c r="AD80" i="14"/>
  <c r="AC80" i="14"/>
  <c r="AB80" i="14"/>
  <c r="AA80" i="14"/>
  <c r="Z80" i="14"/>
  <c r="AO79" i="14"/>
  <c r="AN79" i="14"/>
  <c r="AM79" i="14"/>
  <c r="AL79" i="14"/>
  <c r="AK79" i="14"/>
  <c r="AJ79" i="14"/>
  <c r="AI79" i="14"/>
  <c r="AH79" i="14"/>
  <c r="AG79" i="14"/>
  <c r="AF79" i="14"/>
  <c r="AE79" i="14"/>
  <c r="AD79" i="14"/>
  <c r="AC79" i="14"/>
  <c r="AB79" i="14"/>
  <c r="AA79" i="14"/>
  <c r="Z79" i="14"/>
  <c r="AO78" i="14"/>
  <c r="AN78" i="14"/>
  <c r="AM78" i="14"/>
  <c r="AL78" i="14"/>
  <c r="AK78" i="14"/>
  <c r="AJ78" i="14"/>
  <c r="AI78" i="14"/>
  <c r="AH78" i="14"/>
  <c r="AG78" i="14"/>
  <c r="AF78" i="14"/>
  <c r="AE78" i="14"/>
  <c r="AD78" i="14"/>
  <c r="AC78" i="14"/>
  <c r="AB78" i="14"/>
  <c r="AA78" i="14"/>
  <c r="Z78" i="14"/>
  <c r="AO77" i="14"/>
  <c r="AN77" i="14"/>
  <c r="AM77" i="14"/>
  <c r="AL77" i="14"/>
  <c r="AK77" i="14"/>
  <c r="AJ77" i="14"/>
  <c r="AI77" i="14"/>
  <c r="AH77" i="14"/>
  <c r="AG77" i="14"/>
  <c r="AF77" i="14"/>
  <c r="AE77" i="14"/>
  <c r="AD77" i="14"/>
  <c r="AC77" i="14"/>
  <c r="AB77" i="14"/>
  <c r="AA77" i="14"/>
  <c r="Z77" i="14"/>
  <c r="AO76" i="14"/>
  <c r="AN76" i="14"/>
  <c r="AM76" i="14"/>
  <c r="AL76" i="14"/>
  <c r="AK76" i="14"/>
  <c r="AJ76" i="14"/>
  <c r="AI76" i="14"/>
  <c r="AH76" i="14"/>
  <c r="AG76" i="14"/>
  <c r="AF76" i="14"/>
  <c r="AE76" i="14"/>
  <c r="AD76" i="14"/>
  <c r="AC76" i="14"/>
  <c r="AB76" i="14"/>
  <c r="AA76" i="14"/>
  <c r="Z76" i="14"/>
  <c r="AO75" i="14"/>
  <c r="AN75" i="14"/>
  <c r="AM75" i="14"/>
  <c r="AL75" i="14"/>
  <c r="AK75" i="14"/>
  <c r="AJ75" i="14"/>
  <c r="AI75" i="14"/>
  <c r="AH75" i="14"/>
  <c r="AG75" i="14"/>
  <c r="AF75" i="14"/>
  <c r="AE75" i="14"/>
  <c r="AD75" i="14"/>
  <c r="AC75" i="14"/>
  <c r="AB75" i="14"/>
  <c r="AA75" i="14"/>
  <c r="Z75" i="14"/>
  <c r="AO73" i="14"/>
  <c r="AN73" i="14"/>
  <c r="AM73" i="14"/>
  <c r="AL73" i="14"/>
  <c r="AK73" i="14"/>
  <c r="AJ73" i="14"/>
  <c r="AI73" i="14"/>
  <c r="AH73" i="14"/>
  <c r="AG73" i="14"/>
  <c r="AF73" i="14"/>
  <c r="AE73" i="14"/>
  <c r="AD73" i="14"/>
  <c r="AC73" i="14"/>
  <c r="AB73" i="14"/>
  <c r="AA73" i="14"/>
  <c r="Z73" i="14"/>
  <c r="AO72" i="14"/>
  <c r="AN72" i="14"/>
  <c r="AM72" i="14"/>
  <c r="AL72" i="14"/>
  <c r="AK72" i="14"/>
  <c r="AJ72" i="14"/>
  <c r="AI72" i="14"/>
  <c r="AH72" i="14"/>
  <c r="AG72" i="14"/>
  <c r="AF72" i="14"/>
  <c r="AE72" i="14"/>
  <c r="AD72" i="14"/>
  <c r="AC72" i="14"/>
  <c r="AB72" i="14"/>
  <c r="AA72" i="14"/>
  <c r="Z72" i="14"/>
  <c r="AO71" i="14"/>
  <c r="AN71" i="14"/>
  <c r="AM71" i="14"/>
  <c r="AL71" i="14"/>
  <c r="AK71" i="14"/>
  <c r="AJ71" i="14"/>
  <c r="AI71" i="14"/>
  <c r="AH71" i="14"/>
  <c r="AG71" i="14"/>
  <c r="AF71" i="14"/>
  <c r="AE71" i="14"/>
  <c r="AD71" i="14"/>
  <c r="AC71" i="14"/>
  <c r="AB71" i="14"/>
  <c r="AA71" i="14"/>
  <c r="Z71" i="14"/>
  <c r="AO66" i="14"/>
  <c r="AN66" i="14"/>
  <c r="AM66" i="14"/>
  <c r="AL66" i="14"/>
  <c r="AK66" i="14"/>
  <c r="AJ66" i="14"/>
  <c r="AI66" i="14"/>
  <c r="AH66" i="14"/>
  <c r="AG66" i="14"/>
  <c r="AF66" i="14"/>
  <c r="AE66" i="14"/>
  <c r="AD66" i="14"/>
  <c r="AC66" i="14"/>
  <c r="AB66" i="14"/>
  <c r="AA66" i="14"/>
  <c r="Z66" i="14"/>
  <c r="AO65" i="14"/>
  <c r="AN65" i="14"/>
  <c r="AM65" i="14"/>
  <c r="AL65" i="14"/>
  <c r="AK65" i="14"/>
  <c r="AJ65" i="14"/>
  <c r="AI65" i="14"/>
  <c r="AH65" i="14"/>
  <c r="AG65" i="14"/>
  <c r="AF65" i="14"/>
  <c r="AE65" i="14"/>
  <c r="AD65" i="14"/>
  <c r="AC65" i="14"/>
  <c r="AB65" i="14"/>
  <c r="AA65" i="14"/>
  <c r="Z65" i="14"/>
  <c r="AO59" i="14"/>
  <c r="AN59" i="14"/>
  <c r="AM59" i="14"/>
  <c r="AL59" i="14"/>
  <c r="AK59" i="14"/>
  <c r="AJ59" i="14"/>
  <c r="AI59" i="14"/>
  <c r="AH59" i="14"/>
  <c r="AG59" i="14"/>
  <c r="AF59" i="14"/>
  <c r="AE59" i="14"/>
  <c r="AD59" i="14"/>
  <c r="AC59" i="14"/>
  <c r="AB59" i="14"/>
  <c r="AA59" i="14"/>
  <c r="Z59" i="14"/>
  <c r="AO58" i="14"/>
  <c r="AN58" i="14"/>
  <c r="AM58" i="14"/>
  <c r="AL58" i="14"/>
  <c r="AK58" i="14"/>
  <c r="AJ58" i="14"/>
  <c r="AI58" i="14"/>
  <c r="AH58" i="14"/>
  <c r="AG58" i="14"/>
  <c r="AF58" i="14"/>
  <c r="AE58" i="14"/>
  <c r="AD58" i="14"/>
  <c r="AC58" i="14"/>
  <c r="AB58" i="14"/>
  <c r="AA58" i="14"/>
  <c r="Z58" i="14"/>
  <c r="AO56" i="14"/>
  <c r="AN56" i="14"/>
  <c r="AM56" i="14"/>
  <c r="AL56" i="14"/>
  <c r="AK56" i="14"/>
  <c r="AJ56" i="14"/>
  <c r="AI56" i="14"/>
  <c r="AH56" i="14"/>
  <c r="AG56" i="14"/>
  <c r="AF56" i="14"/>
  <c r="AE56" i="14"/>
  <c r="AD56" i="14"/>
  <c r="AC56" i="14"/>
  <c r="AB56" i="14"/>
  <c r="AA56" i="14"/>
  <c r="Z56" i="14"/>
  <c r="AO51" i="14"/>
  <c r="AN51" i="14"/>
  <c r="AM51" i="14"/>
  <c r="AL51" i="14"/>
  <c r="AK51" i="14"/>
  <c r="AJ51" i="14"/>
  <c r="AI51" i="14"/>
  <c r="AH51" i="14"/>
  <c r="AG51" i="14"/>
  <c r="AF51" i="14"/>
  <c r="AE51" i="14"/>
  <c r="AD51" i="14"/>
  <c r="AC51" i="14"/>
  <c r="AB51" i="14"/>
  <c r="AA51" i="14"/>
  <c r="Z51" i="14"/>
  <c r="AO50" i="14"/>
  <c r="AN50" i="14"/>
  <c r="AM50" i="14"/>
  <c r="AL50" i="14"/>
  <c r="AK50" i="14"/>
  <c r="AJ50" i="14"/>
  <c r="AI50" i="14"/>
  <c r="AH50" i="14"/>
  <c r="AG50" i="14"/>
  <c r="AF50" i="14"/>
  <c r="AE50" i="14"/>
  <c r="AD50" i="14"/>
  <c r="AC50" i="14"/>
  <c r="AB50" i="14"/>
  <c r="AA50" i="14"/>
  <c r="Z50" i="14"/>
  <c r="AO48" i="14"/>
  <c r="AN48" i="14"/>
  <c r="AM48" i="14"/>
  <c r="AL48" i="14"/>
  <c r="AK48" i="14"/>
  <c r="AJ48" i="14"/>
  <c r="AI48" i="14"/>
  <c r="AH48" i="14"/>
  <c r="AG48" i="14"/>
  <c r="AF48" i="14"/>
  <c r="AE48" i="14"/>
  <c r="AD48" i="14"/>
  <c r="AC48" i="14"/>
  <c r="AB48" i="14"/>
  <c r="AA48" i="14"/>
  <c r="Z48" i="14"/>
  <c r="AO46" i="14"/>
  <c r="AN46" i="14"/>
  <c r="AM46" i="14"/>
  <c r="AL46" i="14"/>
  <c r="AK46" i="14"/>
  <c r="AJ46" i="14"/>
  <c r="AI46" i="14"/>
  <c r="AH46" i="14"/>
  <c r="AG46" i="14"/>
  <c r="AF46" i="14"/>
  <c r="AE46" i="14"/>
  <c r="AD46" i="14"/>
  <c r="AC46" i="14"/>
  <c r="AB46" i="14"/>
  <c r="AA46" i="14"/>
  <c r="Z46" i="14"/>
  <c r="AO43" i="14"/>
  <c r="AN43" i="14"/>
  <c r="AM43" i="14"/>
  <c r="AL43" i="14"/>
  <c r="AK43" i="14"/>
  <c r="AJ43" i="14"/>
  <c r="AI43" i="14"/>
  <c r="AH43" i="14"/>
  <c r="AG43" i="14"/>
  <c r="AF43" i="14"/>
  <c r="AE43" i="14"/>
  <c r="AD43" i="14"/>
  <c r="AC43" i="14"/>
  <c r="AB43" i="14"/>
  <c r="AA43" i="14"/>
  <c r="Z43" i="14"/>
  <c r="AO42" i="14"/>
  <c r="AN42" i="14"/>
  <c r="AM42" i="14"/>
  <c r="AL42" i="14"/>
  <c r="AK42" i="14"/>
  <c r="AJ42" i="14"/>
  <c r="AI42" i="14"/>
  <c r="AH42" i="14"/>
  <c r="AG42" i="14"/>
  <c r="AF42" i="14"/>
  <c r="AE42" i="14"/>
  <c r="AD42" i="14"/>
  <c r="AC42" i="14"/>
  <c r="AB42" i="14"/>
  <c r="AA42" i="14"/>
  <c r="Z42" i="14"/>
  <c r="AO41" i="14"/>
  <c r="AN41" i="14"/>
  <c r="AM41" i="14"/>
  <c r="AL41" i="14"/>
  <c r="AK41" i="14"/>
  <c r="AJ41" i="14"/>
  <c r="AI41" i="14"/>
  <c r="AH41" i="14"/>
  <c r="AG41" i="14"/>
  <c r="AF41" i="14"/>
  <c r="AE41" i="14"/>
  <c r="AD41" i="14"/>
  <c r="AC41" i="14"/>
  <c r="AB41" i="14"/>
  <c r="AA41" i="14"/>
  <c r="Z41" i="14"/>
  <c r="AO33" i="14"/>
  <c r="AN33" i="14"/>
  <c r="AM33" i="14"/>
  <c r="AL33" i="14"/>
  <c r="AK33" i="14"/>
  <c r="AJ33" i="14"/>
  <c r="AI33" i="14"/>
  <c r="AH33" i="14"/>
  <c r="AG33" i="14"/>
  <c r="AF33" i="14"/>
  <c r="AE33" i="14"/>
  <c r="AD33" i="14"/>
  <c r="AC33" i="14"/>
  <c r="AB33" i="14"/>
  <c r="AA33" i="14"/>
  <c r="Z33" i="14"/>
  <c r="AO32" i="14"/>
  <c r="AN32" i="14"/>
  <c r="AM32" i="14"/>
  <c r="AL32" i="14"/>
  <c r="AK32" i="14"/>
  <c r="AJ32" i="14"/>
  <c r="AI32" i="14"/>
  <c r="AH32" i="14"/>
  <c r="AG32" i="14"/>
  <c r="AF32" i="14"/>
  <c r="AE32" i="14"/>
  <c r="AD32" i="14"/>
  <c r="AC32" i="14"/>
  <c r="AB32" i="14"/>
  <c r="AA32" i="14"/>
  <c r="Z32" i="14"/>
  <c r="AO30" i="14"/>
  <c r="AN30" i="14"/>
  <c r="AM30" i="14"/>
  <c r="AL30" i="14"/>
  <c r="AK30" i="14"/>
  <c r="AJ30" i="14"/>
  <c r="AI30" i="14"/>
  <c r="AH30" i="14"/>
  <c r="AG30" i="14"/>
  <c r="AF30" i="14"/>
  <c r="AE30" i="14"/>
  <c r="AD30" i="14"/>
  <c r="AC30" i="14"/>
  <c r="AB30" i="14"/>
  <c r="AA30" i="14"/>
  <c r="Z30" i="14"/>
  <c r="AO24" i="14"/>
  <c r="AN24" i="14"/>
  <c r="AM24" i="14"/>
  <c r="AL24" i="14"/>
  <c r="AK24" i="14"/>
  <c r="AJ24" i="14"/>
  <c r="AI24" i="14"/>
  <c r="AH24" i="14"/>
  <c r="AG24" i="14"/>
  <c r="AF24" i="14"/>
  <c r="AE24" i="14"/>
  <c r="AD24" i="14"/>
  <c r="AC24" i="14"/>
  <c r="AB24" i="14"/>
  <c r="AA24" i="14"/>
  <c r="Z24" i="14"/>
  <c r="AO21" i="14"/>
  <c r="AN21" i="14"/>
  <c r="AM21" i="14"/>
  <c r="AL21" i="14"/>
  <c r="AK21" i="14"/>
  <c r="AJ21" i="14"/>
  <c r="AI21" i="14"/>
  <c r="AH21" i="14"/>
  <c r="AG21" i="14"/>
  <c r="AF21" i="14"/>
  <c r="AE21" i="14"/>
  <c r="AD21" i="14"/>
  <c r="AC21" i="14"/>
  <c r="AB21" i="14"/>
  <c r="AA21" i="14"/>
  <c r="Z21" i="14"/>
  <c r="AO17" i="14"/>
  <c r="AN17" i="14"/>
  <c r="AM17" i="14"/>
  <c r="AL17" i="14"/>
  <c r="AK17" i="14"/>
  <c r="AJ17" i="14"/>
  <c r="AI17" i="14"/>
  <c r="AH17" i="14"/>
  <c r="AG17" i="14"/>
  <c r="AF17" i="14"/>
  <c r="AE17" i="14"/>
  <c r="AD17" i="14"/>
  <c r="AC17" i="14"/>
  <c r="AB17" i="14"/>
  <c r="AA17" i="14"/>
  <c r="Z17" i="14"/>
  <c r="AO16" i="14"/>
  <c r="AN16" i="14"/>
  <c r="AM16" i="14"/>
  <c r="AL16" i="14"/>
  <c r="AK16" i="14"/>
  <c r="AJ16" i="14"/>
  <c r="AI16" i="14"/>
  <c r="AH16" i="14"/>
  <c r="AG16" i="14"/>
  <c r="AF16" i="14"/>
  <c r="AE16" i="14"/>
  <c r="AD16" i="14"/>
  <c r="AC16" i="14"/>
  <c r="AB16" i="14"/>
  <c r="AA16" i="14"/>
  <c r="Z16" i="14"/>
  <c r="AO15" i="14"/>
  <c r="AN15" i="14"/>
  <c r="AM15" i="14"/>
  <c r="AL15" i="14"/>
  <c r="AK15" i="14"/>
  <c r="AJ15" i="14"/>
  <c r="AI15" i="14"/>
  <c r="AH15" i="14"/>
  <c r="AG15" i="14"/>
  <c r="AF15" i="14"/>
  <c r="AE15" i="14"/>
  <c r="AD15" i="14"/>
  <c r="AC15" i="14"/>
  <c r="AB15" i="14"/>
  <c r="AA15" i="14"/>
  <c r="Z15" i="14"/>
  <c r="AO14" i="14"/>
  <c r="AN14" i="14"/>
  <c r="AM14" i="14"/>
  <c r="AL14" i="14"/>
  <c r="AK14" i="14"/>
  <c r="AJ14" i="14"/>
  <c r="AI14" i="14"/>
  <c r="AH14" i="14"/>
  <c r="AG14" i="14"/>
  <c r="AF14" i="14"/>
  <c r="AE14" i="14"/>
  <c r="AD14" i="14"/>
  <c r="AC14" i="14"/>
  <c r="AB14" i="14"/>
  <c r="AA14" i="14"/>
  <c r="Z14" i="14"/>
  <c r="AO10" i="14"/>
  <c r="AN10" i="14"/>
  <c r="AM10" i="14"/>
  <c r="AL10" i="14"/>
  <c r="AK10" i="14"/>
  <c r="AJ10" i="14"/>
  <c r="AI10" i="14"/>
  <c r="AH10" i="14"/>
  <c r="AG10" i="14"/>
  <c r="AF10" i="14"/>
  <c r="AE10" i="14"/>
  <c r="AD10" i="14"/>
  <c r="AC10" i="14"/>
  <c r="AB10" i="14"/>
  <c r="AA10" i="14"/>
  <c r="Z10" i="14"/>
  <c r="AO9" i="14"/>
  <c r="AN9" i="14"/>
  <c r="AM9" i="14"/>
  <c r="AL9" i="14"/>
  <c r="AK9" i="14"/>
  <c r="AJ9" i="14"/>
  <c r="AI9" i="14"/>
  <c r="AH9" i="14"/>
  <c r="AG9" i="14"/>
  <c r="AF9" i="14"/>
  <c r="AE9" i="14"/>
  <c r="AD9" i="14"/>
  <c r="AC9" i="14"/>
  <c r="AB9" i="14"/>
  <c r="AA9" i="14"/>
  <c r="Z9" i="14"/>
  <c r="AO7" i="14"/>
  <c r="AN7" i="14"/>
  <c r="AM7" i="14"/>
  <c r="AL7" i="14"/>
  <c r="AK7" i="14"/>
  <c r="AJ7" i="14"/>
  <c r="AI7" i="14"/>
  <c r="AH7" i="14"/>
  <c r="AG7" i="14"/>
  <c r="AF7" i="14"/>
  <c r="AE7" i="14"/>
  <c r="AD7" i="14"/>
  <c r="AC7" i="14"/>
  <c r="AB7" i="14"/>
  <c r="AA7" i="14"/>
  <c r="Z7" i="14"/>
  <c r="J96" i="24" l="1"/>
  <c r="DO192" i="14" l="1"/>
  <c r="DN192" i="14"/>
  <c r="DM192" i="14"/>
  <c r="DL192" i="14"/>
  <c r="DK192" i="14"/>
  <c r="DJ192" i="14"/>
  <c r="DI192" i="14"/>
  <c r="DH192" i="14"/>
  <c r="DG192" i="14"/>
  <c r="DF192" i="14"/>
  <c r="DE192" i="14"/>
  <c r="DD192" i="14"/>
  <c r="DC192" i="14"/>
  <c r="DB192" i="14"/>
  <c r="DA192" i="14"/>
  <c r="CZ192" i="14"/>
  <c r="CY192" i="14"/>
  <c r="CY191" i="14"/>
  <c r="DO188" i="14"/>
  <c r="DN188" i="14"/>
  <c r="DM188" i="14"/>
  <c r="DL188" i="14"/>
  <c r="DK188" i="14"/>
  <c r="DJ188" i="14"/>
  <c r="DI188" i="14"/>
  <c r="DH188" i="14"/>
  <c r="DG188" i="14"/>
  <c r="DF188" i="14"/>
  <c r="DE188" i="14"/>
  <c r="DD188" i="14"/>
  <c r="DC188" i="14"/>
  <c r="DB188" i="14"/>
  <c r="DA188" i="14"/>
  <c r="CZ188" i="14"/>
  <c r="CY188" i="14"/>
  <c r="CY187" i="14"/>
  <c r="DP184" i="14"/>
  <c r="DO184" i="14"/>
  <c r="DN184" i="14"/>
  <c r="DM184" i="14"/>
  <c r="DL184" i="14"/>
  <c r="DK184" i="14"/>
  <c r="DJ184" i="14"/>
  <c r="DI184" i="14"/>
  <c r="DH184" i="14"/>
  <c r="DG184" i="14"/>
  <c r="DF184" i="14"/>
  <c r="DE184" i="14"/>
  <c r="DD184" i="14"/>
  <c r="DC184" i="14"/>
  <c r="DB184" i="14"/>
  <c r="DA184" i="14"/>
  <c r="CZ184" i="14"/>
  <c r="CY184" i="14"/>
  <c r="DP183" i="14"/>
  <c r="DO183" i="14"/>
  <c r="DN183" i="14"/>
  <c r="DM183" i="14"/>
  <c r="DL183" i="14"/>
  <c r="DK183" i="14"/>
  <c r="DJ183" i="14"/>
  <c r="DI183" i="14"/>
  <c r="DH183" i="14"/>
  <c r="DG183" i="14"/>
  <c r="DF183" i="14"/>
  <c r="DE183" i="14"/>
  <c r="DD183" i="14"/>
  <c r="DC183" i="14"/>
  <c r="DB183" i="14"/>
  <c r="DA183" i="14"/>
  <c r="CZ183" i="14"/>
  <c r="CY183" i="14"/>
  <c r="DP179" i="14"/>
  <c r="DO179" i="14"/>
  <c r="DN179" i="14"/>
  <c r="DM179" i="14"/>
  <c r="DL179" i="14"/>
  <c r="DK179" i="14"/>
  <c r="DJ179" i="14"/>
  <c r="DI179" i="14"/>
  <c r="DH179" i="14"/>
  <c r="DG179" i="14"/>
  <c r="DF179" i="14"/>
  <c r="DE179" i="14"/>
  <c r="DD179" i="14"/>
  <c r="DC179" i="14"/>
  <c r="DB179" i="14"/>
  <c r="DA179" i="14"/>
  <c r="CZ179" i="14"/>
  <c r="CY179" i="14"/>
  <c r="DP178" i="14"/>
  <c r="DO178" i="14"/>
  <c r="DN178" i="14"/>
  <c r="DM178" i="14"/>
  <c r="DL178" i="14"/>
  <c r="DK178" i="14"/>
  <c r="DJ178" i="14"/>
  <c r="DI178" i="14"/>
  <c r="DH178" i="14"/>
  <c r="DG178" i="14"/>
  <c r="DF178" i="14"/>
  <c r="DE178" i="14"/>
  <c r="DD178" i="14"/>
  <c r="DC178" i="14"/>
  <c r="DB178" i="14"/>
  <c r="DA178" i="14"/>
  <c r="CZ178" i="14"/>
  <c r="CY178" i="14"/>
  <c r="DE177" i="14"/>
  <c r="DP176" i="14"/>
  <c r="DO176" i="14"/>
  <c r="DN176" i="14"/>
  <c r="DM176" i="14"/>
  <c r="DL176" i="14"/>
  <c r="DK176" i="14"/>
  <c r="DJ176" i="14"/>
  <c r="DI176" i="14"/>
  <c r="DH176" i="14"/>
  <c r="DG176" i="14"/>
  <c r="DF176" i="14"/>
  <c r="DE176" i="14"/>
  <c r="DD176" i="14"/>
  <c r="DC176" i="14"/>
  <c r="DB176" i="14"/>
  <c r="DA176" i="14"/>
  <c r="CZ176" i="14"/>
  <c r="CY176" i="14"/>
  <c r="DP175" i="14"/>
  <c r="DO175" i="14"/>
  <c r="DN175" i="14"/>
  <c r="DM175" i="14"/>
  <c r="DL175" i="14"/>
  <c r="DK175" i="14"/>
  <c r="DJ175" i="14"/>
  <c r="DI175" i="14"/>
  <c r="DH175" i="14"/>
  <c r="DG175" i="14"/>
  <c r="DF175" i="14"/>
  <c r="DE175" i="14"/>
  <c r="DD175" i="14"/>
  <c r="DC175" i="14"/>
  <c r="DB175" i="14"/>
  <c r="DA175" i="14"/>
  <c r="CZ175" i="14"/>
  <c r="CY175" i="14"/>
  <c r="DP168" i="14"/>
  <c r="DO168" i="14"/>
  <c r="DN168" i="14"/>
  <c r="DM168" i="14"/>
  <c r="DL168" i="14"/>
  <c r="DK168" i="14"/>
  <c r="DJ168" i="14"/>
  <c r="DI168" i="14"/>
  <c r="DH168" i="14"/>
  <c r="DG168" i="14"/>
  <c r="DF168" i="14"/>
  <c r="DE168" i="14"/>
  <c r="DD168" i="14"/>
  <c r="DC168" i="14"/>
  <c r="DB168" i="14"/>
  <c r="DA168" i="14"/>
  <c r="CZ168" i="14"/>
  <c r="CY168" i="14"/>
  <c r="DO167" i="14"/>
  <c r="DN167" i="14"/>
  <c r="DM167" i="14"/>
  <c r="DL167" i="14"/>
  <c r="DK167" i="14"/>
  <c r="DJ167" i="14"/>
  <c r="DI167" i="14"/>
  <c r="DH167" i="14"/>
  <c r="DG167" i="14"/>
  <c r="DF167" i="14"/>
  <c r="DE167" i="14"/>
  <c r="DD167" i="14"/>
  <c r="DC167" i="14"/>
  <c r="DB167" i="14"/>
  <c r="DA167" i="14"/>
  <c r="CZ167" i="14"/>
  <c r="CY167" i="14"/>
  <c r="DP160" i="14"/>
  <c r="DO160" i="14"/>
  <c r="DN160" i="14"/>
  <c r="DL160" i="14"/>
  <c r="DK160" i="14"/>
  <c r="DJ160" i="14"/>
  <c r="DI160" i="14"/>
  <c r="DH160" i="14"/>
  <c r="DG160" i="14"/>
  <c r="DF160" i="14"/>
  <c r="DE160" i="14"/>
  <c r="DD160" i="14"/>
  <c r="DC160" i="14"/>
  <c r="DB160" i="14"/>
  <c r="DA160" i="14"/>
  <c r="CZ160" i="14"/>
  <c r="CY160" i="14"/>
  <c r="DP159" i="14"/>
  <c r="DO159" i="14"/>
  <c r="DN159" i="14"/>
  <c r="DM159" i="14"/>
  <c r="DL159" i="14"/>
  <c r="DK159" i="14"/>
  <c r="DJ159" i="14"/>
  <c r="DI159" i="14"/>
  <c r="DH159" i="14"/>
  <c r="DG159" i="14"/>
  <c r="DF159" i="14"/>
  <c r="DE159" i="14"/>
  <c r="DD159" i="14"/>
  <c r="DC159" i="14"/>
  <c r="DB159" i="14"/>
  <c r="DA159" i="14"/>
  <c r="CZ159" i="14"/>
  <c r="CY159" i="14"/>
  <c r="DP158" i="14"/>
  <c r="DO158" i="14"/>
  <c r="DN158" i="14"/>
  <c r="DM158" i="14"/>
  <c r="DL158" i="14"/>
  <c r="DK158" i="14"/>
  <c r="DJ158" i="14"/>
  <c r="DI158" i="14"/>
  <c r="DH158" i="14"/>
  <c r="DG158" i="14"/>
  <c r="DF158" i="14"/>
  <c r="DE158" i="14"/>
  <c r="DD158" i="14"/>
  <c r="DC158" i="14"/>
  <c r="DB158" i="14"/>
  <c r="DA158" i="14"/>
  <c r="CZ158" i="14"/>
  <c r="CY158" i="14"/>
  <c r="DP157" i="14"/>
  <c r="DO157" i="14"/>
  <c r="DN157" i="14"/>
  <c r="DM157" i="14"/>
  <c r="DL157" i="14"/>
  <c r="DK157" i="14"/>
  <c r="DJ157" i="14"/>
  <c r="DI157" i="14"/>
  <c r="DH157" i="14"/>
  <c r="DG157" i="14"/>
  <c r="DF157" i="14"/>
  <c r="DE157" i="14"/>
  <c r="DD157" i="14"/>
  <c r="DC157" i="14"/>
  <c r="DB157" i="14"/>
  <c r="DA157" i="14"/>
  <c r="CZ157" i="14"/>
  <c r="CY157" i="14"/>
  <c r="DP154" i="14"/>
  <c r="DP153" i="14" s="1"/>
  <c r="DO154" i="14"/>
  <c r="DO153" i="14" s="1"/>
  <c r="DN154" i="14"/>
  <c r="DN153" i="14" s="1"/>
  <c r="DM154" i="14"/>
  <c r="DM153" i="14" s="1"/>
  <c r="DL154" i="14"/>
  <c r="DL153" i="14" s="1"/>
  <c r="DK154" i="14"/>
  <c r="DK153" i="14" s="1"/>
  <c r="DJ154" i="14"/>
  <c r="DJ153" i="14" s="1"/>
  <c r="DI154" i="14"/>
  <c r="DI153" i="14" s="1"/>
  <c r="DH154" i="14"/>
  <c r="DH153" i="14" s="1"/>
  <c r="DG154" i="14"/>
  <c r="DG153" i="14" s="1"/>
  <c r="DF154" i="14"/>
  <c r="DF153" i="14" s="1"/>
  <c r="DE154" i="14"/>
  <c r="DE153" i="14" s="1"/>
  <c r="DD154" i="14"/>
  <c r="DD153" i="14" s="1"/>
  <c r="DC154" i="14"/>
  <c r="DC153" i="14" s="1"/>
  <c r="DB154" i="14"/>
  <c r="DB153" i="14" s="1"/>
  <c r="DA154" i="14"/>
  <c r="DA153" i="14" s="1"/>
  <c r="CZ154" i="14"/>
  <c r="CZ153" i="14" s="1"/>
  <c r="CY154" i="14"/>
  <c r="CY153" i="14" s="1"/>
  <c r="DP150" i="14"/>
  <c r="DO150" i="14"/>
  <c r="DN150" i="14"/>
  <c r="DM150" i="14"/>
  <c r="DL150" i="14"/>
  <c r="DK150" i="14"/>
  <c r="DJ150" i="14"/>
  <c r="DI150" i="14"/>
  <c r="DH150" i="14"/>
  <c r="DG150" i="14"/>
  <c r="DF150" i="14"/>
  <c r="DE150" i="14"/>
  <c r="DD150" i="14"/>
  <c r="DC150" i="14"/>
  <c r="DB150" i="14"/>
  <c r="DA150" i="14"/>
  <c r="CZ150" i="14"/>
  <c r="CY150" i="14"/>
  <c r="DP149" i="14"/>
  <c r="DO149" i="14"/>
  <c r="DN149" i="14"/>
  <c r="DM149" i="14"/>
  <c r="DL149" i="14"/>
  <c r="DK149" i="14"/>
  <c r="DJ149" i="14"/>
  <c r="DI149" i="14"/>
  <c r="DH149" i="14"/>
  <c r="DG149" i="14"/>
  <c r="DF149" i="14"/>
  <c r="DE149" i="14"/>
  <c r="DD149" i="14"/>
  <c r="DC149" i="14"/>
  <c r="DB149" i="14"/>
  <c r="DA149" i="14"/>
  <c r="CZ149" i="14"/>
  <c r="CY149" i="14"/>
  <c r="DP144" i="14"/>
  <c r="DP143" i="14" s="1"/>
  <c r="DO144" i="14"/>
  <c r="DO143" i="14" s="1"/>
  <c r="DN144" i="14"/>
  <c r="DN143" i="14" s="1"/>
  <c r="DM144" i="14"/>
  <c r="DM143" i="14" s="1"/>
  <c r="DL144" i="14"/>
  <c r="DL143" i="14" s="1"/>
  <c r="DK144" i="14"/>
  <c r="DK143" i="14" s="1"/>
  <c r="DJ144" i="14"/>
  <c r="DJ143" i="14" s="1"/>
  <c r="DI144" i="14"/>
  <c r="DI143" i="14" s="1"/>
  <c r="DH144" i="14"/>
  <c r="DH143" i="14" s="1"/>
  <c r="DG144" i="14"/>
  <c r="DG143" i="14" s="1"/>
  <c r="DF144" i="14"/>
  <c r="DF143" i="14" s="1"/>
  <c r="DE144" i="14"/>
  <c r="DE143" i="14" s="1"/>
  <c r="DD144" i="14"/>
  <c r="DD143" i="14" s="1"/>
  <c r="DC144" i="14"/>
  <c r="DC143" i="14" s="1"/>
  <c r="DB144" i="14"/>
  <c r="DB143" i="14" s="1"/>
  <c r="DA144" i="14"/>
  <c r="DA143" i="14" s="1"/>
  <c r="CZ144" i="14"/>
  <c r="CZ143" i="14" s="1"/>
  <c r="CY144" i="14"/>
  <c r="CY143" i="14" s="1"/>
  <c r="DP141" i="14"/>
  <c r="DO141" i="14"/>
  <c r="DN141" i="14"/>
  <c r="DM141" i="14"/>
  <c r="DL141" i="14"/>
  <c r="DK141" i="14"/>
  <c r="DJ141" i="14"/>
  <c r="DI141" i="14"/>
  <c r="DH141" i="14"/>
  <c r="DG141" i="14"/>
  <c r="DF141" i="14"/>
  <c r="DE141" i="14"/>
  <c r="DD141" i="14"/>
  <c r="DC141" i="14"/>
  <c r="DB141" i="14"/>
  <c r="DA141" i="14"/>
  <c r="CZ141" i="14"/>
  <c r="CY141" i="14"/>
  <c r="DP140" i="14"/>
  <c r="DO140" i="14"/>
  <c r="DN140" i="14"/>
  <c r="DM140" i="14"/>
  <c r="DL140" i="14"/>
  <c r="DK140" i="14"/>
  <c r="DJ140" i="14"/>
  <c r="DI140" i="14"/>
  <c r="DH140" i="14"/>
  <c r="DG140" i="14"/>
  <c r="DF140" i="14"/>
  <c r="DE140" i="14"/>
  <c r="DD140" i="14"/>
  <c r="DC140" i="14"/>
  <c r="DB140" i="14"/>
  <c r="DA140" i="14"/>
  <c r="CZ140" i="14"/>
  <c r="CY140" i="14"/>
  <c r="DP139" i="14"/>
  <c r="DO139" i="14"/>
  <c r="DN139" i="14"/>
  <c r="DM139" i="14"/>
  <c r="DL139" i="14"/>
  <c r="DK139" i="14"/>
  <c r="DJ139" i="14"/>
  <c r="DI139" i="14"/>
  <c r="DH139" i="14"/>
  <c r="DG139" i="14"/>
  <c r="DF139" i="14"/>
  <c r="DE139" i="14"/>
  <c r="DD139" i="14"/>
  <c r="DC139" i="14"/>
  <c r="DB139" i="14"/>
  <c r="DA139" i="14"/>
  <c r="CZ139" i="14"/>
  <c r="CY139" i="14"/>
  <c r="DP138" i="14"/>
  <c r="DO138" i="14"/>
  <c r="DN138" i="14"/>
  <c r="DM138" i="14"/>
  <c r="DL138" i="14"/>
  <c r="DK138" i="14"/>
  <c r="DJ138" i="14"/>
  <c r="DI138" i="14"/>
  <c r="DH138" i="14"/>
  <c r="DG138" i="14"/>
  <c r="DF138" i="14"/>
  <c r="DE138" i="14"/>
  <c r="DD138" i="14"/>
  <c r="DC138" i="14"/>
  <c r="DB138" i="14"/>
  <c r="DA138" i="14"/>
  <c r="CZ138" i="14"/>
  <c r="CY138" i="14"/>
  <c r="DP137" i="14"/>
  <c r="DO137" i="14"/>
  <c r="DN137" i="14"/>
  <c r="DM137" i="14"/>
  <c r="DL137" i="14"/>
  <c r="DK137" i="14"/>
  <c r="DJ137" i="14"/>
  <c r="DI137" i="14"/>
  <c r="DH137" i="14"/>
  <c r="DG137" i="14"/>
  <c r="DF137" i="14"/>
  <c r="DE137" i="14"/>
  <c r="DD137" i="14"/>
  <c r="DC137" i="14"/>
  <c r="DB137" i="14"/>
  <c r="DA137" i="14"/>
  <c r="CZ137" i="14"/>
  <c r="CY137" i="14"/>
  <c r="DP136" i="14"/>
  <c r="DO136" i="14"/>
  <c r="DN136" i="14"/>
  <c r="DM136" i="14"/>
  <c r="DL136" i="14"/>
  <c r="DK136" i="14"/>
  <c r="DJ136" i="14"/>
  <c r="DI136" i="14"/>
  <c r="DH136" i="14"/>
  <c r="DG136" i="14"/>
  <c r="DF136" i="14"/>
  <c r="DE136" i="14"/>
  <c r="DD136" i="14"/>
  <c r="DC136" i="14"/>
  <c r="DB136" i="14"/>
  <c r="DA136" i="14"/>
  <c r="CZ136" i="14"/>
  <c r="CY136" i="14"/>
  <c r="DP128" i="14"/>
  <c r="DO128" i="14"/>
  <c r="DN128" i="14"/>
  <c r="DM128" i="14"/>
  <c r="DL128" i="14"/>
  <c r="DK128" i="14"/>
  <c r="DJ128" i="14"/>
  <c r="DI128" i="14"/>
  <c r="DH128" i="14"/>
  <c r="DG128" i="14"/>
  <c r="DF128" i="14"/>
  <c r="DE128" i="14"/>
  <c r="DD128" i="14"/>
  <c r="DC128" i="14"/>
  <c r="DB128" i="14"/>
  <c r="DA128" i="14"/>
  <c r="CZ128" i="14"/>
  <c r="CY128" i="14"/>
  <c r="DP127" i="14"/>
  <c r="DO127" i="14"/>
  <c r="DN127" i="14"/>
  <c r="DM127" i="14"/>
  <c r="DL127" i="14"/>
  <c r="DK127" i="14"/>
  <c r="DJ127" i="14"/>
  <c r="DI127" i="14"/>
  <c r="DH127" i="14"/>
  <c r="DG127" i="14"/>
  <c r="DF127" i="14"/>
  <c r="DE127" i="14"/>
  <c r="DD127" i="14"/>
  <c r="DC127" i="14"/>
  <c r="DB127" i="14"/>
  <c r="DA127" i="14"/>
  <c r="CZ127" i="14"/>
  <c r="CY127" i="14"/>
  <c r="DP126" i="14"/>
  <c r="DO126" i="14"/>
  <c r="DN126" i="14"/>
  <c r="DM126" i="14"/>
  <c r="DL126" i="14"/>
  <c r="DK126" i="14"/>
  <c r="DJ126" i="14"/>
  <c r="DI126" i="14"/>
  <c r="DH126" i="14"/>
  <c r="DG126" i="14"/>
  <c r="DF126" i="14"/>
  <c r="DE126" i="14"/>
  <c r="DD126" i="14"/>
  <c r="DC126" i="14"/>
  <c r="DB126" i="14"/>
  <c r="DA126" i="14"/>
  <c r="CZ126" i="14"/>
  <c r="CY126" i="14"/>
  <c r="DP123" i="14"/>
  <c r="DP122" i="14" s="1"/>
  <c r="DO123" i="14"/>
  <c r="DO122" i="14" s="1"/>
  <c r="DN123" i="14"/>
  <c r="DN122" i="14" s="1"/>
  <c r="DM123" i="14"/>
  <c r="DM122" i="14" s="1"/>
  <c r="DL123" i="14"/>
  <c r="DL122" i="14" s="1"/>
  <c r="DK123" i="14"/>
  <c r="DK122" i="14" s="1"/>
  <c r="DJ123" i="14"/>
  <c r="DJ122" i="14" s="1"/>
  <c r="DI123" i="14"/>
  <c r="DI122" i="14" s="1"/>
  <c r="DH123" i="14"/>
  <c r="DH122" i="14" s="1"/>
  <c r="CZ123" i="14"/>
  <c r="CZ122" i="14" s="1"/>
  <c r="CY123" i="14"/>
  <c r="CY122" i="14" s="1"/>
  <c r="DP117" i="14"/>
  <c r="DO117" i="14"/>
  <c r="DN117" i="14"/>
  <c r="DM117" i="14"/>
  <c r="DL117" i="14"/>
  <c r="DK117" i="14"/>
  <c r="DJ117" i="14"/>
  <c r="DI117" i="14"/>
  <c r="DH117" i="14"/>
  <c r="DG117" i="14"/>
  <c r="DF117" i="14"/>
  <c r="DE117" i="14"/>
  <c r="DD117" i="14"/>
  <c r="DC117" i="14"/>
  <c r="DB117" i="14"/>
  <c r="DA117" i="14"/>
  <c r="CZ117" i="14"/>
  <c r="CY117" i="14"/>
  <c r="DP116" i="14"/>
  <c r="DO116" i="14"/>
  <c r="DN116" i="14"/>
  <c r="DM116" i="14"/>
  <c r="DL116" i="14"/>
  <c r="DK116" i="14"/>
  <c r="DJ116" i="14"/>
  <c r="DI116" i="14"/>
  <c r="DH116" i="14"/>
  <c r="DG116" i="14"/>
  <c r="DF116" i="14"/>
  <c r="DE116" i="14"/>
  <c r="DD116" i="14"/>
  <c r="DC116" i="14"/>
  <c r="DB116" i="14"/>
  <c r="DA116" i="14"/>
  <c r="CZ116" i="14"/>
  <c r="CY116" i="14"/>
  <c r="DP115" i="14"/>
  <c r="DO115" i="14"/>
  <c r="DN115" i="14"/>
  <c r="DM115" i="14"/>
  <c r="DL115" i="14"/>
  <c r="DK115" i="14"/>
  <c r="DJ115" i="14"/>
  <c r="DI115" i="14"/>
  <c r="DH115" i="14"/>
  <c r="DG115" i="14"/>
  <c r="DF115" i="14"/>
  <c r="DE115" i="14"/>
  <c r="CZ115" i="14"/>
  <c r="CY115" i="14"/>
  <c r="DP114" i="14"/>
  <c r="DO114" i="14"/>
  <c r="DN114" i="14"/>
  <c r="DM114" i="14"/>
  <c r="DL114" i="14"/>
  <c r="DK114" i="14"/>
  <c r="DJ114" i="14"/>
  <c r="DI114" i="14"/>
  <c r="DH114" i="14"/>
  <c r="DG114" i="14"/>
  <c r="DF114" i="14"/>
  <c r="DE114" i="14"/>
  <c r="DD114" i="14"/>
  <c r="DC114" i="14"/>
  <c r="DB114" i="14"/>
  <c r="DA114" i="14"/>
  <c r="CZ114" i="14"/>
  <c r="CY114" i="14"/>
  <c r="DP112" i="14"/>
  <c r="DO112" i="14"/>
  <c r="DN112" i="14"/>
  <c r="DM112" i="14"/>
  <c r="DL112" i="14"/>
  <c r="DK112" i="14"/>
  <c r="DJ112" i="14"/>
  <c r="DI112" i="14"/>
  <c r="DH112" i="14"/>
  <c r="DG112" i="14"/>
  <c r="DF112" i="14"/>
  <c r="DE112" i="14"/>
  <c r="DD112" i="14"/>
  <c r="DC112" i="14"/>
  <c r="DB112" i="14"/>
  <c r="DA112" i="14"/>
  <c r="CZ112" i="14"/>
  <c r="CY112" i="14"/>
  <c r="DP110" i="14"/>
  <c r="DO110" i="14"/>
  <c r="DN110" i="14"/>
  <c r="DM110" i="14"/>
  <c r="DL110" i="14"/>
  <c r="DK110" i="14"/>
  <c r="DJ110" i="14"/>
  <c r="DI110" i="14"/>
  <c r="DH110" i="14"/>
  <c r="DG110" i="14"/>
  <c r="DF110" i="14"/>
  <c r="DE110" i="14"/>
  <c r="DD110" i="14"/>
  <c r="DC110" i="14"/>
  <c r="DB110" i="14"/>
  <c r="DA110" i="14"/>
  <c r="CZ110" i="14"/>
  <c r="CY110" i="14"/>
  <c r="DP109" i="14"/>
  <c r="DO109" i="14"/>
  <c r="DN109" i="14"/>
  <c r="DM109" i="14"/>
  <c r="DL109" i="14"/>
  <c r="DK109" i="14"/>
  <c r="DJ109" i="14"/>
  <c r="DI109" i="14"/>
  <c r="DH109" i="14"/>
  <c r="DG109" i="14"/>
  <c r="DF109" i="14"/>
  <c r="DE109" i="14"/>
  <c r="DD109" i="14"/>
  <c r="DC109" i="14"/>
  <c r="DB109" i="14"/>
  <c r="DA109" i="14"/>
  <c r="CZ109" i="14"/>
  <c r="CY109" i="14"/>
  <c r="DP107" i="14"/>
  <c r="DO107" i="14"/>
  <c r="DN107" i="14"/>
  <c r="DM107" i="14"/>
  <c r="DL107" i="14"/>
  <c r="DK107" i="14"/>
  <c r="DJ107" i="14"/>
  <c r="DI107" i="14"/>
  <c r="DH107" i="14"/>
  <c r="DG107" i="14"/>
  <c r="DF107" i="14"/>
  <c r="DE107" i="14"/>
  <c r="DD107" i="14"/>
  <c r="DC107" i="14"/>
  <c r="DB107" i="14"/>
  <c r="DA107" i="14"/>
  <c r="CZ107" i="14"/>
  <c r="CY107" i="14"/>
  <c r="CU192" i="14"/>
  <c r="CT192" i="14"/>
  <c r="CS192" i="14"/>
  <c r="CR192" i="14"/>
  <c r="CQ192" i="14"/>
  <c r="CP192" i="14"/>
  <c r="CO192" i="14"/>
  <c r="CN192" i="14"/>
  <c r="CM192" i="14"/>
  <c r="CL192" i="14"/>
  <c r="CK192" i="14"/>
  <c r="CJ192" i="14"/>
  <c r="CI192" i="14"/>
  <c r="CH192" i="14"/>
  <c r="CG192" i="14"/>
  <c r="CF192" i="14"/>
  <c r="CE192" i="14"/>
  <c r="CE191" i="14"/>
  <c r="CU188" i="14"/>
  <c r="CT188" i="14"/>
  <c r="CS188" i="14"/>
  <c r="CR188" i="14"/>
  <c r="CQ188" i="14"/>
  <c r="CP188" i="14"/>
  <c r="CO188" i="14"/>
  <c r="CN188" i="14"/>
  <c r="CM188" i="14"/>
  <c r="CL188" i="14"/>
  <c r="CK188" i="14"/>
  <c r="CJ188" i="14"/>
  <c r="CI188" i="14"/>
  <c r="CH188" i="14"/>
  <c r="CG188" i="14"/>
  <c r="CF188" i="14"/>
  <c r="CE188" i="14"/>
  <c r="CE187" i="14"/>
  <c r="CV184" i="14"/>
  <c r="CU184" i="14"/>
  <c r="CT184" i="14"/>
  <c r="CS184" i="14"/>
  <c r="CR184" i="14"/>
  <c r="CQ184" i="14"/>
  <c r="CP184" i="14"/>
  <c r="CO184" i="14"/>
  <c r="CN184" i="14"/>
  <c r="CM184" i="14"/>
  <c r="CL184" i="14"/>
  <c r="CK184" i="14"/>
  <c r="CJ184" i="14"/>
  <c r="CI184" i="14"/>
  <c r="CH184" i="14"/>
  <c r="CG184" i="14"/>
  <c r="CF184" i="14"/>
  <c r="CE184" i="14"/>
  <c r="CV183" i="14"/>
  <c r="CU183" i="14"/>
  <c r="CT183" i="14"/>
  <c r="CS183" i="14"/>
  <c r="CR183" i="14"/>
  <c r="CQ183" i="14"/>
  <c r="CP183" i="14"/>
  <c r="CO183" i="14"/>
  <c r="CN183" i="14"/>
  <c r="CM183" i="14"/>
  <c r="CL183" i="14"/>
  <c r="CK183" i="14"/>
  <c r="CJ183" i="14"/>
  <c r="CI183" i="14"/>
  <c r="CH183" i="14"/>
  <c r="CG183" i="14"/>
  <c r="CF183" i="14"/>
  <c r="CE183" i="14"/>
  <c r="CV179" i="14"/>
  <c r="CU179" i="14"/>
  <c r="CT179" i="14"/>
  <c r="CS179" i="14"/>
  <c r="CR179" i="14"/>
  <c r="CQ179" i="14"/>
  <c r="CP179" i="14"/>
  <c r="CO179" i="14"/>
  <c r="CN179" i="14"/>
  <c r="CM179" i="14"/>
  <c r="CL179" i="14"/>
  <c r="CK179" i="14"/>
  <c r="CJ179" i="14"/>
  <c r="CI179" i="14"/>
  <c r="CH179" i="14"/>
  <c r="CG179" i="14"/>
  <c r="CF179" i="14"/>
  <c r="CE179" i="14"/>
  <c r="CV178" i="14"/>
  <c r="CU178" i="14"/>
  <c r="CT178" i="14"/>
  <c r="CS178" i="14"/>
  <c r="CR178" i="14"/>
  <c r="CQ178" i="14"/>
  <c r="CP178" i="14"/>
  <c r="CO178" i="14"/>
  <c r="CN178" i="14"/>
  <c r="CM178" i="14"/>
  <c r="CL178" i="14"/>
  <c r="CK178" i="14"/>
  <c r="CJ178" i="14"/>
  <c r="CI178" i="14"/>
  <c r="CH178" i="14"/>
  <c r="CG178" i="14"/>
  <c r="CF178" i="14"/>
  <c r="CE178" i="14"/>
  <c r="CK177" i="14"/>
  <c r="CV176" i="14"/>
  <c r="CU176" i="14"/>
  <c r="CT176" i="14"/>
  <c r="CS176" i="14"/>
  <c r="CR176" i="14"/>
  <c r="CQ176" i="14"/>
  <c r="CP176" i="14"/>
  <c r="CO176" i="14"/>
  <c r="CN176" i="14"/>
  <c r="CM176" i="14"/>
  <c r="CL176" i="14"/>
  <c r="CK176" i="14"/>
  <c r="CJ176" i="14"/>
  <c r="CI176" i="14"/>
  <c r="CH176" i="14"/>
  <c r="CG176" i="14"/>
  <c r="CF176" i="14"/>
  <c r="CE176" i="14"/>
  <c r="CV175" i="14"/>
  <c r="CU175" i="14"/>
  <c r="CT175" i="14"/>
  <c r="CS175" i="14"/>
  <c r="CR175" i="14"/>
  <c r="CQ175" i="14"/>
  <c r="CP175" i="14"/>
  <c r="CO175" i="14"/>
  <c r="CN175" i="14"/>
  <c r="CM175" i="14"/>
  <c r="CL175" i="14"/>
  <c r="CK175" i="14"/>
  <c r="CJ175" i="14"/>
  <c r="CI175" i="14"/>
  <c r="CH175" i="14"/>
  <c r="CG175" i="14"/>
  <c r="CF175" i="14"/>
  <c r="CE175" i="14"/>
  <c r="CV168" i="14"/>
  <c r="CU168" i="14"/>
  <c r="CT168" i="14"/>
  <c r="CS168" i="14"/>
  <c r="CR168" i="14"/>
  <c r="CQ168" i="14"/>
  <c r="CP168" i="14"/>
  <c r="CO168" i="14"/>
  <c r="CN168" i="14"/>
  <c r="CM168" i="14"/>
  <c r="CL168" i="14"/>
  <c r="CK168" i="14"/>
  <c r="CJ168" i="14"/>
  <c r="CI168" i="14"/>
  <c r="CH168" i="14"/>
  <c r="CG168" i="14"/>
  <c r="CF168" i="14"/>
  <c r="CE168" i="14"/>
  <c r="CU167" i="14"/>
  <c r="CT167" i="14"/>
  <c r="CS167" i="14"/>
  <c r="CR167" i="14"/>
  <c r="CQ167" i="14"/>
  <c r="CP167" i="14"/>
  <c r="CO167" i="14"/>
  <c r="CN167" i="14"/>
  <c r="CM167" i="14"/>
  <c r="CL167" i="14"/>
  <c r="CK167" i="14"/>
  <c r="CJ167" i="14"/>
  <c r="CI167" i="14"/>
  <c r="CH167" i="14"/>
  <c r="CG167" i="14"/>
  <c r="CF167" i="14"/>
  <c r="CE167" i="14"/>
  <c r="CV160" i="14"/>
  <c r="CU160" i="14"/>
  <c r="CT160" i="14"/>
  <c r="CR160" i="14"/>
  <c r="CQ160" i="14"/>
  <c r="CP160" i="14"/>
  <c r="CO160" i="14"/>
  <c r="CN160" i="14"/>
  <c r="CM160" i="14"/>
  <c r="CL160" i="14"/>
  <c r="CK160" i="14"/>
  <c r="CJ160" i="14"/>
  <c r="CI160" i="14"/>
  <c r="CH160" i="14"/>
  <c r="CG160" i="14"/>
  <c r="CF160" i="14"/>
  <c r="CE160" i="14"/>
  <c r="CV159" i="14"/>
  <c r="CU159" i="14"/>
  <c r="CT159" i="14"/>
  <c r="CS159" i="14"/>
  <c r="CR159" i="14"/>
  <c r="CQ159" i="14"/>
  <c r="CP159" i="14"/>
  <c r="CO159" i="14"/>
  <c r="CN159" i="14"/>
  <c r="CM159" i="14"/>
  <c r="CL159" i="14"/>
  <c r="CK159" i="14"/>
  <c r="CJ159" i="14"/>
  <c r="CI159" i="14"/>
  <c r="CH159" i="14"/>
  <c r="CG159" i="14"/>
  <c r="CF159" i="14"/>
  <c r="CE159" i="14"/>
  <c r="CV158" i="14"/>
  <c r="CU158" i="14"/>
  <c r="CT158" i="14"/>
  <c r="CS158" i="14"/>
  <c r="CR158" i="14"/>
  <c r="CQ158" i="14"/>
  <c r="CP158" i="14"/>
  <c r="CO158" i="14"/>
  <c r="CN158" i="14"/>
  <c r="CM158" i="14"/>
  <c r="CL158" i="14"/>
  <c r="CK158" i="14"/>
  <c r="CJ158" i="14"/>
  <c r="CI158" i="14"/>
  <c r="CH158" i="14"/>
  <c r="CG158" i="14"/>
  <c r="CF158" i="14"/>
  <c r="CE158" i="14"/>
  <c r="CV157" i="14"/>
  <c r="CU157" i="14"/>
  <c r="CT157" i="14"/>
  <c r="CS157" i="14"/>
  <c r="CR157" i="14"/>
  <c r="CQ157" i="14"/>
  <c r="CP157" i="14"/>
  <c r="CO157" i="14"/>
  <c r="CN157" i="14"/>
  <c r="CM157" i="14"/>
  <c r="CL157" i="14"/>
  <c r="CK157" i="14"/>
  <c r="CJ157" i="14"/>
  <c r="CI157" i="14"/>
  <c r="CH157" i="14"/>
  <c r="CG157" i="14"/>
  <c r="CF157" i="14"/>
  <c r="CE157" i="14"/>
  <c r="CV154" i="14"/>
  <c r="CV153" i="14" s="1"/>
  <c r="CU154" i="14"/>
  <c r="CU153" i="14" s="1"/>
  <c r="CT154" i="14"/>
  <c r="CT153" i="14" s="1"/>
  <c r="CS154" i="14"/>
  <c r="CS153" i="14" s="1"/>
  <c r="CR154" i="14"/>
  <c r="CR153" i="14" s="1"/>
  <c r="CQ154" i="14"/>
  <c r="CQ153" i="14" s="1"/>
  <c r="CP154" i="14"/>
  <c r="CP153" i="14" s="1"/>
  <c r="CO154" i="14"/>
  <c r="CO153" i="14" s="1"/>
  <c r="CN154" i="14"/>
  <c r="CN153" i="14" s="1"/>
  <c r="CM154" i="14"/>
  <c r="CM153" i="14" s="1"/>
  <c r="CL154" i="14"/>
  <c r="CL153" i="14" s="1"/>
  <c r="CK154" i="14"/>
  <c r="CK153" i="14" s="1"/>
  <c r="CJ154" i="14"/>
  <c r="CJ153" i="14" s="1"/>
  <c r="CI154" i="14"/>
  <c r="CI153" i="14" s="1"/>
  <c r="CH154" i="14"/>
  <c r="CH153" i="14" s="1"/>
  <c r="CG154" i="14"/>
  <c r="CG153" i="14" s="1"/>
  <c r="CF154" i="14"/>
  <c r="CF153" i="14" s="1"/>
  <c r="CE154" i="14"/>
  <c r="CE153" i="14" s="1"/>
  <c r="CV150" i="14"/>
  <c r="CU150" i="14"/>
  <c r="CT150" i="14"/>
  <c r="CS150" i="14"/>
  <c r="CR150" i="14"/>
  <c r="CQ150" i="14"/>
  <c r="CP150" i="14"/>
  <c r="CO150" i="14"/>
  <c r="CN150" i="14"/>
  <c r="CM150" i="14"/>
  <c r="CL150" i="14"/>
  <c r="CK150" i="14"/>
  <c r="CJ150" i="14"/>
  <c r="CI150" i="14"/>
  <c r="CH150" i="14"/>
  <c r="CG150" i="14"/>
  <c r="CF150" i="14"/>
  <c r="CE150" i="14"/>
  <c r="CV149" i="14"/>
  <c r="CU149" i="14"/>
  <c r="CT149" i="14"/>
  <c r="CS149" i="14"/>
  <c r="CR149" i="14"/>
  <c r="CQ149" i="14"/>
  <c r="CP149" i="14"/>
  <c r="CO149" i="14"/>
  <c r="CN149" i="14"/>
  <c r="CM149" i="14"/>
  <c r="CL149" i="14"/>
  <c r="CK149" i="14"/>
  <c r="CJ149" i="14"/>
  <c r="CI149" i="14"/>
  <c r="CH149" i="14"/>
  <c r="CG149" i="14"/>
  <c r="CF149" i="14"/>
  <c r="CE149" i="14"/>
  <c r="CV144" i="14"/>
  <c r="CV143" i="14" s="1"/>
  <c r="CU144" i="14"/>
  <c r="CU143" i="14" s="1"/>
  <c r="CT144" i="14"/>
  <c r="CT143" i="14" s="1"/>
  <c r="CS144" i="14"/>
  <c r="CS143" i="14" s="1"/>
  <c r="CR144" i="14"/>
  <c r="CR143" i="14" s="1"/>
  <c r="CQ144" i="14"/>
  <c r="CQ143" i="14" s="1"/>
  <c r="CP144" i="14"/>
  <c r="CP143" i="14" s="1"/>
  <c r="CO144" i="14"/>
  <c r="CO143" i="14" s="1"/>
  <c r="CN144" i="14"/>
  <c r="CN143" i="14" s="1"/>
  <c r="CM144" i="14"/>
  <c r="CM143" i="14" s="1"/>
  <c r="CL144" i="14"/>
  <c r="CL143" i="14" s="1"/>
  <c r="CK144" i="14"/>
  <c r="CK143" i="14" s="1"/>
  <c r="CJ144" i="14"/>
  <c r="CJ143" i="14" s="1"/>
  <c r="CI144" i="14"/>
  <c r="CI143" i="14" s="1"/>
  <c r="CH144" i="14"/>
  <c r="CH143" i="14" s="1"/>
  <c r="CG144" i="14"/>
  <c r="CG143" i="14" s="1"/>
  <c r="CF144" i="14"/>
  <c r="CF143" i="14" s="1"/>
  <c r="CE144" i="14"/>
  <c r="CE143" i="14" s="1"/>
  <c r="CV141" i="14"/>
  <c r="CU141" i="14"/>
  <c r="CT141" i="14"/>
  <c r="CS141" i="14"/>
  <c r="CR141" i="14"/>
  <c r="CQ141" i="14"/>
  <c r="CP141" i="14"/>
  <c r="CO141" i="14"/>
  <c r="CN141" i="14"/>
  <c r="CM141" i="14"/>
  <c r="CL141" i="14"/>
  <c r="CK141" i="14"/>
  <c r="CJ141" i="14"/>
  <c r="CI141" i="14"/>
  <c r="CH141" i="14"/>
  <c r="CG141" i="14"/>
  <c r="CF141" i="14"/>
  <c r="CE141" i="14"/>
  <c r="CV140" i="14"/>
  <c r="CU140" i="14"/>
  <c r="CT140" i="14"/>
  <c r="CS140" i="14"/>
  <c r="CR140" i="14"/>
  <c r="CQ140" i="14"/>
  <c r="CP140" i="14"/>
  <c r="CO140" i="14"/>
  <c r="CN140" i="14"/>
  <c r="CM140" i="14"/>
  <c r="CL140" i="14"/>
  <c r="CK140" i="14"/>
  <c r="CJ140" i="14"/>
  <c r="CI140" i="14"/>
  <c r="CH140" i="14"/>
  <c r="CG140" i="14"/>
  <c r="CF140" i="14"/>
  <c r="CE140" i="14"/>
  <c r="CV139" i="14"/>
  <c r="CU139" i="14"/>
  <c r="CT139" i="14"/>
  <c r="CS139" i="14"/>
  <c r="CR139" i="14"/>
  <c r="CQ139" i="14"/>
  <c r="CP139" i="14"/>
  <c r="CO139" i="14"/>
  <c r="CN139" i="14"/>
  <c r="CM139" i="14"/>
  <c r="CL139" i="14"/>
  <c r="CK139" i="14"/>
  <c r="CJ139" i="14"/>
  <c r="CI139" i="14"/>
  <c r="CH139" i="14"/>
  <c r="CG139" i="14"/>
  <c r="CF139" i="14"/>
  <c r="CE139" i="14"/>
  <c r="CV138" i="14"/>
  <c r="CU138" i="14"/>
  <c r="CT138" i="14"/>
  <c r="CS138" i="14"/>
  <c r="CR138" i="14"/>
  <c r="CQ138" i="14"/>
  <c r="CP138" i="14"/>
  <c r="CO138" i="14"/>
  <c r="CN138" i="14"/>
  <c r="CM138" i="14"/>
  <c r="CL138" i="14"/>
  <c r="CK138" i="14"/>
  <c r="CJ138" i="14"/>
  <c r="CI138" i="14"/>
  <c r="CH138" i="14"/>
  <c r="CG138" i="14"/>
  <c r="CF138" i="14"/>
  <c r="CE138" i="14"/>
  <c r="CV137" i="14"/>
  <c r="CU137" i="14"/>
  <c r="CT137" i="14"/>
  <c r="CS137" i="14"/>
  <c r="CR137" i="14"/>
  <c r="CQ137" i="14"/>
  <c r="CP137" i="14"/>
  <c r="CO137" i="14"/>
  <c r="CN137" i="14"/>
  <c r="CM137" i="14"/>
  <c r="CL137" i="14"/>
  <c r="CK137" i="14"/>
  <c r="CJ137" i="14"/>
  <c r="CI137" i="14"/>
  <c r="CH137" i="14"/>
  <c r="CG137" i="14"/>
  <c r="CF137" i="14"/>
  <c r="CE137" i="14"/>
  <c r="CV136" i="14"/>
  <c r="CU136" i="14"/>
  <c r="CT136" i="14"/>
  <c r="CS136" i="14"/>
  <c r="CR136" i="14"/>
  <c r="CQ136" i="14"/>
  <c r="CP136" i="14"/>
  <c r="CO136" i="14"/>
  <c r="CN136" i="14"/>
  <c r="CM136" i="14"/>
  <c r="CL136" i="14"/>
  <c r="CK136" i="14"/>
  <c r="CJ136" i="14"/>
  <c r="CI136" i="14"/>
  <c r="CH136" i="14"/>
  <c r="CG136" i="14"/>
  <c r="CF136" i="14"/>
  <c r="CE136" i="14"/>
  <c r="CV128" i="14"/>
  <c r="CU128" i="14"/>
  <c r="CT128" i="14"/>
  <c r="CS128" i="14"/>
  <c r="CR128" i="14"/>
  <c r="CQ128" i="14"/>
  <c r="CP128" i="14"/>
  <c r="CO128" i="14"/>
  <c r="CN128" i="14"/>
  <c r="CM128" i="14"/>
  <c r="CL128" i="14"/>
  <c r="CK128" i="14"/>
  <c r="CJ128" i="14"/>
  <c r="CI128" i="14"/>
  <c r="CH128" i="14"/>
  <c r="CG128" i="14"/>
  <c r="CF128" i="14"/>
  <c r="CE128" i="14"/>
  <c r="CV127" i="14"/>
  <c r="CU127" i="14"/>
  <c r="CT127" i="14"/>
  <c r="CS127" i="14"/>
  <c r="CR127" i="14"/>
  <c r="CQ127" i="14"/>
  <c r="CP127" i="14"/>
  <c r="CO127" i="14"/>
  <c r="CN127" i="14"/>
  <c r="CM127" i="14"/>
  <c r="CL127" i="14"/>
  <c r="CK127" i="14"/>
  <c r="CJ127" i="14"/>
  <c r="CI127" i="14"/>
  <c r="CH127" i="14"/>
  <c r="CG127" i="14"/>
  <c r="CF127" i="14"/>
  <c r="CE127" i="14"/>
  <c r="CV126" i="14"/>
  <c r="CU126" i="14"/>
  <c r="CT126" i="14"/>
  <c r="CS126" i="14"/>
  <c r="CR126" i="14"/>
  <c r="CQ126" i="14"/>
  <c r="CP126" i="14"/>
  <c r="CO126" i="14"/>
  <c r="CN126" i="14"/>
  <c r="CM126" i="14"/>
  <c r="CL126" i="14"/>
  <c r="CK126" i="14"/>
  <c r="CJ126" i="14"/>
  <c r="CI126" i="14"/>
  <c r="CH126" i="14"/>
  <c r="CG126" i="14"/>
  <c r="CF126" i="14"/>
  <c r="CE126" i="14"/>
  <c r="CV123" i="14"/>
  <c r="CV122" i="14" s="1"/>
  <c r="CU123" i="14"/>
  <c r="CU122" i="14" s="1"/>
  <c r="CT123" i="14"/>
  <c r="CT122" i="14" s="1"/>
  <c r="CS123" i="14"/>
  <c r="CS122" i="14" s="1"/>
  <c r="CR123" i="14"/>
  <c r="CR122" i="14" s="1"/>
  <c r="CQ123" i="14"/>
  <c r="CQ122" i="14" s="1"/>
  <c r="CP123" i="14"/>
  <c r="CP122" i="14" s="1"/>
  <c r="CO123" i="14"/>
  <c r="CO122" i="14" s="1"/>
  <c r="CN123" i="14"/>
  <c r="CN122" i="14" s="1"/>
  <c r="CF123" i="14"/>
  <c r="CF122" i="14" s="1"/>
  <c r="CE123" i="14"/>
  <c r="CE122" i="14" s="1"/>
  <c r="CG117" i="14"/>
  <c r="CF117" i="14"/>
  <c r="CE117" i="14"/>
  <c r="CG116" i="14"/>
  <c r="CF116" i="14"/>
  <c r="CE116" i="14"/>
  <c r="CV115" i="14"/>
  <c r="CU115" i="14"/>
  <c r="CT115" i="14"/>
  <c r="CS115" i="14"/>
  <c r="CR115" i="14"/>
  <c r="CQ115" i="14"/>
  <c r="CP115" i="14"/>
  <c r="CO115" i="14"/>
  <c r="CN115" i="14"/>
  <c r="CM115" i="14"/>
  <c r="CL115" i="14"/>
  <c r="CK115" i="14"/>
  <c r="CF115" i="14"/>
  <c r="CE115" i="14"/>
  <c r="CV114" i="14"/>
  <c r="CU114" i="14"/>
  <c r="CT114" i="14"/>
  <c r="CS114" i="14"/>
  <c r="CR114" i="14"/>
  <c r="CQ114" i="14"/>
  <c r="CP114" i="14"/>
  <c r="CO114" i="14"/>
  <c r="CN114" i="14"/>
  <c r="CM114" i="14"/>
  <c r="CL114" i="14"/>
  <c r="CK114" i="14"/>
  <c r="CJ114" i="14"/>
  <c r="CI114" i="14"/>
  <c r="CH114" i="14"/>
  <c r="CG114" i="14"/>
  <c r="CF114" i="14"/>
  <c r="CE114" i="14"/>
  <c r="CV112" i="14"/>
  <c r="CU112" i="14"/>
  <c r="CT112" i="14"/>
  <c r="CS112" i="14"/>
  <c r="CR112" i="14"/>
  <c r="CQ112" i="14"/>
  <c r="CP112" i="14"/>
  <c r="CO112" i="14"/>
  <c r="CN112" i="14"/>
  <c r="CM112" i="14"/>
  <c r="CL112" i="14"/>
  <c r="CK112" i="14"/>
  <c r="CJ112" i="14"/>
  <c r="CI112" i="14"/>
  <c r="CH112" i="14"/>
  <c r="CG112" i="14"/>
  <c r="CF112" i="14"/>
  <c r="CE112" i="14"/>
  <c r="CV110" i="14"/>
  <c r="CU110" i="14"/>
  <c r="CT110" i="14"/>
  <c r="CS110" i="14"/>
  <c r="CR110" i="14"/>
  <c r="CQ110" i="14"/>
  <c r="CP110" i="14"/>
  <c r="CO110" i="14"/>
  <c r="CN110" i="14"/>
  <c r="CM110" i="14"/>
  <c r="CL110" i="14"/>
  <c r="CK110" i="14"/>
  <c r="CJ110" i="14"/>
  <c r="CI110" i="14"/>
  <c r="CH110" i="14"/>
  <c r="CG110" i="14"/>
  <c r="CF110" i="14"/>
  <c r="CE110" i="14"/>
  <c r="CV109" i="14"/>
  <c r="CU109" i="14"/>
  <c r="CT109" i="14"/>
  <c r="CS109" i="14"/>
  <c r="CR109" i="14"/>
  <c r="CQ109" i="14"/>
  <c r="CP109" i="14"/>
  <c r="CO109" i="14"/>
  <c r="CN109" i="14"/>
  <c r="CM109" i="14"/>
  <c r="CL109" i="14"/>
  <c r="CK109" i="14"/>
  <c r="CJ109" i="14"/>
  <c r="CI109" i="14"/>
  <c r="CH109" i="14"/>
  <c r="CG109" i="14"/>
  <c r="CF109" i="14"/>
  <c r="CE109" i="14"/>
  <c r="CV107" i="14"/>
  <c r="CU107" i="14"/>
  <c r="CT107" i="14"/>
  <c r="CS107" i="14"/>
  <c r="CR107" i="14"/>
  <c r="CQ107" i="14"/>
  <c r="CP107" i="14"/>
  <c r="CO107" i="14"/>
  <c r="CN107" i="14"/>
  <c r="CM107" i="14"/>
  <c r="CL107" i="14"/>
  <c r="CK107" i="14"/>
  <c r="CJ107" i="14"/>
  <c r="CI107" i="14"/>
  <c r="CH107" i="14"/>
  <c r="CG107" i="14"/>
  <c r="CF107" i="14"/>
  <c r="CE107" i="14"/>
  <c r="CB192" i="14"/>
  <c r="CA192" i="14"/>
  <c r="BZ192" i="14"/>
  <c r="BY192" i="14"/>
  <c r="BX192" i="14"/>
  <c r="BW192" i="14"/>
  <c r="BV192" i="14"/>
  <c r="BU192" i="14"/>
  <c r="BT192" i="14"/>
  <c r="BS192" i="14"/>
  <c r="BR192" i="14"/>
  <c r="BQ192" i="14"/>
  <c r="BP192" i="14"/>
  <c r="BO192" i="14"/>
  <c r="BN192" i="14"/>
  <c r="BM192" i="14"/>
  <c r="BL192" i="14"/>
  <c r="BL191" i="14"/>
  <c r="CB188" i="14"/>
  <c r="CA188" i="14"/>
  <c r="BZ188" i="14"/>
  <c r="BY188" i="14"/>
  <c r="BX188" i="14"/>
  <c r="BW188" i="14"/>
  <c r="BV188" i="14"/>
  <c r="BU188" i="14"/>
  <c r="BT188" i="14"/>
  <c r="BS188" i="14"/>
  <c r="BR188" i="14"/>
  <c r="BQ188" i="14"/>
  <c r="BP188" i="14"/>
  <c r="BO188" i="14"/>
  <c r="BN188" i="14"/>
  <c r="BM188" i="14"/>
  <c r="BL188" i="14"/>
  <c r="BL187" i="14"/>
  <c r="CC184" i="14"/>
  <c r="CB184" i="14"/>
  <c r="CA184" i="14"/>
  <c r="BZ184" i="14"/>
  <c r="BY184" i="14"/>
  <c r="BX184" i="14"/>
  <c r="BW184" i="14"/>
  <c r="BV184" i="14"/>
  <c r="BU184" i="14"/>
  <c r="BT184" i="14"/>
  <c r="BS184" i="14"/>
  <c r="BR184" i="14"/>
  <c r="BQ184" i="14"/>
  <c r="BP184" i="14"/>
  <c r="BO184" i="14"/>
  <c r="BN184" i="14"/>
  <c r="BM184" i="14"/>
  <c r="BL184" i="14"/>
  <c r="CC183" i="14"/>
  <c r="CB183" i="14"/>
  <c r="CA183" i="14"/>
  <c r="BZ183" i="14"/>
  <c r="BY183" i="14"/>
  <c r="BX183" i="14"/>
  <c r="BW183" i="14"/>
  <c r="BV183" i="14"/>
  <c r="BU183" i="14"/>
  <c r="BT183" i="14"/>
  <c r="BS183" i="14"/>
  <c r="BR183" i="14"/>
  <c r="BQ183" i="14"/>
  <c r="BP183" i="14"/>
  <c r="BO183" i="14"/>
  <c r="BN183" i="14"/>
  <c r="BM183" i="14"/>
  <c r="BL183" i="14"/>
  <c r="CC179" i="14"/>
  <c r="CB179" i="14"/>
  <c r="CA179" i="14"/>
  <c r="BZ179" i="14"/>
  <c r="BY179" i="14"/>
  <c r="BX179" i="14"/>
  <c r="BW179" i="14"/>
  <c r="BV179" i="14"/>
  <c r="BU179" i="14"/>
  <c r="BT179" i="14"/>
  <c r="BS179" i="14"/>
  <c r="BR179" i="14"/>
  <c r="BQ179" i="14"/>
  <c r="BP179" i="14"/>
  <c r="BO179" i="14"/>
  <c r="BN179" i="14"/>
  <c r="BM179" i="14"/>
  <c r="BL179" i="14"/>
  <c r="CC178" i="14"/>
  <c r="CB178" i="14"/>
  <c r="CA178" i="14"/>
  <c r="BZ178" i="14"/>
  <c r="BY178" i="14"/>
  <c r="BX178" i="14"/>
  <c r="BW178" i="14"/>
  <c r="BV178" i="14"/>
  <c r="BU178" i="14"/>
  <c r="BT178" i="14"/>
  <c r="BS178" i="14"/>
  <c r="BR178" i="14"/>
  <c r="BQ178" i="14"/>
  <c r="BP178" i="14"/>
  <c r="BO178" i="14"/>
  <c r="BN178" i="14"/>
  <c r="BM178" i="14"/>
  <c r="BL178" i="14"/>
  <c r="BR177" i="14"/>
  <c r="CC176" i="14"/>
  <c r="CB176" i="14"/>
  <c r="CA176" i="14"/>
  <c r="BZ176" i="14"/>
  <c r="BY176" i="14"/>
  <c r="BX176" i="14"/>
  <c r="BW176" i="14"/>
  <c r="BV176" i="14"/>
  <c r="BU176" i="14"/>
  <c r="BT176" i="14"/>
  <c r="BS176" i="14"/>
  <c r="BR176" i="14"/>
  <c r="BQ176" i="14"/>
  <c r="BP176" i="14"/>
  <c r="BO176" i="14"/>
  <c r="BN176" i="14"/>
  <c r="BM176" i="14"/>
  <c r="BL176" i="14"/>
  <c r="CC175" i="14"/>
  <c r="CB175" i="14"/>
  <c r="CA175" i="14"/>
  <c r="BZ175" i="14"/>
  <c r="BY175" i="14"/>
  <c r="BX175" i="14"/>
  <c r="BW175" i="14"/>
  <c r="BV175" i="14"/>
  <c r="BU175" i="14"/>
  <c r="BT175" i="14"/>
  <c r="BS175" i="14"/>
  <c r="BR175" i="14"/>
  <c r="BQ175" i="14"/>
  <c r="BP175" i="14"/>
  <c r="BO175" i="14"/>
  <c r="BN175" i="14"/>
  <c r="BM175" i="14"/>
  <c r="BL175" i="14"/>
  <c r="CC168" i="14"/>
  <c r="CB168" i="14"/>
  <c r="CA168" i="14"/>
  <c r="BZ168" i="14"/>
  <c r="BY168" i="14"/>
  <c r="BX168" i="14"/>
  <c r="BW168" i="14"/>
  <c r="BV168" i="14"/>
  <c r="BU168" i="14"/>
  <c r="BT168" i="14"/>
  <c r="BS168" i="14"/>
  <c r="BR168" i="14"/>
  <c r="BQ168" i="14"/>
  <c r="BP168" i="14"/>
  <c r="BO168" i="14"/>
  <c r="BN168" i="14"/>
  <c r="BM168" i="14"/>
  <c r="BL168" i="14"/>
  <c r="CB167" i="14"/>
  <c r="CA167" i="14"/>
  <c r="BZ167" i="14"/>
  <c r="BY167" i="14"/>
  <c r="BX167" i="14"/>
  <c r="BW167" i="14"/>
  <c r="BV167" i="14"/>
  <c r="BU167" i="14"/>
  <c r="BT167" i="14"/>
  <c r="BS167" i="14"/>
  <c r="BR167" i="14"/>
  <c r="BQ167" i="14"/>
  <c r="BP167" i="14"/>
  <c r="BO167" i="14"/>
  <c r="BN167" i="14"/>
  <c r="BM167" i="14"/>
  <c r="BL167" i="14"/>
  <c r="CC160" i="14"/>
  <c r="CB160" i="14"/>
  <c r="CA160" i="14"/>
  <c r="BY160" i="14"/>
  <c r="BX160" i="14"/>
  <c r="BW160" i="14"/>
  <c r="BV160" i="14"/>
  <c r="BU160" i="14"/>
  <c r="BT160" i="14"/>
  <c r="BS160" i="14"/>
  <c r="BR160" i="14"/>
  <c r="BQ160" i="14"/>
  <c r="BP160" i="14"/>
  <c r="BO160" i="14"/>
  <c r="BN160" i="14"/>
  <c r="BM160" i="14"/>
  <c r="BL160" i="14"/>
  <c r="CC159" i="14"/>
  <c r="CB159" i="14"/>
  <c r="CA159" i="14"/>
  <c r="BZ159" i="14"/>
  <c r="BY159" i="14"/>
  <c r="BX159" i="14"/>
  <c r="BW159" i="14"/>
  <c r="BV159" i="14"/>
  <c r="BU159" i="14"/>
  <c r="BT159" i="14"/>
  <c r="BS159" i="14"/>
  <c r="BR159" i="14"/>
  <c r="BQ159" i="14"/>
  <c r="BP159" i="14"/>
  <c r="BO159" i="14"/>
  <c r="BN159" i="14"/>
  <c r="BM159" i="14"/>
  <c r="BL159" i="14"/>
  <c r="CC158" i="14"/>
  <c r="CB158" i="14"/>
  <c r="CA158" i="14"/>
  <c r="BZ158" i="14"/>
  <c r="BY158" i="14"/>
  <c r="BX158" i="14"/>
  <c r="BW158" i="14"/>
  <c r="BV158" i="14"/>
  <c r="BU158" i="14"/>
  <c r="BT158" i="14"/>
  <c r="BS158" i="14"/>
  <c r="BR158" i="14"/>
  <c r="BQ158" i="14"/>
  <c r="BP158" i="14"/>
  <c r="BO158" i="14"/>
  <c r="BN158" i="14"/>
  <c r="BM158" i="14"/>
  <c r="BL158" i="14"/>
  <c r="CC157" i="14"/>
  <c r="CB157" i="14"/>
  <c r="CA157" i="14"/>
  <c r="BZ157" i="14"/>
  <c r="BY157" i="14"/>
  <c r="BX157" i="14"/>
  <c r="BW157" i="14"/>
  <c r="BV157" i="14"/>
  <c r="BU157" i="14"/>
  <c r="BT157" i="14"/>
  <c r="BS157" i="14"/>
  <c r="BR157" i="14"/>
  <c r="BQ157" i="14"/>
  <c r="BP157" i="14"/>
  <c r="BO157" i="14"/>
  <c r="BN157" i="14"/>
  <c r="BM157" i="14"/>
  <c r="BL157" i="14"/>
  <c r="CC154" i="14"/>
  <c r="CC153" i="14" s="1"/>
  <c r="CB154" i="14"/>
  <c r="CB153" i="14" s="1"/>
  <c r="CA154" i="14"/>
  <c r="CA153" i="14" s="1"/>
  <c r="BZ154" i="14"/>
  <c r="BZ153" i="14" s="1"/>
  <c r="BY154" i="14"/>
  <c r="BY153" i="14" s="1"/>
  <c r="BX154" i="14"/>
  <c r="BX153" i="14" s="1"/>
  <c r="BW154" i="14"/>
  <c r="BW153" i="14" s="1"/>
  <c r="BV154" i="14"/>
  <c r="BV153" i="14" s="1"/>
  <c r="BU154" i="14"/>
  <c r="BU153" i="14" s="1"/>
  <c r="BT154" i="14"/>
  <c r="BT153" i="14" s="1"/>
  <c r="BS154" i="14"/>
  <c r="BS153" i="14" s="1"/>
  <c r="BR154" i="14"/>
  <c r="BR153" i="14" s="1"/>
  <c r="BQ154" i="14"/>
  <c r="BQ153" i="14" s="1"/>
  <c r="BP154" i="14"/>
  <c r="BP153" i="14" s="1"/>
  <c r="BO154" i="14"/>
  <c r="BO153" i="14" s="1"/>
  <c r="BN154" i="14"/>
  <c r="BN153" i="14" s="1"/>
  <c r="BM154" i="14"/>
  <c r="BM153" i="14" s="1"/>
  <c r="BL154" i="14"/>
  <c r="BL153" i="14" s="1"/>
  <c r="CC150" i="14"/>
  <c r="CB150" i="14"/>
  <c r="CA150" i="14"/>
  <c r="BZ150" i="14"/>
  <c r="BY150" i="14"/>
  <c r="BX150" i="14"/>
  <c r="BW150" i="14"/>
  <c r="BV150" i="14"/>
  <c r="BU150" i="14"/>
  <c r="BT150" i="14"/>
  <c r="BS150" i="14"/>
  <c r="BR150" i="14"/>
  <c r="BQ150" i="14"/>
  <c r="BP150" i="14"/>
  <c r="BO150" i="14"/>
  <c r="BN150" i="14"/>
  <c r="BM150" i="14"/>
  <c r="BL150" i="14"/>
  <c r="CC149" i="14"/>
  <c r="CB149" i="14"/>
  <c r="CA149" i="14"/>
  <c r="BZ149" i="14"/>
  <c r="BY149" i="14"/>
  <c r="BX149" i="14"/>
  <c r="BW149" i="14"/>
  <c r="BV149" i="14"/>
  <c r="BU149" i="14"/>
  <c r="BT149" i="14"/>
  <c r="BS149" i="14"/>
  <c r="BR149" i="14"/>
  <c r="BQ149" i="14"/>
  <c r="BP149" i="14"/>
  <c r="BO149" i="14"/>
  <c r="BN149" i="14"/>
  <c r="BM149" i="14"/>
  <c r="BL149" i="14"/>
  <c r="CC144" i="14"/>
  <c r="CC143" i="14" s="1"/>
  <c r="CB144" i="14"/>
  <c r="CB143" i="14" s="1"/>
  <c r="CA144" i="14"/>
  <c r="CA143" i="14" s="1"/>
  <c r="BZ144" i="14"/>
  <c r="BZ143" i="14" s="1"/>
  <c r="BY144" i="14"/>
  <c r="BY143" i="14" s="1"/>
  <c r="BX144" i="14"/>
  <c r="BX143" i="14" s="1"/>
  <c r="BW144" i="14"/>
  <c r="BW143" i="14" s="1"/>
  <c r="BV144" i="14"/>
  <c r="BV143" i="14" s="1"/>
  <c r="BU144" i="14"/>
  <c r="BU143" i="14" s="1"/>
  <c r="BT144" i="14"/>
  <c r="BT143" i="14" s="1"/>
  <c r="BS144" i="14"/>
  <c r="BS143" i="14" s="1"/>
  <c r="BR144" i="14"/>
  <c r="BR143" i="14" s="1"/>
  <c r="BQ144" i="14"/>
  <c r="BQ143" i="14" s="1"/>
  <c r="BP144" i="14"/>
  <c r="BP143" i="14" s="1"/>
  <c r="BO144" i="14"/>
  <c r="BO143" i="14" s="1"/>
  <c r="BN144" i="14"/>
  <c r="BN143" i="14" s="1"/>
  <c r="BM144" i="14"/>
  <c r="BM143" i="14" s="1"/>
  <c r="BL144" i="14"/>
  <c r="BL143" i="14" s="1"/>
  <c r="CC141" i="14"/>
  <c r="CB141" i="14"/>
  <c r="CA141" i="14"/>
  <c r="BZ141" i="14"/>
  <c r="BY141" i="14"/>
  <c r="BX141" i="14"/>
  <c r="BW141" i="14"/>
  <c r="BV141" i="14"/>
  <c r="BU141" i="14"/>
  <c r="BT141" i="14"/>
  <c r="BS141" i="14"/>
  <c r="BR141" i="14"/>
  <c r="BQ141" i="14"/>
  <c r="BP141" i="14"/>
  <c r="BO141" i="14"/>
  <c r="BN141" i="14"/>
  <c r="BM141" i="14"/>
  <c r="BL141" i="14"/>
  <c r="CC140" i="14"/>
  <c r="CB140" i="14"/>
  <c r="CA140" i="14"/>
  <c r="BZ140" i="14"/>
  <c r="BY140" i="14"/>
  <c r="BX140" i="14"/>
  <c r="BW140" i="14"/>
  <c r="BV140" i="14"/>
  <c r="BU140" i="14"/>
  <c r="BT140" i="14"/>
  <c r="BS140" i="14"/>
  <c r="BR140" i="14"/>
  <c r="BQ140" i="14"/>
  <c r="BP140" i="14"/>
  <c r="BO140" i="14"/>
  <c r="BN140" i="14"/>
  <c r="BM140" i="14"/>
  <c r="BL140" i="14"/>
  <c r="CC139" i="14"/>
  <c r="CB139" i="14"/>
  <c r="CA139" i="14"/>
  <c r="BZ139" i="14"/>
  <c r="BY139" i="14"/>
  <c r="BX139" i="14"/>
  <c r="BW139" i="14"/>
  <c r="BV139" i="14"/>
  <c r="BU139" i="14"/>
  <c r="BT139" i="14"/>
  <c r="BS139" i="14"/>
  <c r="BR139" i="14"/>
  <c r="BQ139" i="14"/>
  <c r="BP139" i="14"/>
  <c r="BO139" i="14"/>
  <c r="BN139" i="14"/>
  <c r="BM139" i="14"/>
  <c r="BL139" i="14"/>
  <c r="CC138" i="14"/>
  <c r="CB138" i="14"/>
  <c r="CA138" i="14"/>
  <c r="BZ138" i="14"/>
  <c r="BY138" i="14"/>
  <c r="BX138" i="14"/>
  <c r="BW138" i="14"/>
  <c r="BV138" i="14"/>
  <c r="BU138" i="14"/>
  <c r="BT138" i="14"/>
  <c r="BS138" i="14"/>
  <c r="BR138" i="14"/>
  <c r="BQ138" i="14"/>
  <c r="BP138" i="14"/>
  <c r="BO138" i="14"/>
  <c r="BN138" i="14"/>
  <c r="BM138" i="14"/>
  <c r="BL138" i="14"/>
  <c r="CC137" i="14"/>
  <c r="CB137" i="14"/>
  <c r="CA137" i="14"/>
  <c r="BZ137" i="14"/>
  <c r="BY137" i="14"/>
  <c r="BX137" i="14"/>
  <c r="BW137" i="14"/>
  <c r="BV137" i="14"/>
  <c r="BU137" i="14"/>
  <c r="BT137" i="14"/>
  <c r="BS137" i="14"/>
  <c r="BR137" i="14"/>
  <c r="BQ137" i="14"/>
  <c r="BP137" i="14"/>
  <c r="BO137" i="14"/>
  <c r="BN137" i="14"/>
  <c r="BM137" i="14"/>
  <c r="BL137" i="14"/>
  <c r="CC136" i="14"/>
  <c r="CB136" i="14"/>
  <c r="CA136" i="14"/>
  <c r="BZ136" i="14"/>
  <c r="BY136" i="14"/>
  <c r="BX136" i="14"/>
  <c r="BW136" i="14"/>
  <c r="BV136" i="14"/>
  <c r="BU136" i="14"/>
  <c r="BT136" i="14"/>
  <c r="BS136" i="14"/>
  <c r="BR136" i="14"/>
  <c r="BQ136" i="14"/>
  <c r="BP136" i="14"/>
  <c r="BO136" i="14"/>
  <c r="BN136" i="14"/>
  <c r="BM136" i="14"/>
  <c r="BL136" i="14"/>
  <c r="CC128" i="14"/>
  <c r="CB128" i="14"/>
  <c r="CA128" i="14"/>
  <c r="BZ128" i="14"/>
  <c r="BY128" i="14"/>
  <c r="BX128" i="14"/>
  <c r="BW128" i="14"/>
  <c r="BV128" i="14"/>
  <c r="BU128" i="14"/>
  <c r="BT128" i="14"/>
  <c r="BS128" i="14"/>
  <c r="BR128" i="14"/>
  <c r="BQ128" i="14"/>
  <c r="BP128" i="14"/>
  <c r="BO128" i="14"/>
  <c r="BN128" i="14"/>
  <c r="BM128" i="14"/>
  <c r="BL128" i="14"/>
  <c r="CC127" i="14"/>
  <c r="CB127" i="14"/>
  <c r="CA127" i="14"/>
  <c r="BZ127" i="14"/>
  <c r="BY127" i="14"/>
  <c r="BX127" i="14"/>
  <c r="BW127" i="14"/>
  <c r="BV127" i="14"/>
  <c r="BU127" i="14"/>
  <c r="BT127" i="14"/>
  <c r="BS127" i="14"/>
  <c r="BR127" i="14"/>
  <c r="BQ127" i="14"/>
  <c r="BP127" i="14"/>
  <c r="BO127" i="14"/>
  <c r="BN127" i="14"/>
  <c r="BM127" i="14"/>
  <c r="BL127" i="14"/>
  <c r="CC126" i="14"/>
  <c r="CB126" i="14"/>
  <c r="CA126" i="14"/>
  <c r="BZ126" i="14"/>
  <c r="BY126" i="14"/>
  <c r="BX126" i="14"/>
  <c r="BW126" i="14"/>
  <c r="BV126" i="14"/>
  <c r="BU126" i="14"/>
  <c r="BT126" i="14"/>
  <c r="BS126" i="14"/>
  <c r="BR126" i="14"/>
  <c r="BQ126" i="14"/>
  <c r="BP126" i="14"/>
  <c r="BO126" i="14"/>
  <c r="BN126" i="14"/>
  <c r="BM126" i="14"/>
  <c r="BL126" i="14"/>
  <c r="CC123" i="14"/>
  <c r="CC122" i="14" s="1"/>
  <c r="CB123" i="14"/>
  <c r="CB122" i="14" s="1"/>
  <c r="CA123" i="14"/>
  <c r="CA122" i="14" s="1"/>
  <c r="BZ123" i="14"/>
  <c r="BZ122" i="14" s="1"/>
  <c r="BY123" i="14"/>
  <c r="BY122" i="14" s="1"/>
  <c r="BX123" i="14"/>
  <c r="BX122" i="14" s="1"/>
  <c r="BW123" i="14"/>
  <c r="BW122" i="14" s="1"/>
  <c r="BV123" i="14"/>
  <c r="BV122" i="14" s="1"/>
  <c r="BU123" i="14"/>
  <c r="BU122" i="14" s="1"/>
  <c r="BM123" i="14"/>
  <c r="BM122" i="14" s="1"/>
  <c r="BL123" i="14"/>
  <c r="BL122" i="14" s="1"/>
  <c r="BN117" i="14"/>
  <c r="BM117" i="14"/>
  <c r="BL117" i="14"/>
  <c r="BO116" i="14"/>
  <c r="BN116" i="14"/>
  <c r="BM116" i="14"/>
  <c r="BL116" i="14"/>
  <c r="CC115" i="14"/>
  <c r="CB115" i="14"/>
  <c r="CA115" i="14"/>
  <c r="BZ115" i="14"/>
  <c r="BY115" i="14"/>
  <c r="BX115" i="14"/>
  <c r="BW115" i="14"/>
  <c r="BV115" i="14"/>
  <c r="BU115" i="14"/>
  <c r="BT115" i="14"/>
  <c r="BS115" i="14"/>
  <c r="BR115" i="14"/>
  <c r="BM115" i="14"/>
  <c r="BL115" i="14"/>
  <c r="CC114" i="14"/>
  <c r="CB114" i="14"/>
  <c r="CA114" i="14"/>
  <c r="BZ114" i="14"/>
  <c r="BY114" i="14"/>
  <c r="BX114" i="14"/>
  <c r="BW114" i="14"/>
  <c r="BV114" i="14"/>
  <c r="BU114" i="14"/>
  <c r="BT114" i="14"/>
  <c r="BS114" i="14"/>
  <c r="BR114" i="14"/>
  <c r="BQ114" i="14"/>
  <c r="BP114" i="14"/>
  <c r="BO114" i="14"/>
  <c r="BN114" i="14"/>
  <c r="BM114" i="14"/>
  <c r="BL114" i="14"/>
  <c r="CC112" i="14"/>
  <c r="CB112" i="14"/>
  <c r="CA112" i="14"/>
  <c r="BZ112" i="14"/>
  <c r="BY112" i="14"/>
  <c r="BX112" i="14"/>
  <c r="BW112" i="14"/>
  <c r="BV112" i="14"/>
  <c r="BU112" i="14"/>
  <c r="BT112" i="14"/>
  <c r="BS112" i="14"/>
  <c r="BR112" i="14"/>
  <c r="BQ112" i="14"/>
  <c r="BP112" i="14"/>
  <c r="BO112" i="14"/>
  <c r="BN112" i="14"/>
  <c r="BM112" i="14"/>
  <c r="BL112" i="14"/>
  <c r="CC110" i="14"/>
  <c r="CB110" i="14"/>
  <c r="CA110" i="14"/>
  <c r="BZ110" i="14"/>
  <c r="BY110" i="14"/>
  <c r="BX110" i="14"/>
  <c r="BW110" i="14"/>
  <c r="BV110" i="14"/>
  <c r="BU110" i="14"/>
  <c r="BT110" i="14"/>
  <c r="BS110" i="14"/>
  <c r="BR110" i="14"/>
  <c r="BQ110" i="14"/>
  <c r="BP110" i="14"/>
  <c r="BO110" i="14"/>
  <c r="BN110" i="14"/>
  <c r="BM110" i="14"/>
  <c r="BL110" i="14"/>
  <c r="CC109" i="14"/>
  <c r="CB109" i="14"/>
  <c r="CA109" i="14"/>
  <c r="BZ109" i="14"/>
  <c r="BY109" i="14"/>
  <c r="BX109" i="14"/>
  <c r="BW109" i="14"/>
  <c r="BV109" i="14"/>
  <c r="BU109" i="14"/>
  <c r="BT109" i="14"/>
  <c r="BS109" i="14"/>
  <c r="BR109" i="14"/>
  <c r="BQ109" i="14"/>
  <c r="BP109" i="14"/>
  <c r="BO109" i="14"/>
  <c r="BN109" i="14"/>
  <c r="BM109" i="14"/>
  <c r="BL109" i="14"/>
  <c r="CC107" i="14"/>
  <c r="CB107" i="14"/>
  <c r="CA107" i="14"/>
  <c r="BZ107" i="14"/>
  <c r="BY107" i="14"/>
  <c r="BX107" i="14"/>
  <c r="BW107" i="14"/>
  <c r="BV107" i="14"/>
  <c r="BU107" i="14"/>
  <c r="BT107" i="14"/>
  <c r="BS107" i="14"/>
  <c r="BR107" i="14"/>
  <c r="BQ107" i="14"/>
  <c r="BP107" i="14"/>
  <c r="BO107" i="14"/>
  <c r="BN107" i="14"/>
  <c r="BM107" i="14"/>
  <c r="BL107" i="14"/>
  <c r="BI192" i="14"/>
  <c r="BH192" i="14"/>
  <c r="BG192" i="14"/>
  <c r="BF192" i="14"/>
  <c r="BE192" i="14"/>
  <c r="BD192" i="14"/>
  <c r="BC192" i="14"/>
  <c r="BB192" i="14"/>
  <c r="BA192" i="14"/>
  <c r="AZ192" i="14"/>
  <c r="AY192" i="14"/>
  <c r="AX192" i="14"/>
  <c r="AW192" i="14"/>
  <c r="AV192" i="14"/>
  <c r="AU192" i="14"/>
  <c r="AT192" i="14"/>
  <c r="AS192" i="14"/>
  <c r="AS191" i="14"/>
  <c r="BI188" i="14"/>
  <c r="BH188" i="14"/>
  <c r="BG188" i="14"/>
  <c r="BF188" i="14"/>
  <c r="BE188" i="14"/>
  <c r="BD188" i="14"/>
  <c r="BC188" i="14"/>
  <c r="BB188" i="14"/>
  <c r="BA188" i="14"/>
  <c r="AZ188" i="14"/>
  <c r="AY188" i="14"/>
  <c r="AX188" i="14"/>
  <c r="AW188" i="14"/>
  <c r="AV188" i="14"/>
  <c r="AU188" i="14"/>
  <c r="AT188" i="14"/>
  <c r="AS188" i="14"/>
  <c r="AS187" i="14"/>
  <c r="BJ184" i="14"/>
  <c r="BI184" i="14"/>
  <c r="BH184" i="14"/>
  <c r="BG184" i="14"/>
  <c r="BF184" i="14"/>
  <c r="BE184" i="14"/>
  <c r="BD184" i="14"/>
  <c r="BC184" i="14"/>
  <c r="BB184" i="14"/>
  <c r="BA184" i="14"/>
  <c r="AZ184" i="14"/>
  <c r="AY184" i="14"/>
  <c r="AX184" i="14"/>
  <c r="AW184" i="14"/>
  <c r="AV184" i="14"/>
  <c r="AU184" i="14"/>
  <c r="AT184" i="14"/>
  <c r="AS184" i="14"/>
  <c r="BJ183" i="14"/>
  <c r="BI183" i="14"/>
  <c r="BH183" i="14"/>
  <c r="BG183" i="14"/>
  <c r="BF183" i="14"/>
  <c r="BE183" i="14"/>
  <c r="BD183" i="14"/>
  <c r="BC183" i="14"/>
  <c r="BB183" i="14"/>
  <c r="BA183" i="14"/>
  <c r="AZ183" i="14"/>
  <c r="AY183" i="14"/>
  <c r="AX183" i="14"/>
  <c r="AW183" i="14"/>
  <c r="AV183" i="14"/>
  <c r="AU183" i="14"/>
  <c r="AT183" i="14"/>
  <c r="AS183" i="14"/>
  <c r="BJ179" i="14"/>
  <c r="BI179" i="14"/>
  <c r="BH179" i="14"/>
  <c r="BG179" i="14"/>
  <c r="BF179" i="14"/>
  <c r="BE179" i="14"/>
  <c r="BD179" i="14"/>
  <c r="BC179" i="14"/>
  <c r="BB179" i="14"/>
  <c r="BA179" i="14"/>
  <c r="AZ179" i="14"/>
  <c r="AY179" i="14"/>
  <c r="AX179" i="14"/>
  <c r="AW179" i="14"/>
  <c r="AV179" i="14"/>
  <c r="AU179" i="14"/>
  <c r="AT179" i="14"/>
  <c r="AS179" i="14"/>
  <c r="BJ178" i="14"/>
  <c r="BI178" i="14"/>
  <c r="BH178" i="14"/>
  <c r="BG178" i="14"/>
  <c r="BF178" i="14"/>
  <c r="BE178" i="14"/>
  <c r="BD178" i="14"/>
  <c r="BC178" i="14"/>
  <c r="BB178" i="14"/>
  <c r="BA178" i="14"/>
  <c r="AZ178" i="14"/>
  <c r="AY178" i="14"/>
  <c r="AX178" i="14"/>
  <c r="AW178" i="14"/>
  <c r="AV178" i="14"/>
  <c r="AU178" i="14"/>
  <c r="AT178" i="14"/>
  <c r="AS178" i="14"/>
  <c r="AY177" i="14"/>
  <c r="BJ176" i="14"/>
  <c r="BI176" i="14"/>
  <c r="BH176" i="14"/>
  <c r="BG176" i="14"/>
  <c r="BF176" i="14"/>
  <c r="BE176" i="14"/>
  <c r="BD176" i="14"/>
  <c r="BC176" i="14"/>
  <c r="BB176" i="14"/>
  <c r="BA176" i="14"/>
  <c r="AZ176" i="14"/>
  <c r="AY176" i="14"/>
  <c r="AX176" i="14"/>
  <c r="AW176" i="14"/>
  <c r="AV176" i="14"/>
  <c r="AU176" i="14"/>
  <c r="AT176" i="14"/>
  <c r="AS176" i="14"/>
  <c r="BJ175" i="14"/>
  <c r="BI175" i="14"/>
  <c r="BH175" i="14"/>
  <c r="BG175" i="14"/>
  <c r="BF175" i="14"/>
  <c r="BE175" i="14"/>
  <c r="BD175" i="14"/>
  <c r="BC175" i="14"/>
  <c r="BB175" i="14"/>
  <c r="BA175" i="14"/>
  <c r="AZ175" i="14"/>
  <c r="AY175" i="14"/>
  <c r="AX175" i="14"/>
  <c r="AW175" i="14"/>
  <c r="AV175" i="14"/>
  <c r="AU175" i="14"/>
  <c r="AT175" i="14"/>
  <c r="AS175" i="14"/>
  <c r="BJ168" i="14"/>
  <c r="BI168" i="14"/>
  <c r="BH168" i="14"/>
  <c r="BG168" i="14"/>
  <c r="BF168" i="14"/>
  <c r="BE168" i="14"/>
  <c r="BD168" i="14"/>
  <c r="BC168" i="14"/>
  <c r="BB168" i="14"/>
  <c r="BA168" i="14"/>
  <c r="AZ168" i="14"/>
  <c r="AY168" i="14"/>
  <c r="AX168" i="14"/>
  <c r="AW168" i="14"/>
  <c r="AV168" i="14"/>
  <c r="AU168" i="14"/>
  <c r="AT168" i="14"/>
  <c r="AS168" i="14"/>
  <c r="BI167" i="14"/>
  <c r="BH167" i="14"/>
  <c r="BG167" i="14"/>
  <c r="BF167" i="14"/>
  <c r="BE167" i="14"/>
  <c r="BD167" i="14"/>
  <c r="BC167" i="14"/>
  <c r="BB167" i="14"/>
  <c r="BA167" i="14"/>
  <c r="AZ167" i="14"/>
  <c r="AY167" i="14"/>
  <c r="AX167" i="14"/>
  <c r="AW167" i="14"/>
  <c r="AV167" i="14"/>
  <c r="AU167" i="14"/>
  <c r="AT167" i="14"/>
  <c r="AS167" i="14"/>
  <c r="BJ160" i="14"/>
  <c r="BI160" i="14"/>
  <c r="BH160" i="14"/>
  <c r="BF160" i="14"/>
  <c r="BE160" i="14"/>
  <c r="BD160" i="14"/>
  <c r="BC160" i="14"/>
  <c r="BB160" i="14"/>
  <c r="BA160" i="14"/>
  <c r="AZ160" i="14"/>
  <c r="AY160" i="14"/>
  <c r="AX160" i="14"/>
  <c r="AW160" i="14"/>
  <c r="AV160" i="14"/>
  <c r="AU160" i="14"/>
  <c r="AT160" i="14"/>
  <c r="AS160" i="14"/>
  <c r="BJ159" i="14"/>
  <c r="BI159" i="14"/>
  <c r="BH159" i="14"/>
  <c r="BG159" i="14"/>
  <c r="BF159" i="14"/>
  <c r="BE159" i="14"/>
  <c r="BD159" i="14"/>
  <c r="BC159" i="14"/>
  <c r="BB159" i="14"/>
  <c r="BA159" i="14"/>
  <c r="AZ159" i="14"/>
  <c r="AY159" i="14"/>
  <c r="AX159" i="14"/>
  <c r="AW159" i="14"/>
  <c r="AV159" i="14"/>
  <c r="AU159" i="14"/>
  <c r="AT159" i="14"/>
  <c r="AS159" i="14"/>
  <c r="BJ158" i="14"/>
  <c r="BI158" i="14"/>
  <c r="BH158" i="14"/>
  <c r="BG158" i="14"/>
  <c r="BF158" i="14"/>
  <c r="BE158" i="14"/>
  <c r="BD158" i="14"/>
  <c r="BC158" i="14"/>
  <c r="BB158" i="14"/>
  <c r="BA158" i="14"/>
  <c r="AZ158" i="14"/>
  <c r="AY158" i="14"/>
  <c r="AX158" i="14"/>
  <c r="AW158" i="14"/>
  <c r="AV158" i="14"/>
  <c r="AU158" i="14"/>
  <c r="AT158" i="14"/>
  <c r="AS158" i="14"/>
  <c r="BJ157" i="14"/>
  <c r="BI157" i="14"/>
  <c r="BH157" i="14"/>
  <c r="BG157" i="14"/>
  <c r="BF157" i="14"/>
  <c r="BE157" i="14"/>
  <c r="BD157" i="14"/>
  <c r="BC157" i="14"/>
  <c r="BB157" i="14"/>
  <c r="BA157" i="14"/>
  <c r="AZ157" i="14"/>
  <c r="AY157" i="14"/>
  <c r="AX157" i="14"/>
  <c r="AW157" i="14"/>
  <c r="AV157" i="14"/>
  <c r="AU157" i="14"/>
  <c r="AT157" i="14"/>
  <c r="AS157" i="14"/>
  <c r="BJ154" i="14"/>
  <c r="BJ153" i="14" s="1"/>
  <c r="BI154" i="14"/>
  <c r="BI153" i="14" s="1"/>
  <c r="BH154" i="14"/>
  <c r="BH153" i="14" s="1"/>
  <c r="BG154" i="14"/>
  <c r="BG153" i="14" s="1"/>
  <c r="BF154" i="14"/>
  <c r="BF153" i="14" s="1"/>
  <c r="BE154" i="14"/>
  <c r="BE153" i="14" s="1"/>
  <c r="BD154" i="14"/>
  <c r="BD153" i="14" s="1"/>
  <c r="BC154" i="14"/>
  <c r="BC153" i="14" s="1"/>
  <c r="BB154" i="14"/>
  <c r="BB153" i="14" s="1"/>
  <c r="BA154" i="14"/>
  <c r="BA153" i="14" s="1"/>
  <c r="AZ154" i="14"/>
  <c r="AZ153" i="14" s="1"/>
  <c r="AY154" i="14"/>
  <c r="AY153" i="14" s="1"/>
  <c r="AX154" i="14"/>
  <c r="AX153" i="14" s="1"/>
  <c r="AW154" i="14"/>
  <c r="AW153" i="14" s="1"/>
  <c r="AV154" i="14"/>
  <c r="AV153" i="14" s="1"/>
  <c r="AU154" i="14"/>
  <c r="AU153" i="14" s="1"/>
  <c r="AT154" i="14"/>
  <c r="AT153" i="14" s="1"/>
  <c r="AS154" i="14"/>
  <c r="AS153" i="14" s="1"/>
  <c r="BJ150" i="14"/>
  <c r="BI150" i="14"/>
  <c r="BH150" i="14"/>
  <c r="BG150" i="14"/>
  <c r="BF150" i="14"/>
  <c r="BE150" i="14"/>
  <c r="BD150" i="14"/>
  <c r="BC150" i="14"/>
  <c r="BB150" i="14"/>
  <c r="BA150" i="14"/>
  <c r="AZ150" i="14"/>
  <c r="AY150" i="14"/>
  <c r="AX150" i="14"/>
  <c r="AW150" i="14"/>
  <c r="AV150" i="14"/>
  <c r="AU150" i="14"/>
  <c r="AT150" i="14"/>
  <c r="AS150" i="14"/>
  <c r="BJ149" i="14"/>
  <c r="BI149" i="14"/>
  <c r="BH149" i="14"/>
  <c r="BG149" i="14"/>
  <c r="BF149" i="14"/>
  <c r="BE149" i="14"/>
  <c r="BD149" i="14"/>
  <c r="BC149" i="14"/>
  <c r="BB149" i="14"/>
  <c r="BA149" i="14"/>
  <c r="AZ149" i="14"/>
  <c r="AY149" i="14"/>
  <c r="AX149" i="14"/>
  <c r="AW149" i="14"/>
  <c r="AV149" i="14"/>
  <c r="AU149" i="14"/>
  <c r="AT149" i="14"/>
  <c r="AS149" i="14"/>
  <c r="BJ144" i="14"/>
  <c r="BJ143" i="14" s="1"/>
  <c r="BI144" i="14"/>
  <c r="BI143" i="14" s="1"/>
  <c r="BH144" i="14"/>
  <c r="BH143" i="14" s="1"/>
  <c r="BG144" i="14"/>
  <c r="BG143" i="14" s="1"/>
  <c r="BF144" i="14"/>
  <c r="BF143" i="14" s="1"/>
  <c r="BE144" i="14"/>
  <c r="BE143" i="14" s="1"/>
  <c r="BD144" i="14"/>
  <c r="BD143" i="14" s="1"/>
  <c r="BC144" i="14"/>
  <c r="BC143" i="14" s="1"/>
  <c r="BB144" i="14"/>
  <c r="BB143" i="14" s="1"/>
  <c r="BA144" i="14"/>
  <c r="BA143" i="14" s="1"/>
  <c r="AZ144" i="14"/>
  <c r="AZ143" i="14" s="1"/>
  <c r="AY144" i="14"/>
  <c r="AY143" i="14" s="1"/>
  <c r="AX144" i="14"/>
  <c r="AX143" i="14" s="1"/>
  <c r="AW144" i="14"/>
  <c r="AW143" i="14" s="1"/>
  <c r="AV144" i="14"/>
  <c r="AV143" i="14" s="1"/>
  <c r="AU144" i="14"/>
  <c r="AU143" i="14" s="1"/>
  <c r="AT144" i="14"/>
  <c r="AT143" i="14" s="1"/>
  <c r="AS144" i="14"/>
  <c r="AS143" i="14" s="1"/>
  <c r="BJ141" i="14"/>
  <c r="BI141" i="14"/>
  <c r="BH141" i="14"/>
  <c r="BG141" i="14"/>
  <c r="BF141" i="14"/>
  <c r="BE141" i="14"/>
  <c r="BD141" i="14"/>
  <c r="BC141" i="14"/>
  <c r="BB141" i="14"/>
  <c r="BA141" i="14"/>
  <c r="AZ141" i="14"/>
  <c r="AY141" i="14"/>
  <c r="AX141" i="14"/>
  <c r="AW141" i="14"/>
  <c r="AV141" i="14"/>
  <c r="AU141" i="14"/>
  <c r="AT141" i="14"/>
  <c r="AS141" i="14"/>
  <c r="BJ140" i="14"/>
  <c r="BI140" i="14"/>
  <c r="BH140" i="14"/>
  <c r="BG140" i="14"/>
  <c r="BF140" i="14"/>
  <c r="BE140" i="14"/>
  <c r="BD140" i="14"/>
  <c r="BC140" i="14"/>
  <c r="BB140" i="14"/>
  <c r="BA140" i="14"/>
  <c r="AZ140" i="14"/>
  <c r="AY140" i="14"/>
  <c r="AX140" i="14"/>
  <c r="AW140" i="14"/>
  <c r="AV140" i="14"/>
  <c r="AU140" i="14"/>
  <c r="AT140" i="14"/>
  <c r="AS140" i="14"/>
  <c r="BJ139" i="14"/>
  <c r="BI139" i="14"/>
  <c r="BH139" i="14"/>
  <c r="BG139" i="14"/>
  <c r="BF139" i="14"/>
  <c r="BE139" i="14"/>
  <c r="BD139" i="14"/>
  <c r="BC139" i="14"/>
  <c r="BB139" i="14"/>
  <c r="BA139" i="14"/>
  <c r="AZ139" i="14"/>
  <c r="AY139" i="14"/>
  <c r="AX139" i="14"/>
  <c r="AW139" i="14"/>
  <c r="AV139" i="14"/>
  <c r="AU139" i="14"/>
  <c r="AT139" i="14"/>
  <c r="AS139" i="14"/>
  <c r="BJ138" i="14"/>
  <c r="BI138" i="14"/>
  <c r="BH138" i="14"/>
  <c r="BG138" i="14"/>
  <c r="BF138" i="14"/>
  <c r="BE138" i="14"/>
  <c r="BD138" i="14"/>
  <c r="BC138" i="14"/>
  <c r="BB138" i="14"/>
  <c r="BA138" i="14"/>
  <c r="AZ138" i="14"/>
  <c r="AY138" i="14"/>
  <c r="AX138" i="14"/>
  <c r="AW138" i="14"/>
  <c r="AV138" i="14"/>
  <c r="AU138" i="14"/>
  <c r="AT138" i="14"/>
  <c r="AS138" i="14"/>
  <c r="BJ137" i="14"/>
  <c r="BI137" i="14"/>
  <c r="BH137" i="14"/>
  <c r="BG137" i="14"/>
  <c r="BF137" i="14"/>
  <c r="BE137" i="14"/>
  <c r="BD137" i="14"/>
  <c r="BC137" i="14"/>
  <c r="BB137" i="14"/>
  <c r="BA137" i="14"/>
  <c r="AZ137" i="14"/>
  <c r="AY137" i="14"/>
  <c r="AX137" i="14"/>
  <c r="AW137" i="14"/>
  <c r="AV137" i="14"/>
  <c r="AU137" i="14"/>
  <c r="AT137" i="14"/>
  <c r="AS137" i="14"/>
  <c r="BJ136" i="14"/>
  <c r="BI136" i="14"/>
  <c r="BH136" i="14"/>
  <c r="BG136" i="14"/>
  <c r="BF136" i="14"/>
  <c r="BE136" i="14"/>
  <c r="BD136" i="14"/>
  <c r="BC136" i="14"/>
  <c r="BB136" i="14"/>
  <c r="BA136" i="14"/>
  <c r="AZ136" i="14"/>
  <c r="AY136" i="14"/>
  <c r="AX136" i="14"/>
  <c r="AW136" i="14"/>
  <c r="AV136" i="14"/>
  <c r="AU136" i="14"/>
  <c r="AT136" i="14"/>
  <c r="AS136" i="14"/>
  <c r="BJ128" i="14"/>
  <c r="BI128" i="14"/>
  <c r="BH128" i="14"/>
  <c r="BG128" i="14"/>
  <c r="BF128" i="14"/>
  <c r="BE128" i="14"/>
  <c r="BD128" i="14"/>
  <c r="BC128" i="14"/>
  <c r="BB128" i="14"/>
  <c r="BA128" i="14"/>
  <c r="AZ128" i="14"/>
  <c r="AY128" i="14"/>
  <c r="AX128" i="14"/>
  <c r="AW128" i="14"/>
  <c r="AV128" i="14"/>
  <c r="AU128" i="14"/>
  <c r="AT128" i="14"/>
  <c r="AS128" i="14"/>
  <c r="BJ127" i="14"/>
  <c r="BI127" i="14"/>
  <c r="BH127" i="14"/>
  <c r="BG127" i="14"/>
  <c r="BF127" i="14"/>
  <c r="BE127" i="14"/>
  <c r="BD127" i="14"/>
  <c r="BC127" i="14"/>
  <c r="BB127" i="14"/>
  <c r="BA127" i="14"/>
  <c r="AZ127" i="14"/>
  <c r="AY127" i="14"/>
  <c r="AX127" i="14"/>
  <c r="AW127" i="14"/>
  <c r="AV127" i="14"/>
  <c r="AU127" i="14"/>
  <c r="AT127" i="14"/>
  <c r="AS127" i="14"/>
  <c r="BJ126" i="14"/>
  <c r="BI126" i="14"/>
  <c r="BH126" i="14"/>
  <c r="BG126" i="14"/>
  <c r="BF126" i="14"/>
  <c r="BE126" i="14"/>
  <c r="BD126" i="14"/>
  <c r="BC126" i="14"/>
  <c r="BB126" i="14"/>
  <c r="BA126" i="14"/>
  <c r="AZ126" i="14"/>
  <c r="AY126" i="14"/>
  <c r="AX126" i="14"/>
  <c r="AW126" i="14"/>
  <c r="AV126" i="14"/>
  <c r="AU126" i="14"/>
  <c r="AT126" i="14"/>
  <c r="AS126" i="14"/>
  <c r="BJ123" i="14"/>
  <c r="BJ122" i="14" s="1"/>
  <c r="BI123" i="14"/>
  <c r="BI122" i="14" s="1"/>
  <c r="BH123" i="14"/>
  <c r="BH122" i="14" s="1"/>
  <c r="BG123" i="14"/>
  <c r="BG122" i="14" s="1"/>
  <c r="BF123" i="14"/>
  <c r="BF122" i="14" s="1"/>
  <c r="BE123" i="14"/>
  <c r="BE122" i="14" s="1"/>
  <c r="BD123" i="14"/>
  <c r="BD122" i="14" s="1"/>
  <c r="BC123" i="14"/>
  <c r="BC122" i="14" s="1"/>
  <c r="BB123" i="14"/>
  <c r="BB122" i="14" s="1"/>
  <c r="AT123" i="14"/>
  <c r="AT122" i="14" s="1"/>
  <c r="AS123" i="14"/>
  <c r="AS122" i="14" s="1"/>
  <c r="AS117" i="14"/>
  <c r="AS116" i="14"/>
  <c r="BJ115" i="14"/>
  <c r="BI115" i="14"/>
  <c r="BH115" i="14"/>
  <c r="BG115" i="14"/>
  <c r="BF115" i="14"/>
  <c r="BE115" i="14"/>
  <c r="BD115" i="14"/>
  <c r="BC115" i="14"/>
  <c r="BB115" i="14"/>
  <c r="BA115" i="14"/>
  <c r="AZ115" i="14"/>
  <c r="AY115" i="14"/>
  <c r="AT115" i="14"/>
  <c r="AS115" i="14"/>
  <c r="BJ114" i="14"/>
  <c r="BI114" i="14"/>
  <c r="BH114" i="14"/>
  <c r="BG114" i="14"/>
  <c r="BF114" i="14"/>
  <c r="BE114" i="14"/>
  <c r="BD114" i="14"/>
  <c r="BC114" i="14"/>
  <c r="BB114" i="14"/>
  <c r="BA114" i="14"/>
  <c r="AZ114" i="14"/>
  <c r="AY114" i="14"/>
  <c r="AX114" i="14"/>
  <c r="AW114" i="14"/>
  <c r="AV114" i="14"/>
  <c r="AU114" i="14"/>
  <c r="AT114" i="14"/>
  <c r="AS114" i="14"/>
  <c r="BJ112" i="14"/>
  <c r="BI112" i="14"/>
  <c r="BH112" i="14"/>
  <c r="BG112" i="14"/>
  <c r="BF112" i="14"/>
  <c r="BE112" i="14"/>
  <c r="BD112" i="14"/>
  <c r="BC112" i="14"/>
  <c r="BB112" i="14"/>
  <c r="BA112" i="14"/>
  <c r="AZ112" i="14"/>
  <c r="AY112" i="14"/>
  <c r="AX112" i="14"/>
  <c r="AW112" i="14"/>
  <c r="AV112" i="14"/>
  <c r="AU112" i="14"/>
  <c r="AT112" i="14"/>
  <c r="AS112" i="14"/>
  <c r="BJ110" i="14"/>
  <c r="BI110" i="14"/>
  <c r="BH110" i="14"/>
  <c r="BG110" i="14"/>
  <c r="BF110" i="14"/>
  <c r="BE110" i="14"/>
  <c r="BD110" i="14"/>
  <c r="BC110" i="14"/>
  <c r="BB110" i="14"/>
  <c r="BA110" i="14"/>
  <c r="AZ110" i="14"/>
  <c r="AY110" i="14"/>
  <c r="AX110" i="14"/>
  <c r="AW110" i="14"/>
  <c r="AV110" i="14"/>
  <c r="AU110" i="14"/>
  <c r="AT110" i="14"/>
  <c r="AS110" i="14"/>
  <c r="BJ109" i="14"/>
  <c r="BI109" i="14"/>
  <c r="BH109" i="14"/>
  <c r="BG109" i="14"/>
  <c r="BF109" i="14"/>
  <c r="BE109" i="14"/>
  <c r="BD109" i="14"/>
  <c r="BC109" i="14"/>
  <c r="BB109" i="14"/>
  <c r="BA109" i="14"/>
  <c r="AZ109" i="14"/>
  <c r="AY109" i="14"/>
  <c r="AX109" i="14"/>
  <c r="AW109" i="14"/>
  <c r="AV109" i="14"/>
  <c r="AU109" i="14"/>
  <c r="AT109" i="14"/>
  <c r="AS109" i="14"/>
  <c r="BJ107" i="14"/>
  <c r="BI107" i="14"/>
  <c r="BH107" i="14"/>
  <c r="BG107" i="14"/>
  <c r="BF107" i="14"/>
  <c r="BE107" i="14"/>
  <c r="BD107" i="14"/>
  <c r="BC107" i="14"/>
  <c r="BB107" i="14"/>
  <c r="BA107" i="14"/>
  <c r="AZ107" i="14"/>
  <c r="AY107" i="14"/>
  <c r="AX107" i="14"/>
  <c r="AW107" i="14"/>
  <c r="AV107" i="14"/>
  <c r="AU107" i="14"/>
  <c r="AT107" i="14"/>
  <c r="AS107" i="14"/>
  <c r="AP184" i="14"/>
  <c r="AP183" i="14"/>
  <c r="AP179" i="14"/>
  <c r="AP178" i="14"/>
  <c r="AP176" i="14"/>
  <c r="AP175" i="14"/>
  <c r="AP168" i="14"/>
  <c r="AP160" i="14"/>
  <c r="AP159" i="14"/>
  <c r="AP158" i="14"/>
  <c r="AP157" i="14"/>
  <c r="AP154" i="14"/>
  <c r="AP150" i="14"/>
  <c r="AP149" i="14"/>
  <c r="AP144" i="14"/>
  <c r="AP141" i="14"/>
  <c r="AP140" i="14"/>
  <c r="AP139" i="14"/>
  <c r="AP138" i="14"/>
  <c r="AP137" i="14"/>
  <c r="AP136" i="14"/>
  <c r="AP128" i="14"/>
  <c r="AP127" i="14"/>
  <c r="AP126" i="14"/>
  <c r="AP123" i="14"/>
  <c r="AP115" i="14"/>
  <c r="AP114" i="14"/>
  <c r="AP112" i="14"/>
  <c r="AP110" i="14"/>
  <c r="AP109" i="14"/>
  <c r="AP107" i="14"/>
  <c r="AX148" i="14" l="1"/>
  <c r="DA166" i="14"/>
  <c r="CS166" i="14"/>
  <c r="BR148" i="14"/>
  <c r="BZ148" i="14"/>
  <c r="DD166" i="14"/>
  <c r="BX174" i="14"/>
  <c r="DG148" i="14"/>
  <c r="CY193" i="14"/>
  <c r="DK166" i="14"/>
  <c r="BH166" i="14"/>
  <c r="BO148" i="14"/>
  <c r="BW148" i="14"/>
  <c r="DC174" i="14"/>
  <c r="DK174" i="14"/>
  <c r="CY166" i="14"/>
  <c r="DG166" i="14"/>
  <c r="DO166" i="14"/>
  <c r="DL174" i="14"/>
  <c r="BZ166" i="14"/>
  <c r="BN174" i="14"/>
  <c r="BV174" i="14"/>
  <c r="DE166" i="14"/>
  <c r="DM166" i="14"/>
  <c r="DB174" i="14"/>
  <c r="DJ174" i="14"/>
  <c r="BL148" i="14"/>
  <c r="BT148" i="14"/>
  <c r="CB148" i="14"/>
  <c r="AW174" i="14"/>
  <c r="CI148" i="14"/>
  <c r="CQ148" i="14"/>
  <c r="DD174" i="14"/>
  <c r="CT174" i="14"/>
  <c r="DH148" i="14"/>
  <c r="DF174" i="14"/>
  <c r="CE166" i="14"/>
  <c r="BM148" i="14"/>
  <c r="BU148" i="14"/>
  <c r="BG174" i="14"/>
  <c r="BQ166" i="14"/>
  <c r="BS148" i="14"/>
  <c r="CA148" i="14"/>
  <c r="BO174" i="14"/>
  <c r="DC125" i="14"/>
  <c r="AZ166" i="14"/>
  <c r="BL166" i="14"/>
  <c r="AS148" i="14"/>
  <c r="BA148" i="14"/>
  <c r="BI148" i="14"/>
  <c r="AZ148" i="14"/>
  <c r="DI125" i="14"/>
  <c r="DI130" i="14" s="1"/>
  <c r="DE174" i="14"/>
  <c r="DM174" i="14"/>
  <c r="AX135" i="14"/>
  <c r="AX146" i="14" s="1"/>
  <c r="BF135" i="14"/>
  <c r="BF146" i="14" s="1"/>
  <c r="AV135" i="14"/>
  <c r="AV146" i="14" s="1"/>
  <c r="AU166" i="14"/>
  <c r="BC166" i="14"/>
  <c r="CF148" i="14"/>
  <c r="CM166" i="14"/>
  <c r="DB166" i="14"/>
  <c r="CG166" i="14"/>
  <c r="CO166" i="14"/>
  <c r="CL174" i="14"/>
  <c r="BF148" i="14"/>
  <c r="BO166" i="14"/>
  <c r="BW166" i="14"/>
  <c r="CQ166" i="14"/>
  <c r="BF125" i="14"/>
  <c r="BF130" i="14" s="1"/>
  <c r="BV156" i="14"/>
  <c r="BV162" i="14" s="1"/>
  <c r="DE135" i="14"/>
  <c r="DE146" i="14" s="1"/>
  <c r="DM135" i="14"/>
  <c r="DM146" i="14" s="1"/>
  <c r="DK135" i="14"/>
  <c r="DK146" i="14" s="1"/>
  <c r="DI135" i="14"/>
  <c r="DI146" i="14" s="1"/>
  <c r="AP125" i="14"/>
  <c r="AV174" i="14"/>
  <c r="BW174" i="14"/>
  <c r="BB166" i="14"/>
  <c r="BS166" i="14"/>
  <c r="CA166" i="14"/>
  <c r="DO135" i="14"/>
  <c r="DO146" i="14" s="1"/>
  <c r="CY189" i="14"/>
  <c r="CC148" i="14"/>
  <c r="CK166" i="14"/>
  <c r="AS174" i="14"/>
  <c r="BA174" i="14"/>
  <c r="BI174" i="14"/>
  <c r="CG148" i="14"/>
  <c r="DC156" i="14"/>
  <c r="DC162" i="14" s="1"/>
  <c r="DK156" i="14"/>
  <c r="DK162" i="14" s="1"/>
  <c r="DN174" i="14"/>
  <c r="AV156" i="14"/>
  <c r="AV162" i="14" s="1"/>
  <c r="AX166" i="14"/>
  <c r="AT174" i="14"/>
  <c r="BB174" i="14"/>
  <c r="BJ174" i="14"/>
  <c r="BP125" i="14"/>
  <c r="BX125" i="14"/>
  <c r="BL189" i="14"/>
  <c r="CU166" i="14"/>
  <c r="DE148" i="14"/>
  <c r="DM148" i="14"/>
  <c r="CY174" i="14"/>
  <c r="AU125" i="14"/>
  <c r="BX130" i="14"/>
  <c r="CA156" i="14"/>
  <c r="CA162" i="14" s="1"/>
  <c r="CH125" i="14"/>
  <c r="CP125" i="14"/>
  <c r="CP130" i="14" s="1"/>
  <c r="DF156" i="14"/>
  <c r="DF162" i="14" s="1"/>
  <c r="DA174" i="14"/>
  <c r="DI174" i="14"/>
  <c r="AP148" i="14"/>
  <c r="AP174" i="14"/>
  <c r="AZ125" i="14"/>
  <c r="BD125" i="14"/>
  <c r="BD130" i="14" s="1"/>
  <c r="BH148" i="14"/>
  <c r="BD156" i="14"/>
  <c r="BD162" i="14" s="1"/>
  <c r="AT156" i="14"/>
  <c r="AT162" i="14" s="1"/>
  <c r="BD174" i="14"/>
  <c r="BM125" i="14"/>
  <c r="BM130" i="14" s="1"/>
  <c r="CK174" i="14"/>
  <c r="CS174" i="14"/>
  <c r="CZ148" i="14"/>
  <c r="DP148" i="14"/>
  <c r="DI166" i="14"/>
  <c r="AS125" i="14"/>
  <c r="AS130" i="14" s="1"/>
  <c r="BA125" i="14"/>
  <c r="BI125" i="14"/>
  <c r="BI130" i="14" s="1"/>
  <c r="AW156" i="14"/>
  <c r="AW162" i="14" s="1"/>
  <c r="BE156" i="14"/>
  <c r="BE162" i="14" s="1"/>
  <c r="BA156" i="14"/>
  <c r="BA162" i="14" s="1"/>
  <c r="AY156" i="14"/>
  <c r="AY162" i="14" s="1"/>
  <c r="AT166" i="14"/>
  <c r="BP166" i="14"/>
  <c r="BX166" i="14"/>
  <c r="BP174" i="14"/>
  <c r="CF125" i="14"/>
  <c r="CF130" i="14" s="1"/>
  <c r="CN125" i="14"/>
  <c r="CN130" i="14" s="1"/>
  <c r="CV125" i="14"/>
  <c r="CV130" i="14" s="1"/>
  <c r="CJ174" i="14"/>
  <c r="CE189" i="14"/>
  <c r="DP125" i="14"/>
  <c r="DP130" i="14" s="1"/>
  <c r="CY148" i="14"/>
  <c r="DJ166" i="14"/>
  <c r="CE174" i="14"/>
  <c r="CM174" i="14"/>
  <c r="CU174" i="14"/>
  <c r="DB148" i="14"/>
  <c r="DJ148" i="14"/>
  <c r="BC125" i="14"/>
  <c r="BC130" i="14" s="1"/>
  <c r="BD135" i="14"/>
  <c r="BD146" i="14" s="1"/>
  <c r="AU148" i="14"/>
  <c r="BC148" i="14"/>
  <c r="AV166" i="14"/>
  <c r="BD166" i="14"/>
  <c r="AY174" i="14"/>
  <c r="BE174" i="14"/>
  <c r="BV135" i="14"/>
  <c r="BV146" i="14" s="1"/>
  <c r="BR166" i="14"/>
  <c r="BY166" i="14"/>
  <c r="BL174" i="14"/>
  <c r="BT174" i="14"/>
  <c r="CB174" i="14"/>
  <c r="BR174" i="14"/>
  <c r="CJ166" i="14"/>
  <c r="CR166" i="14"/>
  <c r="DC148" i="14"/>
  <c r="DK148" i="14"/>
  <c r="DA148" i="14"/>
  <c r="AW135" i="14"/>
  <c r="AW146" i="14" s="1"/>
  <c r="BE135" i="14"/>
  <c r="BE146" i="14" s="1"/>
  <c r="AU135" i="14"/>
  <c r="AU146" i="14" s="1"/>
  <c r="BC135" i="14"/>
  <c r="BC146" i="14" s="1"/>
  <c r="AV148" i="14"/>
  <c r="BD148" i="14"/>
  <c r="BS174" i="14"/>
  <c r="CA174" i="14"/>
  <c r="DG135" i="14"/>
  <c r="DG146" i="14" s="1"/>
  <c r="AX125" i="14"/>
  <c r="BB156" i="14"/>
  <c r="BJ156" i="14"/>
  <c r="BJ162" i="14" s="1"/>
  <c r="AS193" i="14"/>
  <c r="BQ135" i="14"/>
  <c r="BQ146" i="14" s="1"/>
  <c r="BY135" i="14"/>
  <c r="BY146" i="14" s="1"/>
  <c r="BO135" i="14"/>
  <c r="BO146" i="14" s="1"/>
  <c r="BW135" i="14"/>
  <c r="BW146" i="14" s="1"/>
  <c r="DG156" i="14"/>
  <c r="DG162" i="14" s="1"/>
  <c r="CZ174" i="14"/>
  <c r="AW166" i="14"/>
  <c r="BE166" i="14"/>
  <c r="AP135" i="14"/>
  <c r="CH148" i="14"/>
  <c r="AS156" i="14"/>
  <c r="AS162" i="14" s="1"/>
  <c r="BI156" i="14"/>
  <c r="BI162" i="14" s="1"/>
  <c r="CU135" i="14"/>
  <c r="CU146" i="14" s="1"/>
  <c r="AP156" i="14"/>
  <c r="AT125" i="14"/>
  <c r="AT130" i="14" s="1"/>
  <c r="BB125" i="14"/>
  <c r="BB130" i="14" s="1"/>
  <c r="BJ125" i="14"/>
  <c r="BJ130" i="14" s="1"/>
  <c r="BH125" i="14"/>
  <c r="BH130" i="14" s="1"/>
  <c r="AW148" i="14"/>
  <c r="BE148" i="14"/>
  <c r="AY166" i="14"/>
  <c r="BG166" i="14"/>
  <c r="AU174" i="14"/>
  <c r="BC174" i="14"/>
  <c r="BZ125" i="14"/>
  <c r="BZ130" i="14" s="1"/>
  <c r="BQ148" i="14"/>
  <c r="BY148" i="14"/>
  <c r="BS156" i="14"/>
  <c r="BS162" i="14" s="1"/>
  <c r="CG125" i="14"/>
  <c r="DE125" i="14"/>
  <c r="DM125" i="14"/>
  <c r="DM130" i="14" s="1"/>
  <c r="DF135" i="14"/>
  <c r="DF146" i="14" s="1"/>
  <c r="DN135" i="14"/>
  <c r="DN146" i="14" s="1"/>
  <c r="DL166" i="14"/>
  <c r="AZ135" i="14"/>
  <c r="AZ146" i="14" s="1"/>
  <c r="BH135" i="14"/>
  <c r="BH146" i="14" s="1"/>
  <c r="BL135" i="14"/>
  <c r="BL146" i="14" s="1"/>
  <c r="BT135" i="14"/>
  <c r="BT146" i="14" s="1"/>
  <c r="CB135" i="14"/>
  <c r="CB146" i="14" s="1"/>
  <c r="BR135" i="14"/>
  <c r="BR146" i="14" s="1"/>
  <c r="BZ135" i="14"/>
  <c r="BZ146" i="14" s="1"/>
  <c r="BN135" i="14"/>
  <c r="BN146" i="14" s="1"/>
  <c r="AV125" i="14"/>
  <c r="AS135" i="14"/>
  <c r="AS146" i="14" s="1"/>
  <c r="BA135" i="14"/>
  <c r="BA146" i="14" s="1"/>
  <c r="BI135" i="14"/>
  <c r="BI146" i="14" s="1"/>
  <c r="AY135" i="14"/>
  <c r="AY146" i="14" s="1"/>
  <c r="BG135" i="14"/>
  <c r="BG146" i="14" s="1"/>
  <c r="AY148" i="14"/>
  <c r="BG148" i="14"/>
  <c r="AZ156" i="14"/>
  <c r="AZ162" i="14" s="1"/>
  <c r="BH156" i="14"/>
  <c r="BH162" i="14" s="1"/>
  <c r="AX156" i="14"/>
  <c r="AX162" i="14" s="1"/>
  <c r="BF156" i="14"/>
  <c r="BF162" i="14" s="1"/>
  <c r="AS166" i="14"/>
  <c r="BA166" i="14"/>
  <c r="BI166" i="14"/>
  <c r="BT125" i="14"/>
  <c r="CB125" i="14"/>
  <c r="CB130" i="14" s="1"/>
  <c r="CE156" i="14"/>
  <c r="CE162" i="14" s="1"/>
  <c r="CM156" i="14"/>
  <c r="CM162" i="14" s="1"/>
  <c r="CU156" i="14"/>
  <c r="CU162" i="14" s="1"/>
  <c r="DF148" i="14"/>
  <c r="DN148" i="14"/>
  <c r="AW125" i="14"/>
  <c r="AT135" i="14"/>
  <c r="AT146" i="14" s="1"/>
  <c r="BB135" i="14"/>
  <c r="BB146" i="14" s="1"/>
  <c r="BJ135" i="14"/>
  <c r="BJ146" i="14" s="1"/>
  <c r="BU125" i="14"/>
  <c r="BU130" i="14" s="1"/>
  <c r="CC125" i="14"/>
  <c r="CC130" i="14" s="1"/>
  <c r="BQ174" i="14"/>
  <c r="BY174" i="14"/>
  <c r="CK135" i="14"/>
  <c r="CK146" i="14" s="1"/>
  <c r="CS135" i="14"/>
  <c r="CS146" i="14" s="1"/>
  <c r="CI135" i="14"/>
  <c r="CI146" i="14" s="1"/>
  <c r="CQ135" i="14"/>
  <c r="CQ146" i="14" s="1"/>
  <c r="CG135" i="14"/>
  <c r="CG146" i="14" s="1"/>
  <c r="CO135" i="14"/>
  <c r="CO146" i="14" s="1"/>
  <c r="CM135" i="14"/>
  <c r="CM146" i="14" s="1"/>
  <c r="CN148" i="14"/>
  <c r="CV148" i="14"/>
  <c r="CL156" i="14"/>
  <c r="CL162" i="14" s="1"/>
  <c r="CF174" i="14"/>
  <c r="CN174" i="14"/>
  <c r="CV174" i="14"/>
  <c r="CZ125" i="14"/>
  <c r="CZ130" i="14" s="1"/>
  <c r="DH125" i="14"/>
  <c r="DH130" i="14" s="1"/>
  <c r="DO148" i="14"/>
  <c r="DN156" i="14"/>
  <c r="DN162" i="14" s="1"/>
  <c r="CZ166" i="14"/>
  <c r="DH166" i="14"/>
  <c r="DG174" i="14"/>
  <c r="DO174" i="14"/>
  <c r="BN125" i="14"/>
  <c r="BV125" i="14"/>
  <c r="BV130" i="14" s="1"/>
  <c r="BL125" i="14"/>
  <c r="BL130" i="14" s="1"/>
  <c r="DK125" i="14"/>
  <c r="DK130" i="14" s="1"/>
  <c r="DA125" i="14"/>
  <c r="AU156" i="14"/>
  <c r="AU162" i="14" s="1"/>
  <c r="BC156" i="14"/>
  <c r="BC162" i="14" s="1"/>
  <c r="AZ174" i="14"/>
  <c r="BH174" i="14"/>
  <c r="AS189" i="14"/>
  <c r="BP156" i="14"/>
  <c r="BP162" i="14" s="1"/>
  <c r="BX156" i="14"/>
  <c r="BX162" i="14" s="1"/>
  <c r="BN156" i="14"/>
  <c r="BN162" i="14" s="1"/>
  <c r="BR156" i="14"/>
  <c r="BR162" i="14" s="1"/>
  <c r="CE135" i="14"/>
  <c r="CE146" i="14" s="1"/>
  <c r="CP148" i="14"/>
  <c r="CJ156" i="14"/>
  <c r="CJ162" i="14" s="1"/>
  <c r="CR156" i="14"/>
  <c r="CR162" i="14" s="1"/>
  <c r="CH156" i="14"/>
  <c r="CH162" i="14" s="1"/>
  <c r="CP156" i="14"/>
  <c r="CP162" i="14" s="1"/>
  <c r="CF156" i="14"/>
  <c r="CF162" i="14" s="1"/>
  <c r="CN156" i="14"/>
  <c r="CN162" i="14" s="1"/>
  <c r="CV156" i="14"/>
  <c r="CV162" i="14" s="1"/>
  <c r="CR174" i="14"/>
  <c r="DL125" i="14"/>
  <c r="DL130" i="14" s="1"/>
  <c r="DC135" i="14"/>
  <c r="DC146" i="14" s="1"/>
  <c r="DA135" i="14"/>
  <c r="DA146" i="14" s="1"/>
  <c r="CY135" i="14"/>
  <c r="CY146" i="14" s="1"/>
  <c r="BM135" i="14"/>
  <c r="BM146" i="14" s="1"/>
  <c r="BU135" i="14"/>
  <c r="BU146" i="14" s="1"/>
  <c r="CC135" i="14"/>
  <c r="CC146" i="14" s="1"/>
  <c r="BM166" i="14"/>
  <c r="BU166" i="14"/>
  <c r="BT166" i="14"/>
  <c r="CB166" i="14"/>
  <c r="BZ174" i="14"/>
  <c r="CI166" i="14"/>
  <c r="DC166" i="14"/>
  <c r="DH174" i="14"/>
  <c r="BF166" i="14"/>
  <c r="BE125" i="14"/>
  <c r="BE130" i="14" s="1"/>
  <c r="AY125" i="14"/>
  <c r="BG125" i="14"/>
  <c r="BG130" i="14" s="1"/>
  <c r="AT148" i="14"/>
  <c r="BB148" i="14"/>
  <c r="BJ148" i="14"/>
  <c r="BB162" i="14"/>
  <c r="AX174" i="14"/>
  <c r="BF174" i="14"/>
  <c r="BS125" i="14"/>
  <c r="CA125" i="14"/>
  <c r="CA130" i="14" s="1"/>
  <c r="BQ125" i="14"/>
  <c r="BY125" i="14"/>
  <c r="BY130" i="14" s="1"/>
  <c r="BO125" i="14"/>
  <c r="BW125" i="14"/>
  <c r="BW130" i="14" s="1"/>
  <c r="BM174" i="14"/>
  <c r="BU174" i="14"/>
  <c r="CC174" i="14"/>
  <c r="CL135" i="14"/>
  <c r="CL146" i="14" s="1"/>
  <c r="CT135" i="14"/>
  <c r="CT146" i="14" s="1"/>
  <c r="BQ156" i="14"/>
  <c r="BQ162" i="14" s="1"/>
  <c r="BY156" i="14"/>
  <c r="BY162" i="14" s="1"/>
  <c r="BO156" i="14"/>
  <c r="BO162" i="14" s="1"/>
  <c r="BW156" i="14"/>
  <c r="BW162" i="14" s="1"/>
  <c r="BM156" i="14"/>
  <c r="BM162" i="14" s="1"/>
  <c r="BU156" i="14"/>
  <c r="BU162" i="14" s="1"/>
  <c r="CC156" i="14"/>
  <c r="CC162" i="14" s="1"/>
  <c r="BS135" i="14"/>
  <c r="BS146" i="14" s="1"/>
  <c r="CA135" i="14"/>
  <c r="CA146" i="14" s="1"/>
  <c r="CY156" i="14"/>
  <c r="CY162" i="14" s="1"/>
  <c r="CO148" i="14"/>
  <c r="BN166" i="14"/>
  <c r="BV166" i="14"/>
  <c r="CO125" i="14"/>
  <c r="CO130" i="14" s="1"/>
  <c r="CT156" i="14"/>
  <c r="CT162" i="14" s="1"/>
  <c r="DA156" i="14"/>
  <c r="DA162" i="14" s="1"/>
  <c r="DI156" i="14"/>
  <c r="DI162" i="14" s="1"/>
  <c r="DO156" i="14"/>
  <c r="DO162" i="14" s="1"/>
  <c r="DE156" i="14"/>
  <c r="DE162" i="14" s="1"/>
  <c r="CH166" i="14"/>
  <c r="CP166" i="14"/>
  <c r="BR125" i="14"/>
  <c r="BP148" i="14"/>
  <c r="BX148" i="14"/>
  <c r="DD135" i="14"/>
  <c r="DD146" i="14" s="1"/>
  <c r="DL135" i="14"/>
  <c r="DL146" i="14" s="1"/>
  <c r="CZ135" i="14"/>
  <c r="CZ146" i="14" s="1"/>
  <c r="DH135" i="14"/>
  <c r="DH146" i="14" s="1"/>
  <c r="DP135" i="14"/>
  <c r="DP146" i="14" s="1"/>
  <c r="DD148" i="14"/>
  <c r="DL148" i="14"/>
  <c r="DB156" i="14"/>
  <c r="DB162" i="14" s="1"/>
  <c r="DJ156" i="14"/>
  <c r="DJ162" i="14" s="1"/>
  <c r="BP135" i="14"/>
  <c r="BP146" i="14" s="1"/>
  <c r="BX135" i="14"/>
  <c r="BX146" i="14" s="1"/>
  <c r="BL156" i="14"/>
  <c r="BL162" i="14" s="1"/>
  <c r="BT156" i="14"/>
  <c r="BT162" i="14" s="1"/>
  <c r="CB156" i="14"/>
  <c r="CB162" i="14" s="1"/>
  <c r="CK156" i="14"/>
  <c r="CK162" i="14" s="1"/>
  <c r="CI156" i="14"/>
  <c r="CI162" i="14" s="1"/>
  <c r="CQ156" i="14"/>
  <c r="CQ162" i="14" s="1"/>
  <c r="CG156" i="14"/>
  <c r="CG162" i="14" s="1"/>
  <c r="CO156" i="14"/>
  <c r="CO162" i="14" s="1"/>
  <c r="CE193" i="14"/>
  <c r="DD156" i="14"/>
  <c r="DD162" i="14" s="1"/>
  <c r="DL156" i="14"/>
  <c r="DL162" i="14" s="1"/>
  <c r="CZ156" i="14"/>
  <c r="CZ162" i="14" s="1"/>
  <c r="DH156" i="14"/>
  <c r="DH162" i="14" s="1"/>
  <c r="DP156" i="14"/>
  <c r="DP162" i="14" s="1"/>
  <c r="DF125" i="14"/>
  <c r="DN125" i="14"/>
  <c r="DN130" i="14" s="1"/>
  <c r="DD125" i="14"/>
  <c r="DB125" i="14"/>
  <c r="DJ125" i="14"/>
  <c r="DJ130" i="14" s="1"/>
  <c r="DF166" i="14"/>
  <c r="DN166" i="14"/>
  <c r="BL193" i="14"/>
  <c r="CL125" i="14"/>
  <c r="CT125" i="14"/>
  <c r="CT130" i="14" s="1"/>
  <c r="CJ125" i="14"/>
  <c r="CR125" i="14"/>
  <c r="CR130" i="14" s="1"/>
  <c r="CL148" i="14"/>
  <c r="CT148" i="14"/>
  <c r="CJ148" i="14"/>
  <c r="CR148" i="14"/>
  <c r="CH174" i="14"/>
  <c r="CP174" i="14"/>
  <c r="CY125" i="14"/>
  <c r="CY130" i="14" s="1"/>
  <c r="DG125" i="14"/>
  <c r="DO125" i="14"/>
  <c r="DO130" i="14" s="1"/>
  <c r="DI148" i="14"/>
  <c r="DP174" i="14"/>
  <c r="BN148" i="14"/>
  <c r="BV148" i="14"/>
  <c r="CE125" i="14"/>
  <c r="CE130" i="14" s="1"/>
  <c r="CM125" i="14"/>
  <c r="CU125" i="14"/>
  <c r="CU130" i="14" s="1"/>
  <c r="CK125" i="14"/>
  <c r="CS125" i="14"/>
  <c r="CS130" i="14" s="1"/>
  <c r="CI125" i="14"/>
  <c r="CQ125" i="14"/>
  <c r="CQ130" i="14" s="1"/>
  <c r="CJ135" i="14"/>
  <c r="CJ146" i="14" s="1"/>
  <c r="CR135" i="14"/>
  <c r="CR146" i="14" s="1"/>
  <c r="CH135" i="14"/>
  <c r="CH146" i="14" s="1"/>
  <c r="CP135" i="14"/>
  <c r="CP146" i="14" s="1"/>
  <c r="CF135" i="14"/>
  <c r="CF146" i="14" s="1"/>
  <c r="CN135" i="14"/>
  <c r="CN146" i="14" s="1"/>
  <c r="CV135" i="14"/>
  <c r="CV146" i="14" s="1"/>
  <c r="CE148" i="14"/>
  <c r="CM148" i="14"/>
  <c r="CU148" i="14"/>
  <c r="CK148" i="14"/>
  <c r="CS148" i="14"/>
  <c r="CF166" i="14"/>
  <c r="CN166" i="14"/>
  <c r="CL166" i="14"/>
  <c r="CT166" i="14"/>
  <c r="CI174" i="14"/>
  <c r="CQ174" i="14"/>
  <c r="CG174" i="14"/>
  <c r="CO174" i="14"/>
  <c r="DB135" i="14"/>
  <c r="DB146" i="14" s="1"/>
  <c r="DJ135" i="14"/>
  <c r="DJ146" i="14" s="1"/>
  <c r="CW184" i="14"/>
  <c r="CW183" i="14"/>
  <c r="CW179" i="14"/>
  <c r="CW178" i="14"/>
  <c r="CW176" i="14"/>
  <c r="CW175" i="14"/>
  <c r="CW168" i="14"/>
  <c r="CW160" i="14"/>
  <c r="CW159" i="14"/>
  <c r="CW158" i="14"/>
  <c r="CW157" i="14"/>
  <c r="CW153" i="14"/>
  <c r="CW143" i="14"/>
  <c r="CW141" i="14"/>
  <c r="CW140" i="14"/>
  <c r="CW139" i="14"/>
  <c r="CW138" i="14"/>
  <c r="CW137" i="14"/>
  <c r="CW136" i="14"/>
  <c r="CW128" i="14"/>
  <c r="CW127" i="14"/>
  <c r="CW126" i="14"/>
  <c r="CW122" i="14"/>
  <c r="CW110" i="14"/>
  <c r="CW109" i="14"/>
  <c r="CW107" i="14"/>
  <c r="CW148" i="14" l="1"/>
  <c r="CW130" i="14"/>
  <c r="CW146" i="14"/>
  <c r="CW162" i="14"/>
  <c r="CW156" i="14"/>
  <c r="CW174" i="14"/>
  <c r="CW135" i="14"/>
  <c r="CW125" i="14"/>
  <c r="K193" i="8" l="1"/>
  <c r="J193" i="8"/>
  <c r="K189" i="8"/>
  <c r="J189" i="8"/>
  <c r="G200" i="8"/>
  <c r="H200" i="8"/>
  <c r="I200" i="8"/>
  <c r="F200" i="8"/>
  <c r="G197" i="8"/>
  <c r="H197" i="8"/>
  <c r="I197" i="8"/>
  <c r="F197" i="8"/>
  <c r="J197" i="8" l="1"/>
  <c r="K197" i="8"/>
  <c r="J200" i="8"/>
  <c r="K200" i="8"/>
  <c r="V167" i="14"/>
  <c r="W167" i="14" s="1"/>
  <c r="CV167" i="14" l="1"/>
  <c r="DP167" i="14"/>
  <c r="DP166" i="14" s="1"/>
  <c r="BJ167" i="14"/>
  <c r="BJ166" i="14" s="1"/>
  <c r="CC167" i="14"/>
  <c r="CC166" i="14" s="1"/>
  <c r="AP167" i="14"/>
  <c r="AP166" i="14" l="1"/>
  <c r="CV166" i="14"/>
  <c r="CW166" i="14" s="1"/>
  <c r="CW167" i="14"/>
  <c r="AE193" i="8" l="1"/>
  <c r="AD193" i="8"/>
  <c r="AC193" i="8"/>
  <c r="AB193" i="8"/>
  <c r="AA193" i="8"/>
  <c r="Z193" i="8"/>
  <c r="Y193" i="8"/>
  <c r="Y192" i="8"/>
  <c r="AE189" i="8"/>
  <c r="AD189" i="8"/>
  <c r="AC189" i="8"/>
  <c r="AB189" i="8"/>
  <c r="AA189" i="8"/>
  <c r="Z189" i="8"/>
  <c r="Y189" i="8"/>
  <c r="Y188" i="8"/>
  <c r="AC185" i="8"/>
  <c r="AB185" i="8"/>
  <c r="AA185" i="8"/>
  <c r="Z185" i="8"/>
  <c r="Y185" i="8"/>
  <c r="AC184" i="8"/>
  <c r="AB184" i="8"/>
  <c r="AA184" i="8"/>
  <c r="Z184" i="8"/>
  <c r="Y184" i="8"/>
  <c r="AC180" i="8"/>
  <c r="AB180" i="8"/>
  <c r="AA180" i="8"/>
  <c r="Z180" i="8"/>
  <c r="Y180" i="8"/>
  <c r="AC179" i="8"/>
  <c r="AB179" i="8"/>
  <c r="AA179" i="8"/>
  <c r="Z179" i="8"/>
  <c r="Y179" i="8"/>
  <c r="AC177" i="8"/>
  <c r="AB177" i="8"/>
  <c r="AA177" i="8"/>
  <c r="Z177" i="8"/>
  <c r="Y177" i="8"/>
  <c r="AC176" i="8"/>
  <c r="AB176" i="8"/>
  <c r="AA176" i="8"/>
  <c r="Z176" i="8"/>
  <c r="Y176" i="8"/>
  <c r="Y175" i="8" s="1"/>
  <c r="AC169" i="8"/>
  <c r="AB169" i="8"/>
  <c r="AA169" i="8"/>
  <c r="Z169" i="8"/>
  <c r="Y169" i="8"/>
  <c r="AC168" i="8"/>
  <c r="AB168" i="8"/>
  <c r="AA168" i="8"/>
  <c r="Z168" i="8"/>
  <c r="Y168" i="8"/>
  <c r="AC161" i="8"/>
  <c r="AB161" i="8"/>
  <c r="AA161" i="8"/>
  <c r="Z161" i="8"/>
  <c r="Y161" i="8"/>
  <c r="AC160" i="8"/>
  <c r="AB160" i="8"/>
  <c r="AA160" i="8"/>
  <c r="Z160" i="8"/>
  <c r="Y160" i="8"/>
  <c r="AC159" i="8"/>
  <c r="AB159" i="8"/>
  <c r="AA159" i="8"/>
  <c r="Z159" i="8"/>
  <c r="Y159" i="8"/>
  <c r="AC158" i="8"/>
  <c r="AB158" i="8"/>
  <c r="AA158" i="8"/>
  <c r="Z158" i="8"/>
  <c r="Y158" i="8"/>
  <c r="AC155" i="8"/>
  <c r="AC154" i="8" s="1"/>
  <c r="AB155" i="8"/>
  <c r="AB154" i="8" s="1"/>
  <c r="AA155" i="8"/>
  <c r="AA154" i="8" s="1"/>
  <c r="Z155" i="8"/>
  <c r="Z154" i="8" s="1"/>
  <c r="Y155" i="8"/>
  <c r="Y154" i="8" s="1"/>
  <c r="AC150" i="8"/>
  <c r="AB150" i="8"/>
  <c r="AA150" i="8"/>
  <c r="Z150" i="8"/>
  <c r="Y150" i="8"/>
  <c r="AC149" i="8"/>
  <c r="AB149" i="8"/>
  <c r="AA149" i="8"/>
  <c r="Z149" i="8"/>
  <c r="Y149" i="8"/>
  <c r="Y148" i="8"/>
  <c r="AC144" i="8"/>
  <c r="AC143" i="8" s="1"/>
  <c r="AB144" i="8"/>
  <c r="AB143" i="8" s="1"/>
  <c r="AA144" i="8"/>
  <c r="AA143" i="8" s="1"/>
  <c r="Z144" i="8"/>
  <c r="Z143" i="8" s="1"/>
  <c r="Y144" i="8"/>
  <c r="Y143" i="8" s="1"/>
  <c r="AC141" i="8"/>
  <c r="AB141" i="8"/>
  <c r="AA141" i="8"/>
  <c r="Z141" i="8"/>
  <c r="Y141" i="8"/>
  <c r="AC140" i="8"/>
  <c r="AB140" i="8"/>
  <c r="AA140" i="8"/>
  <c r="Z140" i="8"/>
  <c r="Y140" i="8"/>
  <c r="AC139" i="8"/>
  <c r="AB139" i="8"/>
  <c r="AA139" i="8"/>
  <c r="Z139" i="8"/>
  <c r="Y139" i="8"/>
  <c r="AC138" i="8"/>
  <c r="AB138" i="8"/>
  <c r="AA138" i="8"/>
  <c r="Z138" i="8"/>
  <c r="Y138" i="8"/>
  <c r="AC137" i="8"/>
  <c r="AB137" i="8"/>
  <c r="AA137" i="8"/>
  <c r="Z137" i="8"/>
  <c r="Y137" i="8"/>
  <c r="AC136" i="8"/>
  <c r="AB136" i="8"/>
  <c r="AA136" i="8"/>
  <c r="Z136" i="8"/>
  <c r="Y136" i="8"/>
  <c r="AC128" i="8"/>
  <c r="AB128" i="8"/>
  <c r="AA128" i="8"/>
  <c r="Z128" i="8"/>
  <c r="Y128" i="8"/>
  <c r="AC127" i="8"/>
  <c r="AB127" i="8"/>
  <c r="AA127" i="8"/>
  <c r="Z127" i="8"/>
  <c r="Y127" i="8"/>
  <c r="AC126" i="8"/>
  <c r="AB126" i="8"/>
  <c r="AA126" i="8"/>
  <c r="Z126" i="8"/>
  <c r="Y126" i="8"/>
  <c r="AC123" i="8"/>
  <c r="AC122" i="8" s="1"/>
  <c r="AB123" i="8"/>
  <c r="AB122" i="8" s="1"/>
  <c r="AA123" i="8"/>
  <c r="AA122" i="8" s="1"/>
  <c r="Z123" i="8"/>
  <c r="Z122" i="8" s="1"/>
  <c r="Y123" i="8"/>
  <c r="Y122" i="8" s="1"/>
  <c r="AC115" i="8"/>
  <c r="AB115" i="8"/>
  <c r="AA115" i="8"/>
  <c r="Z115" i="8"/>
  <c r="Y115" i="8"/>
  <c r="AC114" i="8"/>
  <c r="AB114" i="8"/>
  <c r="AA114" i="8"/>
  <c r="Z114" i="8"/>
  <c r="Y114" i="8"/>
  <c r="AC112" i="8"/>
  <c r="AB112" i="8"/>
  <c r="AA112" i="8"/>
  <c r="Z112" i="8"/>
  <c r="Y112" i="8"/>
  <c r="AC110" i="8"/>
  <c r="AB110" i="8"/>
  <c r="AA110" i="8"/>
  <c r="Z110" i="8"/>
  <c r="Y110" i="8"/>
  <c r="AC109" i="8"/>
  <c r="AB109" i="8"/>
  <c r="AA109" i="8"/>
  <c r="Z109" i="8"/>
  <c r="Y109" i="8"/>
  <c r="AC107" i="8"/>
  <c r="AB107" i="8"/>
  <c r="AA107" i="8"/>
  <c r="Z107" i="8"/>
  <c r="Y107" i="8"/>
  <c r="BG193" i="8"/>
  <c r="BF193" i="8"/>
  <c r="BE193" i="8"/>
  <c r="BD193" i="8"/>
  <c r="BC193" i="8"/>
  <c r="BB193" i="8"/>
  <c r="BA193" i="8"/>
  <c r="BA192" i="8"/>
  <c r="BG189" i="8"/>
  <c r="BF189" i="8"/>
  <c r="BE189" i="8"/>
  <c r="BD189" i="8"/>
  <c r="BC189" i="8"/>
  <c r="BB189" i="8"/>
  <c r="BA189" i="8"/>
  <c r="BA188" i="8"/>
  <c r="BE185" i="8"/>
  <c r="BD185" i="8"/>
  <c r="BC185" i="8"/>
  <c r="BB185" i="8"/>
  <c r="BA185" i="8"/>
  <c r="BE184" i="8"/>
  <c r="BD184" i="8"/>
  <c r="BC184" i="8"/>
  <c r="BB184" i="8"/>
  <c r="BA184" i="8"/>
  <c r="BE180" i="8"/>
  <c r="BD180" i="8"/>
  <c r="BC180" i="8"/>
  <c r="BB180" i="8"/>
  <c r="BA180" i="8"/>
  <c r="BE179" i="8"/>
  <c r="BD179" i="8"/>
  <c r="BC179" i="8"/>
  <c r="BB179" i="8"/>
  <c r="BA179" i="8"/>
  <c r="BE177" i="8"/>
  <c r="BD177" i="8"/>
  <c r="BC177" i="8"/>
  <c r="BB177" i="8"/>
  <c r="BA177" i="8"/>
  <c r="BE176" i="8"/>
  <c r="BD176" i="8"/>
  <c r="BC176" i="8"/>
  <c r="BB176" i="8"/>
  <c r="BA176" i="8"/>
  <c r="BE169" i="8"/>
  <c r="BD169" i="8"/>
  <c r="BC169" i="8"/>
  <c r="BB169" i="8"/>
  <c r="BA169" i="8"/>
  <c r="BE168" i="8"/>
  <c r="BD168" i="8"/>
  <c r="BC168" i="8"/>
  <c r="BB168" i="8"/>
  <c r="BA168" i="8"/>
  <c r="BE161" i="8"/>
  <c r="BD161" i="8"/>
  <c r="BC161" i="8"/>
  <c r="BB161" i="8"/>
  <c r="BA161" i="8"/>
  <c r="BE160" i="8"/>
  <c r="BD160" i="8"/>
  <c r="BC160" i="8"/>
  <c r="BB160" i="8"/>
  <c r="BA160" i="8"/>
  <c r="BE159" i="8"/>
  <c r="BD159" i="8"/>
  <c r="BC159" i="8"/>
  <c r="BB159" i="8"/>
  <c r="BA159" i="8"/>
  <c r="BE158" i="8"/>
  <c r="BD158" i="8"/>
  <c r="BC158" i="8"/>
  <c r="BB158" i="8"/>
  <c r="BA158" i="8"/>
  <c r="BE155" i="8"/>
  <c r="BE154" i="8" s="1"/>
  <c r="BD155" i="8"/>
  <c r="BD154" i="8" s="1"/>
  <c r="BC155" i="8"/>
  <c r="BC154" i="8" s="1"/>
  <c r="BB155" i="8"/>
  <c r="BB154" i="8" s="1"/>
  <c r="BA155" i="8"/>
  <c r="BA154" i="8" s="1"/>
  <c r="BE150" i="8"/>
  <c r="BD150" i="8"/>
  <c r="BC150" i="8"/>
  <c r="BB150" i="8"/>
  <c r="BA150" i="8"/>
  <c r="BE149" i="8"/>
  <c r="BD149" i="8"/>
  <c r="BC149" i="8"/>
  <c r="BB149" i="8"/>
  <c r="BA149" i="8"/>
  <c r="BA148" i="8"/>
  <c r="BE144" i="8"/>
  <c r="BE143" i="8" s="1"/>
  <c r="BD144" i="8"/>
  <c r="BD143" i="8" s="1"/>
  <c r="BC144" i="8"/>
  <c r="BC143" i="8" s="1"/>
  <c r="BB144" i="8"/>
  <c r="BB143" i="8" s="1"/>
  <c r="BA144" i="8"/>
  <c r="BA143" i="8" s="1"/>
  <c r="BE141" i="8"/>
  <c r="BD141" i="8"/>
  <c r="BC141" i="8"/>
  <c r="BB141" i="8"/>
  <c r="BA141" i="8"/>
  <c r="BE140" i="8"/>
  <c r="BD140" i="8"/>
  <c r="BC140" i="8"/>
  <c r="BB140" i="8"/>
  <c r="BA140" i="8"/>
  <c r="BE139" i="8"/>
  <c r="BD139" i="8"/>
  <c r="BC139" i="8"/>
  <c r="BB139" i="8"/>
  <c r="BA139" i="8"/>
  <c r="BE138" i="8"/>
  <c r="BD138" i="8"/>
  <c r="BC138" i="8"/>
  <c r="BB138" i="8"/>
  <c r="BA138" i="8"/>
  <c r="BE137" i="8"/>
  <c r="BD137" i="8"/>
  <c r="BC137" i="8"/>
  <c r="BB137" i="8"/>
  <c r="BA137" i="8"/>
  <c r="BE136" i="8"/>
  <c r="BD136" i="8"/>
  <c r="BC136" i="8"/>
  <c r="BB136" i="8"/>
  <c r="BA136" i="8"/>
  <c r="BE128" i="8"/>
  <c r="BD128" i="8"/>
  <c r="BC128" i="8"/>
  <c r="BB128" i="8"/>
  <c r="BA128" i="8"/>
  <c r="BE127" i="8"/>
  <c r="BD127" i="8"/>
  <c r="BC127" i="8"/>
  <c r="BB127" i="8"/>
  <c r="BA127" i="8"/>
  <c r="BE126" i="8"/>
  <c r="BD126" i="8"/>
  <c r="BC126" i="8"/>
  <c r="BB126" i="8"/>
  <c r="BA126" i="8"/>
  <c r="BE123" i="8"/>
  <c r="BE122" i="8" s="1"/>
  <c r="BD123" i="8"/>
  <c r="BD122" i="8" s="1"/>
  <c r="BC123" i="8"/>
  <c r="BC122" i="8" s="1"/>
  <c r="BB123" i="8"/>
  <c r="BB122" i="8" s="1"/>
  <c r="BA123" i="8"/>
  <c r="BA122" i="8" s="1"/>
  <c r="BE115" i="8"/>
  <c r="BD115" i="8"/>
  <c r="BC115" i="8"/>
  <c r="BB115" i="8"/>
  <c r="BA115" i="8"/>
  <c r="BE114" i="8"/>
  <c r="BD114" i="8"/>
  <c r="BC114" i="8"/>
  <c r="BB114" i="8"/>
  <c r="BA114" i="8"/>
  <c r="BE112" i="8"/>
  <c r="BD112" i="8"/>
  <c r="BC112" i="8"/>
  <c r="BB112" i="8"/>
  <c r="BA112" i="8"/>
  <c r="BE110" i="8"/>
  <c r="BD110" i="8"/>
  <c r="BC110" i="8"/>
  <c r="BB110" i="8"/>
  <c r="BA110" i="8"/>
  <c r="BE109" i="8"/>
  <c r="BD109" i="8"/>
  <c r="BC109" i="8"/>
  <c r="BB109" i="8"/>
  <c r="BA109" i="8"/>
  <c r="BE107" i="8"/>
  <c r="BD107" i="8"/>
  <c r="BC107" i="8"/>
  <c r="BB107" i="8"/>
  <c r="BA107" i="8"/>
  <c r="AW193" i="8"/>
  <c r="AV193" i="8"/>
  <c r="AU193" i="8"/>
  <c r="AT193" i="8"/>
  <c r="AS193" i="8"/>
  <c r="AR193" i="8"/>
  <c r="AQ193" i="8"/>
  <c r="AQ192" i="8"/>
  <c r="AW189" i="8"/>
  <c r="AV189" i="8"/>
  <c r="AU189" i="8"/>
  <c r="AT189" i="8"/>
  <c r="AS189" i="8"/>
  <c r="AR189" i="8"/>
  <c r="AQ189" i="8"/>
  <c r="AQ188" i="8"/>
  <c r="AU185" i="8"/>
  <c r="AT185" i="8"/>
  <c r="AS185" i="8"/>
  <c r="AR185" i="8"/>
  <c r="AQ185" i="8"/>
  <c r="AU184" i="8"/>
  <c r="AT184" i="8"/>
  <c r="AS184" i="8"/>
  <c r="AR184" i="8"/>
  <c r="AQ184" i="8"/>
  <c r="AU180" i="8"/>
  <c r="AT180" i="8"/>
  <c r="AS180" i="8"/>
  <c r="AR180" i="8"/>
  <c r="AQ180" i="8"/>
  <c r="AU179" i="8"/>
  <c r="AT179" i="8"/>
  <c r="AS179" i="8"/>
  <c r="AR179" i="8"/>
  <c r="AQ179" i="8"/>
  <c r="AU177" i="8"/>
  <c r="AT177" i="8"/>
  <c r="AS177" i="8"/>
  <c r="AR177" i="8"/>
  <c r="AQ177" i="8"/>
  <c r="AU176" i="8"/>
  <c r="AT176" i="8"/>
  <c r="AS176" i="8"/>
  <c r="AR176" i="8"/>
  <c r="AQ176" i="8"/>
  <c r="AU169" i="8"/>
  <c r="AT169" i="8"/>
  <c r="AS169" i="8"/>
  <c r="AR169" i="8"/>
  <c r="AQ169" i="8"/>
  <c r="AU168" i="8"/>
  <c r="AT168" i="8"/>
  <c r="AS168" i="8"/>
  <c r="AR168" i="8"/>
  <c r="AQ168" i="8"/>
  <c r="AU161" i="8"/>
  <c r="AT161" i="8"/>
  <c r="AS161" i="8"/>
  <c r="AR161" i="8"/>
  <c r="AQ161" i="8"/>
  <c r="AU160" i="8"/>
  <c r="AT160" i="8"/>
  <c r="AS160" i="8"/>
  <c r="AR160" i="8"/>
  <c r="AQ160" i="8"/>
  <c r="AU159" i="8"/>
  <c r="AT159" i="8"/>
  <c r="AS159" i="8"/>
  <c r="AR159" i="8"/>
  <c r="AQ159" i="8"/>
  <c r="AU158" i="8"/>
  <c r="AT158" i="8"/>
  <c r="AS158" i="8"/>
  <c r="AR158" i="8"/>
  <c r="AQ158" i="8"/>
  <c r="AU155" i="8"/>
  <c r="AU154" i="8" s="1"/>
  <c r="AT155" i="8"/>
  <c r="AT154" i="8" s="1"/>
  <c r="AS155" i="8"/>
  <c r="AS154" i="8" s="1"/>
  <c r="AR155" i="8"/>
  <c r="AR154" i="8" s="1"/>
  <c r="AQ155" i="8"/>
  <c r="AQ154" i="8" s="1"/>
  <c r="AU150" i="8"/>
  <c r="AT150" i="8"/>
  <c r="AS150" i="8"/>
  <c r="AR150" i="8"/>
  <c r="AQ150" i="8"/>
  <c r="AU149" i="8"/>
  <c r="AT149" i="8"/>
  <c r="AS149" i="8"/>
  <c r="AR149" i="8"/>
  <c r="AQ149" i="8"/>
  <c r="AQ148" i="8"/>
  <c r="AU144" i="8"/>
  <c r="AU143" i="8" s="1"/>
  <c r="AT144" i="8"/>
  <c r="AT143" i="8" s="1"/>
  <c r="AS144" i="8"/>
  <c r="AS143" i="8" s="1"/>
  <c r="AR144" i="8"/>
  <c r="AR143" i="8" s="1"/>
  <c r="AQ144" i="8"/>
  <c r="AQ143" i="8" s="1"/>
  <c r="AU141" i="8"/>
  <c r="AT141" i="8"/>
  <c r="AS141" i="8"/>
  <c r="AR141" i="8"/>
  <c r="AQ141" i="8"/>
  <c r="AU140" i="8"/>
  <c r="AT140" i="8"/>
  <c r="AS140" i="8"/>
  <c r="AR140" i="8"/>
  <c r="AQ140" i="8"/>
  <c r="AU139" i="8"/>
  <c r="AT139" i="8"/>
  <c r="AS139" i="8"/>
  <c r="AR139" i="8"/>
  <c r="AQ139" i="8"/>
  <c r="AU138" i="8"/>
  <c r="AT138" i="8"/>
  <c r="AS138" i="8"/>
  <c r="AR138" i="8"/>
  <c r="AQ138" i="8"/>
  <c r="AU137" i="8"/>
  <c r="AT137" i="8"/>
  <c r="AS137" i="8"/>
  <c r="AR137" i="8"/>
  <c r="AQ137" i="8"/>
  <c r="AU136" i="8"/>
  <c r="AT136" i="8"/>
  <c r="AS136" i="8"/>
  <c r="AR136" i="8"/>
  <c r="AQ136" i="8"/>
  <c r="AU128" i="8"/>
  <c r="AT128" i="8"/>
  <c r="AS128" i="8"/>
  <c r="AR128" i="8"/>
  <c r="AQ128" i="8"/>
  <c r="AU127" i="8"/>
  <c r="AT127" i="8"/>
  <c r="AS127" i="8"/>
  <c r="AR127" i="8"/>
  <c r="AQ127" i="8"/>
  <c r="AU126" i="8"/>
  <c r="AT126" i="8"/>
  <c r="AS126" i="8"/>
  <c r="AR126" i="8"/>
  <c r="AQ126" i="8"/>
  <c r="AU123" i="8"/>
  <c r="AU122" i="8" s="1"/>
  <c r="AT123" i="8"/>
  <c r="AT122" i="8" s="1"/>
  <c r="AS123" i="8"/>
  <c r="AS122" i="8" s="1"/>
  <c r="AR123" i="8"/>
  <c r="AR122" i="8" s="1"/>
  <c r="AQ123" i="8"/>
  <c r="AQ122" i="8" s="1"/>
  <c r="AU115" i="8"/>
  <c r="AT115" i="8"/>
  <c r="AS115" i="8"/>
  <c r="AR115" i="8"/>
  <c r="AQ115" i="8"/>
  <c r="AU114" i="8"/>
  <c r="AT114" i="8"/>
  <c r="AS114" i="8"/>
  <c r="AR114" i="8"/>
  <c r="AQ114" i="8"/>
  <c r="AU112" i="8"/>
  <c r="AT112" i="8"/>
  <c r="AS112" i="8"/>
  <c r="AR112" i="8"/>
  <c r="AQ112" i="8"/>
  <c r="AU110" i="8"/>
  <c r="AT110" i="8"/>
  <c r="AS110" i="8"/>
  <c r="AR110" i="8"/>
  <c r="AQ110" i="8"/>
  <c r="AU109" i="8"/>
  <c r="AT109" i="8"/>
  <c r="AS109" i="8"/>
  <c r="AR109" i="8"/>
  <c r="AQ109" i="8"/>
  <c r="AU107" i="8"/>
  <c r="AT107" i="8"/>
  <c r="AS107" i="8"/>
  <c r="AR107" i="8"/>
  <c r="AQ107" i="8"/>
  <c r="AN193" i="8"/>
  <c r="AM193" i="8"/>
  <c r="AL193" i="8"/>
  <c r="AK193" i="8"/>
  <c r="AJ193" i="8"/>
  <c r="AI193" i="8"/>
  <c r="AH193" i="8"/>
  <c r="AH192" i="8"/>
  <c r="AN189" i="8"/>
  <c r="AM189" i="8"/>
  <c r="AL189" i="8"/>
  <c r="AK189" i="8"/>
  <c r="AJ189" i="8"/>
  <c r="AI189" i="8"/>
  <c r="AH189" i="8"/>
  <c r="AH188" i="8"/>
  <c r="AL185" i="8"/>
  <c r="AK185" i="8"/>
  <c r="AJ185" i="8"/>
  <c r="AI185" i="8"/>
  <c r="AH185" i="8"/>
  <c r="AL184" i="8"/>
  <c r="AK184" i="8"/>
  <c r="AJ184" i="8"/>
  <c r="AI184" i="8"/>
  <c r="AH184" i="8"/>
  <c r="AL180" i="8"/>
  <c r="AK180" i="8"/>
  <c r="AJ180" i="8"/>
  <c r="AI180" i="8"/>
  <c r="AH180" i="8"/>
  <c r="AL179" i="8"/>
  <c r="AK179" i="8"/>
  <c r="AJ179" i="8"/>
  <c r="AI179" i="8"/>
  <c r="AH179" i="8"/>
  <c r="AL177" i="8"/>
  <c r="AK177" i="8"/>
  <c r="AJ177" i="8"/>
  <c r="AI177" i="8"/>
  <c r="AH177" i="8"/>
  <c r="AL176" i="8"/>
  <c r="AK176" i="8"/>
  <c r="AJ176" i="8"/>
  <c r="AI176" i="8"/>
  <c r="AH176" i="8"/>
  <c r="AL169" i="8"/>
  <c r="AK169" i="8"/>
  <c r="AJ169" i="8"/>
  <c r="AI169" i="8"/>
  <c r="AH169" i="8"/>
  <c r="AL168" i="8"/>
  <c r="AK168" i="8"/>
  <c r="AJ168" i="8"/>
  <c r="AI168" i="8"/>
  <c r="AH168" i="8"/>
  <c r="AL161" i="8"/>
  <c r="AK161" i="8"/>
  <c r="AJ161" i="8"/>
  <c r="AI161" i="8"/>
  <c r="AH161" i="8"/>
  <c r="AL160" i="8"/>
  <c r="AK160" i="8"/>
  <c r="AJ160" i="8"/>
  <c r="AI160" i="8"/>
  <c r="AH160" i="8"/>
  <c r="AL159" i="8"/>
  <c r="AK159" i="8"/>
  <c r="AJ159" i="8"/>
  <c r="AI159" i="8"/>
  <c r="AH159" i="8"/>
  <c r="AL158" i="8"/>
  <c r="AK158" i="8"/>
  <c r="AJ158" i="8"/>
  <c r="AI158" i="8"/>
  <c r="AH158" i="8"/>
  <c r="AL155" i="8"/>
  <c r="AL154" i="8" s="1"/>
  <c r="AK155" i="8"/>
  <c r="AK154" i="8" s="1"/>
  <c r="AJ155" i="8"/>
  <c r="AJ154" i="8" s="1"/>
  <c r="AI155" i="8"/>
  <c r="AI154" i="8" s="1"/>
  <c r="AH155" i="8"/>
  <c r="AH154" i="8" s="1"/>
  <c r="AL150" i="8"/>
  <c r="AK150" i="8"/>
  <c r="AJ150" i="8"/>
  <c r="AI150" i="8"/>
  <c r="AH150" i="8"/>
  <c r="AL149" i="8"/>
  <c r="AK149" i="8"/>
  <c r="AJ149" i="8"/>
  <c r="AI149" i="8"/>
  <c r="AH149" i="8"/>
  <c r="AH148" i="8"/>
  <c r="AL144" i="8"/>
  <c r="AL143" i="8" s="1"/>
  <c r="AK144" i="8"/>
  <c r="AK143" i="8" s="1"/>
  <c r="AJ144" i="8"/>
  <c r="AJ143" i="8" s="1"/>
  <c r="AI144" i="8"/>
  <c r="AI143" i="8" s="1"/>
  <c r="AH144" i="8"/>
  <c r="AH143" i="8" s="1"/>
  <c r="AL141" i="8"/>
  <c r="AK141" i="8"/>
  <c r="AJ141" i="8"/>
  <c r="AI141" i="8"/>
  <c r="AH141" i="8"/>
  <c r="AL140" i="8"/>
  <c r="AK140" i="8"/>
  <c r="AJ140" i="8"/>
  <c r="AI140" i="8"/>
  <c r="AH140" i="8"/>
  <c r="AL139" i="8"/>
  <c r="AK139" i="8"/>
  <c r="AJ139" i="8"/>
  <c r="AI139" i="8"/>
  <c r="AH139" i="8"/>
  <c r="AL138" i="8"/>
  <c r="AK138" i="8"/>
  <c r="AJ138" i="8"/>
  <c r="AI138" i="8"/>
  <c r="AH138" i="8"/>
  <c r="AL137" i="8"/>
  <c r="AK137" i="8"/>
  <c r="AJ137" i="8"/>
  <c r="AI137" i="8"/>
  <c r="AH137" i="8"/>
  <c r="AL136" i="8"/>
  <c r="AK136" i="8"/>
  <c r="AJ136" i="8"/>
  <c r="AI136" i="8"/>
  <c r="AH136" i="8"/>
  <c r="AL128" i="8"/>
  <c r="AK128" i="8"/>
  <c r="AJ128" i="8"/>
  <c r="AI128" i="8"/>
  <c r="AH128" i="8"/>
  <c r="AL127" i="8"/>
  <c r="AK127" i="8"/>
  <c r="AJ127" i="8"/>
  <c r="AI127" i="8"/>
  <c r="AH127" i="8"/>
  <c r="AL126" i="8"/>
  <c r="AK126" i="8"/>
  <c r="AJ126" i="8"/>
  <c r="AI126" i="8"/>
  <c r="AH126" i="8"/>
  <c r="AL123" i="8"/>
  <c r="AL122" i="8" s="1"/>
  <c r="AK123" i="8"/>
  <c r="AK122" i="8" s="1"/>
  <c r="AJ123" i="8"/>
  <c r="AJ122" i="8" s="1"/>
  <c r="AI123" i="8"/>
  <c r="AI122" i="8" s="1"/>
  <c r="AH123" i="8"/>
  <c r="AH122" i="8" s="1"/>
  <c r="AL115" i="8"/>
  <c r="AK115" i="8"/>
  <c r="AJ115" i="8"/>
  <c r="AI115" i="8"/>
  <c r="AH115" i="8"/>
  <c r="AL114" i="8"/>
  <c r="AK114" i="8"/>
  <c r="AJ114" i="8"/>
  <c r="AI114" i="8"/>
  <c r="AH114" i="8"/>
  <c r="AL112" i="8"/>
  <c r="AK112" i="8"/>
  <c r="AJ112" i="8"/>
  <c r="AI112" i="8"/>
  <c r="AH112" i="8"/>
  <c r="AL110" i="8"/>
  <c r="AK110" i="8"/>
  <c r="AJ110" i="8"/>
  <c r="AI110" i="8"/>
  <c r="AH110" i="8"/>
  <c r="AL109" i="8"/>
  <c r="AK109" i="8"/>
  <c r="AJ109" i="8"/>
  <c r="AI109" i="8"/>
  <c r="AH109" i="8"/>
  <c r="AL107" i="8"/>
  <c r="AK107" i="8"/>
  <c r="AJ107" i="8"/>
  <c r="AI107" i="8"/>
  <c r="AH107" i="8"/>
  <c r="L185" i="8"/>
  <c r="L184" i="8"/>
  <c r="L180" i="8"/>
  <c r="L179" i="8"/>
  <c r="L177" i="8"/>
  <c r="L176" i="8"/>
  <c r="L169" i="8"/>
  <c r="L168" i="8"/>
  <c r="L161" i="8"/>
  <c r="L160" i="8"/>
  <c r="L159" i="8"/>
  <c r="L158" i="8"/>
  <c r="L155" i="8"/>
  <c r="L150" i="8"/>
  <c r="L149" i="8"/>
  <c r="AF137" i="8"/>
  <c r="AF138" i="8"/>
  <c r="AF139" i="8"/>
  <c r="AF140" i="8"/>
  <c r="AF141" i="8"/>
  <c r="AF136" i="8"/>
  <c r="L128" i="8"/>
  <c r="L127" i="8"/>
  <c r="L126" i="8"/>
  <c r="L123" i="8"/>
  <c r="L115" i="8"/>
  <c r="L114" i="8"/>
  <c r="L112" i="8"/>
  <c r="L110" i="8"/>
  <c r="L109" i="8"/>
  <c r="L107" i="8"/>
  <c r="AA175" i="8" l="1"/>
  <c r="AF114" i="8"/>
  <c r="AF180" i="8"/>
  <c r="AF115" i="8"/>
  <c r="AO123" i="8"/>
  <c r="AO122" i="8" s="1"/>
  <c r="AO126" i="8"/>
  <c r="BH176" i="8"/>
  <c r="AF155" i="8"/>
  <c r="AF154" i="8" s="1"/>
  <c r="BH177" i="8"/>
  <c r="AF179" i="8"/>
  <c r="BC125" i="8"/>
  <c r="AI167" i="8"/>
  <c r="BA125" i="8"/>
  <c r="BA130" i="8" s="1"/>
  <c r="AK175" i="8"/>
  <c r="AK167" i="8"/>
  <c r="AQ167" i="8"/>
  <c r="BD167" i="8"/>
  <c r="BB167" i="8"/>
  <c r="Y167" i="8"/>
  <c r="BB175" i="8"/>
  <c r="AS167" i="8"/>
  <c r="AT175" i="8"/>
  <c r="BA194" i="8"/>
  <c r="Z125" i="8"/>
  <c r="AB175" i="8"/>
  <c r="AT167" i="8"/>
  <c r="AR175" i="8"/>
  <c r="AK125" i="8"/>
  <c r="AK130" i="8" s="1"/>
  <c r="BD125" i="8"/>
  <c r="BD130" i="8" s="1"/>
  <c r="AL167" i="8"/>
  <c r="Y157" i="8"/>
  <c r="Y163" i="8" s="1"/>
  <c r="AQ190" i="8"/>
  <c r="BE167" i="8"/>
  <c r="AJ167" i="8"/>
  <c r="BA167" i="8"/>
  <c r="AR167" i="8"/>
  <c r="BC157" i="8"/>
  <c r="BE175" i="8"/>
  <c r="Y194" i="8"/>
  <c r="BD157" i="8"/>
  <c r="BD163" i="8" s="1"/>
  <c r="AI175" i="8"/>
  <c r="AR125" i="8"/>
  <c r="AR157" i="8"/>
  <c r="AR163" i="8" s="1"/>
  <c r="AB167" i="8"/>
  <c r="BB135" i="8"/>
  <c r="BB146" i="8" s="1"/>
  <c r="AL157" i="8"/>
  <c r="AL163" i="8" s="1"/>
  <c r="AH167" i="8"/>
  <c r="AL175" i="8"/>
  <c r="AC125" i="8"/>
  <c r="AU167" i="8"/>
  <c r="BC135" i="8"/>
  <c r="BC146" i="8" s="1"/>
  <c r="BB157" i="8"/>
  <c r="BB163" i="8" s="1"/>
  <c r="AQ135" i="8"/>
  <c r="AQ146" i="8" s="1"/>
  <c r="AK157" i="8"/>
  <c r="AK163" i="8" s="1"/>
  <c r="AH157" i="8"/>
  <c r="AI157" i="8"/>
  <c r="AI163" i="8" s="1"/>
  <c r="AS135" i="8"/>
  <c r="AS146" i="8" s="1"/>
  <c r="AL125" i="8"/>
  <c r="AL130" i="8" s="1"/>
  <c r="AJ175" i="8"/>
  <c r="AS125" i="8"/>
  <c r="AS130" i="8" s="1"/>
  <c r="AQ157" i="8"/>
  <c r="AQ163" i="8" s="1"/>
  <c r="AA125" i="8"/>
  <c r="AA130" i="8" s="1"/>
  <c r="Z135" i="8"/>
  <c r="Z146" i="8" s="1"/>
  <c r="AC167" i="8"/>
  <c r="Z175" i="8"/>
  <c r="AB125" i="8"/>
  <c r="AB130" i="8" s="1"/>
  <c r="AU125" i="8"/>
  <c r="AU130" i="8" s="1"/>
  <c r="BE135" i="8"/>
  <c r="BE146" i="8" s="1"/>
  <c r="Z167" i="8"/>
  <c r="AT157" i="8"/>
  <c r="AT163" i="8" s="1"/>
  <c r="BB125" i="8"/>
  <c r="BB130" i="8" s="1"/>
  <c r="BE157" i="8"/>
  <c r="BE163" i="8" s="1"/>
  <c r="AA167" i="8"/>
  <c r="BA190" i="8"/>
  <c r="AT125" i="8"/>
  <c r="AT130" i="8" s="1"/>
  <c r="AS157" i="8"/>
  <c r="AQ175" i="8"/>
  <c r="Y135" i="8"/>
  <c r="Y146" i="8" s="1"/>
  <c r="AJ157" i="8"/>
  <c r="AJ163" i="8" s="1"/>
  <c r="AH175" i="8"/>
  <c r="BD135" i="8"/>
  <c r="BD146" i="8" s="1"/>
  <c r="BD175" i="8"/>
  <c r="Y125" i="8"/>
  <c r="Y130" i="8" s="1"/>
  <c r="AJ125" i="8"/>
  <c r="AJ130" i="8" s="1"/>
  <c r="AI135" i="8"/>
  <c r="AI146" i="8" s="1"/>
  <c r="AU157" i="8"/>
  <c r="AU163" i="8" s="1"/>
  <c r="AS175" i="8"/>
  <c r="BE125" i="8"/>
  <c r="BE130" i="8" s="1"/>
  <c r="AC157" i="8"/>
  <c r="AC163" i="8" s="1"/>
  <c r="AA157" i="8"/>
  <c r="AA163" i="8" s="1"/>
  <c r="AU135" i="8"/>
  <c r="AU146" i="8" s="1"/>
  <c r="BA175" i="8"/>
  <c r="AI125" i="8"/>
  <c r="AI130" i="8" s="1"/>
  <c r="AJ135" i="8"/>
  <c r="AJ146" i="8" s="1"/>
  <c r="AH190" i="8"/>
  <c r="AU175" i="8"/>
  <c r="AC135" i="8"/>
  <c r="AC146" i="8" s="1"/>
  <c r="AA135" i="8"/>
  <c r="AA146" i="8" s="1"/>
  <c r="AB157" i="8"/>
  <c r="AB163" i="8" s="1"/>
  <c r="Z157" i="8"/>
  <c r="Z163" i="8" s="1"/>
  <c r="AC175" i="8"/>
  <c r="AH194" i="8"/>
  <c r="AT135" i="8"/>
  <c r="AT146" i="8" s="1"/>
  <c r="AQ194" i="8"/>
  <c r="AC130" i="8"/>
  <c r="BC163" i="8"/>
  <c r="AL135" i="8"/>
  <c r="AL146" i="8" s="1"/>
  <c r="AK135" i="8"/>
  <c r="AK146" i="8" s="1"/>
  <c r="AR130" i="8"/>
  <c r="AR135" i="8"/>
  <c r="AR146" i="8" s="1"/>
  <c r="AB135" i="8"/>
  <c r="AB146" i="8" s="1"/>
  <c r="AO127" i="8"/>
  <c r="BH127" i="8"/>
  <c r="AF109" i="8"/>
  <c r="AO128" i="8"/>
  <c r="BH128" i="8"/>
  <c r="AF150" i="8"/>
  <c r="AX150" i="8"/>
  <c r="V128" i="8"/>
  <c r="V177" i="8"/>
  <c r="V150" i="8"/>
  <c r="V184" i="8"/>
  <c r="V185" i="8"/>
  <c r="AH163" i="8"/>
  <c r="AS163" i="8"/>
  <c r="AX112" i="8"/>
  <c r="BH112" i="8"/>
  <c r="AX107" i="8"/>
  <c r="AF184" i="8"/>
  <c r="AX184" i="8"/>
  <c r="BH184" i="8"/>
  <c r="AO184" i="8"/>
  <c r="AF185" i="8"/>
  <c r="AX185" i="8"/>
  <c r="BH185" i="8"/>
  <c r="AO185" i="8"/>
  <c r="AX144" i="8"/>
  <c r="AX143" i="8" s="1"/>
  <c r="AF110" i="8"/>
  <c r="V110" i="8"/>
  <c r="BC130" i="8"/>
  <c r="BA135" i="8"/>
  <c r="BA146" i="8" s="1"/>
  <c r="BC175" i="8"/>
  <c r="AH125" i="8"/>
  <c r="AH130" i="8" s="1"/>
  <c r="BA157" i="8"/>
  <c r="BA163" i="8" s="1"/>
  <c r="AH135" i="8"/>
  <c r="AH146" i="8" s="1"/>
  <c r="AQ125" i="8"/>
  <c r="AQ130" i="8" s="1"/>
  <c r="BC167" i="8"/>
  <c r="Z130" i="8"/>
  <c r="Y190" i="8"/>
  <c r="AO161" i="8"/>
  <c r="BH161" i="8"/>
  <c r="BH155" i="8"/>
  <c r="BH154" i="8" s="1"/>
  <c r="AO159" i="8"/>
  <c r="V159" i="8"/>
  <c r="BH159" i="8"/>
  <c r="BH158" i="8"/>
  <c r="AO158" i="8"/>
  <c r="AX155" i="8"/>
  <c r="AX154" i="8" s="1"/>
  <c r="V155" i="8"/>
  <c r="AO155" i="8"/>
  <c r="AO154" i="8" s="1"/>
  <c r="AF158" i="8"/>
  <c r="AF159" i="8"/>
  <c r="AF160" i="8"/>
  <c r="AF161" i="8"/>
  <c r="V158" i="8"/>
  <c r="AX158" i="8"/>
  <c r="AX159" i="8"/>
  <c r="AX160" i="8"/>
  <c r="AX161" i="8"/>
  <c r="V161" i="8"/>
  <c r="AO160" i="8"/>
  <c r="V160" i="8"/>
  <c r="BH160" i="8"/>
  <c r="AX149" i="8"/>
  <c r="AF149" i="8"/>
  <c r="BH180" i="8"/>
  <c r="AX180" i="8"/>
  <c r="AO180" i="8"/>
  <c r="V180" i="8"/>
  <c r="BH179" i="8"/>
  <c r="V179" i="8"/>
  <c r="AX179" i="8"/>
  <c r="AO179" i="8"/>
  <c r="AX176" i="8"/>
  <c r="AX177" i="8"/>
  <c r="AF176" i="8"/>
  <c r="AF177" i="8"/>
  <c r="V176" i="8"/>
  <c r="AO176" i="8"/>
  <c r="AO177" i="8"/>
  <c r="BH168" i="8"/>
  <c r="BH169" i="8"/>
  <c r="AO168" i="8"/>
  <c r="AO169" i="8"/>
  <c r="AX168" i="8"/>
  <c r="AX169" i="8"/>
  <c r="AF168" i="8"/>
  <c r="AF169" i="8"/>
  <c r="V168" i="8"/>
  <c r="V169" i="8"/>
  <c r="BH149" i="8"/>
  <c r="BH150" i="8"/>
  <c r="V149" i="8"/>
  <c r="AO149" i="8"/>
  <c r="AO150" i="8"/>
  <c r="V144" i="8"/>
  <c r="BH144" i="8"/>
  <c r="BH143" i="8" s="1"/>
  <c r="AF144" i="8"/>
  <c r="AF143" i="8" s="1"/>
  <c r="AO144" i="8"/>
  <c r="AO143" i="8" s="1"/>
  <c r="AX141" i="8"/>
  <c r="AX136" i="8"/>
  <c r="AX137" i="8"/>
  <c r="AX138" i="8"/>
  <c r="AX139" i="8"/>
  <c r="V137" i="8"/>
  <c r="AO141" i="8"/>
  <c r="V139" i="8"/>
  <c r="AO136" i="8"/>
  <c r="AO137" i="8"/>
  <c r="AO138" i="8"/>
  <c r="AO139" i="8"/>
  <c r="AF135" i="8"/>
  <c r="AO140" i="8"/>
  <c r="AX140" i="8"/>
  <c r="V138" i="8"/>
  <c r="V140" i="8"/>
  <c r="V141" i="8"/>
  <c r="BH136" i="8"/>
  <c r="BH137" i="8"/>
  <c r="BH138" i="8"/>
  <c r="BH139" i="8"/>
  <c r="BH140" i="8"/>
  <c r="BH141" i="8"/>
  <c r="V136" i="8"/>
  <c r="AX126" i="8"/>
  <c r="AX127" i="8"/>
  <c r="AX128" i="8"/>
  <c r="AF126" i="8"/>
  <c r="AF127" i="8"/>
  <c r="AF128" i="8"/>
  <c r="V126" i="8"/>
  <c r="BH126" i="8"/>
  <c r="V127" i="8"/>
  <c r="AF123" i="8"/>
  <c r="AF122" i="8" s="1"/>
  <c r="V123" i="8"/>
  <c r="AX123" i="8"/>
  <c r="AX122" i="8" s="1"/>
  <c r="BH123" i="8"/>
  <c r="BH122" i="8" s="1"/>
  <c r="V114" i="8"/>
  <c r="AX114" i="8"/>
  <c r="AX115" i="8"/>
  <c r="V115" i="8"/>
  <c r="AO114" i="8"/>
  <c r="AO115" i="8"/>
  <c r="BH114" i="8"/>
  <c r="BH115" i="8"/>
  <c r="V112" i="8"/>
  <c r="AO112" i="8"/>
  <c r="AF112" i="8"/>
  <c r="AX109" i="8"/>
  <c r="AX110" i="8"/>
  <c r="V109" i="8"/>
  <c r="AO109" i="8"/>
  <c r="AO110" i="8"/>
  <c r="BH109" i="8"/>
  <c r="BH110" i="8"/>
  <c r="BH107" i="8"/>
  <c r="AF107" i="8"/>
  <c r="V107" i="8"/>
  <c r="AO107" i="8"/>
  <c r="BH175" i="8" l="1"/>
  <c r="V175" i="8"/>
  <c r="BH125" i="8"/>
  <c r="BH130" i="8" s="1"/>
  <c r="AO125" i="8"/>
  <c r="AO130" i="8" s="1"/>
  <c r="AF167" i="8"/>
  <c r="AO157" i="8"/>
  <c r="AO163" i="8" s="1"/>
  <c r="BH157" i="8"/>
  <c r="BH163" i="8" s="1"/>
  <c r="AF125" i="8"/>
  <c r="AF130" i="8" s="1"/>
  <c r="AO167" i="8"/>
  <c r="V167" i="8"/>
  <c r="AF157" i="8"/>
  <c r="AF163" i="8" s="1"/>
  <c r="AX157" i="8"/>
  <c r="AX163" i="8" s="1"/>
  <c r="AO175" i="8"/>
  <c r="AX175" i="8"/>
  <c r="AF175" i="8"/>
  <c r="AX167" i="8"/>
  <c r="BH167" i="8"/>
  <c r="AF146" i="8"/>
  <c r="AX135" i="8"/>
  <c r="AX146" i="8" s="1"/>
  <c r="AO135" i="8"/>
  <c r="AO146" i="8" s="1"/>
  <c r="BH135" i="8"/>
  <c r="BH146" i="8" s="1"/>
  <c r="AX125" i="8"/>
  <c r="AX130" i="8" s="1"/>
  <c r="L97" i="8" l="1"/>
  <c r="L99" i="8"/>
  <c r="L100" i="8"/>
  <c r="L101" i="8"/>
  <c r="L96" i="8"/>
  <c r="BH3" i="8"/>
  <c r="AX3" i="8"/>
  <c r="AO3" i="8"/>
  <c r="AF3" i="8"/>
  <c r="V3" i="8"/>
  <c r="V122" i="8"/>
  <c r="V125" i="8"/>
  <c r="V135" i="8"/>
  <c r="V143" i="8"/>
  <c r="V154" i="8"/>
  <c r="V157" i="8"/>
  <c r="L108" i="8"/>
  <c r="L113" i="8"/>
  <c r="L122" i="8"/>
  <c r="L125" i="8"/>
  <c r="L135" i="8"/>
  <c r="L143" i="8"/>
  <c r="L148" i="8"/>
  <c r="L154" i="8"/>
  <c r="L157" i="8"/>
  <c r="L175" i="8"/>
  <c r="DP3" i="14"/>
  <c r="CV3" i="14"/>
  <c r="CC3" i="14"/>
  <c r="BJ3" i="14"/>
  <c r="AP3" i="14"/>
  <c r="AP122" i="14"/>
  <c r="AP143" i="14"/>
  <c r="AP153" i="14"/>
  <c r="V108" i="14"/>
  <c r="V113" i="14"/>
  <c r="V120" i="14"/>
  <c r="V122" i="14"/>
  <c r="V125" i="14"/>
  <c r="V135" i="14"/>
  <c r="V143" i="14"/>
  <c r="V148" i="14"/>
  <c r="V152" i="14"/>
  <c r="V153" i="14"/>
  <c r="V156" i="14"/>
  <c r="V165" i="14"/>
  <c r="V166" i="14"/>
  <c r="V174" i="14"/>
  <c r="BH86" i="8"/>
  <c r="AF86" i="8"/>
  <c r="V86" i="8"/>
  <c r="BH83" i="8"/>
  <c r="AO83" i="8"/>
  <c r="AF83" i="8"/>
  <c r="AP83" i="14"/>
  <c r="AQ83" i="14" s="1"/>
  <c r="V80" i="8"/>
  <c r="AP79" i="14"/>
  <c r="AQ79" i="14" s="1"/>
  <c r="V77" i="8"/>
  <c r="V76" i="8"/>
  <c r="V75" i="8"/>
  <c r="V73" i="8"/>
  <c r="V72" i="8"/>
  <c r="V71" i="8"/>
  <c r="AP70" i="14"/>
  <c r="AQ70" i="14" s="1"/>
  <c r="AP66" i="14"/>
  <c r="AQ66" i="14" s="1"/>
  <c r="AP65" i="14"/>
  <c r="AQ65" i="14" s="1"/>
  <c r="V59" i="8"/>
  <c r="V58" i="8"/>
  <c r="V51" i="8"/>
  <c r="V50" i="8"/>
  <c r="V48" i="8"/>
  <c r="AP46" i="14"/>
  <c r="V43" i="8"/>
  <c r="V41" i="8"/>
  <c r="V33" i="8"/>
  <c r="AP32" i="14"/>
  <c r="AQ32" i="14" s="1"/>
  <c r="V30" i="8"/>
  <c r="AP17" i="14"/>
  <c r="AQ17" i="14" s="1"/>
  <c r="AP16" i="14"/>
  <c r="AQ16" i="14" s="1"/>
  <c r="V15" i="8"/>
  <c r="V14" i="8"/>
  <c r="AP10" i="14"/>
  <c r="AQ10" i="14" s="1"/>
  <c r="V5" i="8"/>
  <c r="BH80" i="8"/>
  <c r="AO80" i="8"/>
  <c r="AF80" i="8"/>
  <c r="AO79" i="8"/>
  <c r="AF79" i="8"/>
  <c r="BH78" i="8"/>
  <c r="AO78" i="8"/>
  <c r="BJ78" i="14"/>
  <c r="BH77" i="8"/>
  <c r="AO77" i="8"/>
  <c r="AF77" i="8"/>
  <c r="BH76" i="8"/>
  <c r="BJ76" i="14"/>
  <c r="BH75" i="8"/>
  <c r="AO75" i="8"/>
  <c r="AF75" i="8"/>
  <c r="BH73" i="8"/>
  <c r="AO73" i="8"/>
  <c r="BJ73" i="14"/>
  <c r="BH72" i="8"/>
  <c r="CC72" i="14"/>
  <c r="AF72" i="8"/>
  <c r="BH71" i="8"/>
  <c r="CC71" i="14"/>
  <c r="BJ71" i="14"/>
  <c r="DP70" i="14"/>
  <c r="AO70" i="8"/>
  <c r="AF70" i="8"/>
  <c r="BH66" i="8"/>
  <c r="CC66" i="14"/>
  <c r="AF66" i="8"/>
  <c r="BH65" i="8"/>
  <c r="AO65" i="8"/>
  <c r="AF65" i="8"/>
  <c r="BH59" i="8"/>
  <c r="AO59" i="8"/>
  <c r="AF59" i="8"/>
  <c r="BH58" i="8"/>
  <c r="AO58" i="8"/>
  <c r="AF58" i="8"/>
  <c r="BH56" i="8"/>
  <c r="AO56" i="8"/>
  <c r="AF56" i="8"/>
  <c r="BH51" i="8"/>
  <c r="AO51" i="8"/>
  <c r="AF51" i="8"/>
  <c r="BH50" i="8"/>
  <c r="AO50" i="8"/>
  <c r="AF50" i="8"/>
  <c r="AO48" i="8"/>
  <c r="AF48" i="8"/>
  <c r="BH46" i="8"/>
  <c r="AO46" i="8"/>
  <c r="BH43" i="8"/>
  <c r="AO43" i="8"/>
  <c r="BJ43" i="14"/>
  <c r="BH42" i="8"/>
  <c r="AO42" i="8"/>
  <c r="AF42" i="8"/>
  <c r="BJ41" i="14"/>
  <c r="BH33" i="8"/>
  <c r="AO33" i="8"/>
  <c r="BJ33" i="14"/>
  <c r="BH32" i="8"/>
  <c r="AO32" i="8"/>
  <c r="AF32" i="8"/>
  <c r="BH30" i="8"/>
  <c r="AO30" i="8"/>
  <c r="AF30" i="8"/>
  <c r="BH24" i="8"/>
  <c r="BH192" i="8" s="1"/>
  <c r="AF24" i="8"/>
  <c r="AF192" i="8" s="1"/>
  <c r="BH21" i="8"/>
  <c r="BH17" i="8"/>
  <c r="AO17" i="8"/>
  <c r="AF17" i="8"/>
  <c r="BH16" i="8"/>
  <c r="AO16" i="8"/>
  <c r="AF16" i="8"/>
  <c r="AO15" i="8"/>
  <c r="AF15" i="8"/>
  <c r="BH14" i="8"/>
  <c r="CC14" i="14"/>
  <c r="AF14" i="8"/>
  <c r="BH10" i="8"/>
  <c r="CC10" i="14"/>
  <c r="AF10" i="8"/>
  <c r="BH9" i="8"/>
  <c r="AO9" i="8"/>
  <c r="AF9" i="8"/>
  <c r="BH7" i="8"/>
  <c r="CC7" i="14"/>
  <c r="AF7" i="8"/>
  <c r="BH5" i="8"/>
  <c r="AO5" i="8"/>
  <c r="BJ5" i="14"/>
  <c r="V78" i="14"/>
  <c r="V6" i="8" l="1"/>
  <c r="V171" i="14"/>
  <c r="CV71" i="14"/>
  <c r="CC24" i="14"/>
  <c r="CC191" i="14" s="1"/>
  <c r="BH60" i="8"/>
  <c r="DP108" i="14"/>
  <c r="CV108" i="14"/>
  <c r="CC108" i="14"/>
  <c r="BJ108" i="14"/>
  <c r="AP108" i="14"/>
  <c r="AP162" i="14"/>
  <c r="AP146" i="14"/>
  <c r="AP130" i="14"/>
  <c r="DP113" i="14"/>
  <c r="CV113" i="14"/>
  <c r="CC113" i="14"/>
  <c r="BJ113" i="14"/>
  <c r="AP113" i="14"/>
  <c r="AX56" i="8"/>
  <c r="BJ56" i="14"/>
  <c r="AO72" i="8"/>
  <c r="AX72" i="8" s="1"/>
  <c r="AP80" i="14"/>
  <c r="AQ80" i="14" s="1"/>
  <c r="L80" i="8"/>
  <c r="AX75" i="8"/>
  <c r="DP17" i="14"/>
  <c r="L78" i="8"/>
  <c r="DP83" i="14"/>
  <c r="DP5" i="14"/>
  <c r="DP6" i="14" s="1"/>
  <c r="AX16" i="8"/>
  <c r="AX32" i="8"/>
  <c r="AX42" i="8"/>
  <c r="AX59" i="8"/>
  <c r="L7" i="8"/>
  <c r="L24" i="8"/>
  <c r="L192" i="8" s="1"/>
  <c r="BJ9" i="14"/>
  <c r="BJ42" i="14"/>
  <c r="CC46" i="14"/>
  <c r="DP75" i="14"/>
  <c r="L14" i="8"/>
  <c r="L77" i="8"/>
  <c r="AX48" i="8"/>
  <c r="AP15" i="14"/>
  <c r="AQ15" i="14" s="1"/>
  <c r="AP50" i="14"/>
  <c r="CC77" i="14"/>
  <c r="AX9" i="8"/>
  <c r="AX83" i="8"/>
  <c r="DP51" i="14"/>
  <c r="BJ79" i="14"/>
  <c r="AF76" i="8"/>
  <c r="AO86" i="8"/>
  <c r="AX86" i="8" s="1"/>
  <c r="BJ21" i="14"/>
  <c r="BH11" i="8"/>
  <c r="BH12" i="8" s="1"/>
  <c r="BH6" i="8"/>
  <c r="BH15" i="8"/>
  <c r="AO21" i="8"/>
  <c r="AO188" i="8" s="1"/>
  <c r="AO41" i="8"/>
  <c r="AO44" i="8" s="1"/>
  <c r="AO53" i="8" s="1"/>
  <c r="AF71" i="8"/>
  <c r="BH79" i="8"/>
  <c r="DP79" i="14"/>
  <c r="V9" i="8"/>
  <c r="CC9" i="14"/>
  <c r="DP14" i="14"/>
  <c r="BJ16" i="14"/>
  <c r="DP30" i="14"/>
  <c r="CC42" i="14"/>
  <c r="DP46" i="14"/>
  <c r="BJ50" i="14"/>
  <c r="CC56" i="14"/>
  <c r="AP59" i="14"/>
  <c r="BJ66" i="14"/>
  <c r="CV66" i="14" s="1"/>
  <c r="AP73" i="14"/>
  <c r="AQ73" i="14" s="1"/>
  <c r="DP77" i="14"/>
  <c r="CC79" i="14"/>
  <c r="BJ83" i="14"/>
  <c r="AP86" i="14"/>
  <c r="AQ86" i="14" s="1"/>
  <c r="V7" i="8"/>
  <c r="V79" i="8"/>
  <c r="AF5" i="8"/>
  <c r="AX5" i="8" s="1"/>
  <c r="AF78" i="8"/>
  <c r="AX78" i="8" s="1"/>
  <c r="BH188" i="8"/>
  <c r="BH27" i="8"/>
  <c r="BH28" i="8" s="1"/>
  <c r="BH41" i="8"/>
  <c r="BH63" i="8" s="1"/>
  <c r="AX58" i="8"/>
  <c r="BH67" i="8"/>
  <c r="AO71" i="8"/>
  <c r="AX80" i="8"/>
  <c r="AP7" i="14"/>
  <c r="AQ7" i="14" s="1"/>
  <c r="DP9" i="14"/>
  <c r="V14" i="14"/>
  <c r="CC16" i="14"/>
  <c r="CC33" i="14"/>
  <c r="CV33" i="14" s="1"/>
  <c r="AP41" i="14"/>
  <c r="DP42" i="14"/>
  <c r="CC50" i="14"/>
  <c r="DP56" i="14"/>
  <c r="BJ59" i="14"/>
  <c r="DP71" i="14"/>
  <c r="AP76" i="14"/>
  <c r="AQ76" i="14" s="1"/>
  <c r="CC83" i="14"/>
  <c r="BJ86" i="14"/>
  <c r="V10" i="8"/>
  <c r="V83" i="8"/>
  <c r="AO7" i="8"/>
  <c r="AX7" i="8" s="1"/>
  <c r="AF67" i="8"/>
  <c r="CC30" i="14"/>
  <c r="AX51" i="8"/>
  <c r="V56" i="8"/>
  <c r="BJ7" i="14"/>
  <c r="CV7" i="14" s="1"/>
  <c r="DP16" i="14"/>
  <c r="DP33" i="14"/>
  <c r="AP48" i="14"/>
  <c r="DP50" i="14"/>
  <c r="CC59" i="14"/>
  <c r="DP66" i="14"/>
  <c r="BJ70" i="14"/>
  <c r="CC73" i="14"/>
  <c r="CV73" i="14" s="1"/>
  <c r="CC86" i="14"/>
  <c r="V24" i="8"/>
  <c r="AF21" i="8"/>
  <c r="AO10" i="8"/>
  <c r="AF41" i="8"/>
  <c r="AF63" i="8" s="1"/>
  <c r="AO66" i="8"/>
  <c r="AX66" i="8" s="1"/>
  <c r="BJ15" i="14"/>
  <c r="AP24" i="14"/>
  <c r="AQ24" i="14" s="1"/>
  <c r="BJ32" i="14"/>
  <c r="CC41" i="14"/>
  <c r="CV41" i="14" s="1"/>
  <c r="AP43" i="14"/>
  <c r="BJ48" i="14"/>
  <c r="AP58" i="14"/>
  <c r="DP59" i="14"/>
  <c r="BJ65" i="14"/>
  <c r="CC70" i="14"/>
  <c r="AP72" i="14"/>
  <c r="AQ72" i="14" s="1"/>
  <c r="DP73" i="14"/>
  <c r="DP76" i="14"/>
  <c r="CC78" i="14"/>
  <c r="CV78" i="14" s="1"/>
  <c r="BJ80" i="14"/>
  <c r="DP86" i="14"/>
  <c r="V32" i="8"/>
  <c r="AO24" i="8"/>
  <c r="AO192" i="8" s="1"/>
  <c r="AO14" i="8"/>
  <c r="AX14" i="8" s="1"/>
  <c r="AF33" i="8"/>
  <c r="AX33" i="8" s="1"/>
  <c r="AX34" i="8" s="1"/>
  <c r="V16" i="8"/>
  <c r="V42" i="8"/>
  <c r="AP5" i="14"/>
  <c r="DP7" i="14"/>
  <c r="BJ10" i="14"/>
  <c r="CV10" i="14" s="1"/>
  <c r="CC15" i="14"/>
  <c r="BJ24" i="14"/>
  <c r="CC32" i="14"/>
  <c r="DP41" i="14"/>
  <c r="CC48" i="14"/>
  <c r="AP51" i="14"/>
  <c r="BJ58" i="14"/>
  <c r="BJ72" i="14"/>
  <c r="CV72" i="14" s="1"/>
  <c r="AP75" i="14"/>
  <c r="AQ75" i="14" s="1"/>
  <c r="DP78" i="14"/>
  <c r="CC80" i="14"/>
  <c r="AF46" i="8"/>
  <c r="AX46" i="8" s="1"/>
  <c r="AO34" i="8"/>
  <c r="AF43" i="8"/>
  <c r="BH48" i="8"/>
  <c r="V17" i="8"/>
  <c r="V65" i="8"/>
  <c r="AP14" i="14"/>
  <c r="AQ14" i="14" s="1"/>
  <c r="DP15" i="14"/>
  <c r="BJ17" i="14"/>
  <c r="AP30" i="14"/>
  <c r="AQ30" i="14" s="1"/>
  <c r="DP32" i="14"/>
  <c r="CC43" i="14"/>
  <c r="CV43" i="14" s="1"/>
  <c r="DP48" i="14"/>
  <c r="BJ51" i="14"/>
  <c r="CC58" i="14"/>
  <c r="DP65" i="14"/>
  <c r="BJ75" i="14"/>
  <c r="AP77" i="14"/>
  <c r="AQ77" i="14" s="1"/>
  <c r="DP80" i="14"/>
  <c r="BH70" i="8"/>
  <c r="BH81" i="8" s="1"/>
  <c r="BH34" i="8"/>
  <c r="AX70" i="8"/>
  <c r="AF73" i="8"/>
  <c r="AX73" i="8" s="1"/>
  <c r="AO76" i="8"/>
  <c r="AX76" i="8" s="1"/>
  <c r="CC76" i="14"/>
  <c r="CV76" i="14" s="1"/>
  <c r="V21" i="8"/>
  <c r="V22" i="8" s="1"/>
  <c r="V46" i="8"/>
  <c r="V66" i="8"/>
  <c r="V78" i="8"/>
  <c r="AP78" i="14"/>
  <c r="AQ78" i="14" s="1"/>
  <c r="CC5" i="14"/>
  <c r="CV5" i="14" s="1"/>
  <c r="AP9" i="14"/>
  <c r="AQ9" i="14" s="1"/>
  <c r="DP10" i="14"/>
  <c r="BJ14" i="14"/>
  <c r="CV14" i="14" s="1"/>
  <c r="CC17" i="14"/>
  <c r="AP21" i="14"/>
  <c r="AQ21" i="14" s="1"/>
  <c r="BJ30" i="14"/>
  <c r="AP42" i="14"/>
  <c r="DP43" i="14"/>
  <c r="BJ46" i="14"/>
  <c r="CV46" i="14" s="1"/>
  <c r="CC51" i="14"/>
  <c r="AP56" i="14"/>
  <c r="DP58" i="14"/>
  <c r="AP71" i="14"/>
  <c r="AQ71" i="14" s="1"/>
  <c r="DP72" i="14"/>
  <c r="CC75" i="14"/>
  <c r="BJ77" i="14"/>
  <c r="V80" i="14"/>
  <c r="V70" i="8"/>
  <c r="AX79" i="8"/>
  <c r="AO60" i="8"/>
  <c r="V130" i="8"/>
  <c r="AX30" i="8"/>
  <c r="AX50" i="8"/>
  <c r="BH18" i="8"/>
  <c r="AF18" i="8"/>
  <c r="AO148" i="8"/>
  <c r="V148" i="8"/>
  <c r="AX148" i="8"/>
  <c r="AF148" i="8"/>
  <c r="BH148" i="8"/>
  <c r="V146" i="14"/>
  <c r="L130" i="8"/>
  <c r="AX113" i="8"/>
  <c r="AF113" i="8"/>
  <c r="AO113" i="8"/>
  <c r="V113" i="8"/>
  <c r="BH113" i="8"/>
  <c r="V108" i="8"/>
  <c r="AO108" i="8"/>
  <c r="AX108" i="8"/>
  <c r="AF108" i="8"/>
  <c r="BH108" i="8"/>
  <c r="AX17" i="8"/>
  <c r="AX65" i="8"/>
  <c r="AX77" i="8"/>
  <c r="AF60" i="8"/>
  <c r="AX15" i="8"/>
  <c r="V60" i="8"/>
  <c r="BH25" i="8"/>
  <c r="BH22" i="8"/>
  <c r="V163" i="8"/>
  <c r="V146" i="8"/>
  <c r="L163" i="8"/>
  <c r="L146" i="8"/>
  <c r="L167" i="8"/>
  <c r="L172" i="8" s="1"/>
  <c r="AP67" i="14"/>
  <c r="V130" i="14"/>
  <c r="V162" i="14"/>
  <c r="V172" i="14"/>
  <c r="AX60" i="8" l="1"/>
  <c r="V44" i="8"/>
  <c r="V34" i="8"/>
  <c r="V192" i="8"/>
  <c r="AP6" i="14"/>
  <c r="CV77" i="14"/>
  <c r="CV58" i="14"/>
  <c r="CV30" i="14"/>
  <c r="CV17" i="14"/>
  <c r="CV80" i="14"/>
  <c r="CC65" i="14"/>
  <c r="CC67" i="14" s="1"/>
  <c r="DP21" i="14"/>
  <c r="DP187" i="14" s="1"/>
  <c r="CV75" i="14"/>
  <c r="CC21" i="14"/>
  <c r="CV21" i="14" s="1"/>
  <c r="CV187" i="14" s="1"/>
  <c r="CV48" i="14"/>
  <c r="CV59" i="14"/>
  <c r="CV16" i="14"/>
  <c r="CV9" i="14"/>
  <c r="CV11" i="14" s="1"/>
  <c r="CV79" i="14"/>
  <c r="DP24" i="14"/>
  <c r="DP191" i="14" s="1"/>
  <c r="CV51" i="14"/>
  <c r="CV56" i="14"/>
  <c r="CV50" i="14"/>
  <c r="AP33" i="14"/>
  <c r="CV70" i="14"/>
  <c r="CV86" i="14"/>
  <c r="CV83" i="14"/>
  <c r="CV15" i="14"/>
  <c r="BJ187" i="14"/>
  <c r="BJ44" i="14"/>
  <c r="BJ49" i="14" s="1"/>
  <c r="CV42" i="14"/>
  <c r="CV44" i="14" s="1"/>
  <c r="V18" i="8"/>
  <c r="BJ34" i="14"/>
  <c r="CV32" i="14"/>
  <c r="BJ191" i="14"/>
  <c r="CV24" i="14"/>
  <c r="CV191" i="14" s="1"/>
  <c r="AX71" i="8"/>
  <c r="AX81" i="8" s="1"/>
  <c r="AF44" i="8"/>
  <c r="AF52" i="8" s="1"/>
  <c r="AP187" i="14"/>
  <c r="AP191" i="14"/>
  <c r="AO18" i="8"/>
  <c r="BH35" i="8"/>
  <c r="V77" i="14"/>
  <c r="V7" i="14"/>
  <c r="V25" i="8"/>
  <c r="AP60" i="14"/>
  <c r="AP18" i="14"/>
  <c r="V67" i="8"/>
  <c r="AO11" i="8"/>
  <c r="DP81" i="14"/>
  <c r="BJ18" i="14"/>
  <c r="AP22" i="14"/>
  <c r="AP27" i="14"/>
  <c r="AP81" i="14"/>
  <c r="AP25" i="14"/>
  <c r="CC44" i="14"/>
  <c r="CC53" i="14" s="1"/>
  <c r="AP44" i="14"/>
  <c r="AP53" i="14" s="1"/>
  <c r="L25" i="8"/>
  <c r="V81" i="8"/>
  <c r="AX24" i="8"/>
  <c r="AX192" i="8" s="1"/>
  <c r="DP34" i="14"/>
  <c r="V53" i="8"/>
  <c r="V62" i="8" s="1"/>
  <c r="AF34" i="8"/>
  <c r="AO27" i="8"/>
  <c r="BJ11" i="14"/>
  <c r="AF81" i="8"/>
  <c r="DP11" i="14"/>
  <c r="DP12" i="14" s="1"/>
  <c r="BJ60" i="14"/>
  <c r="AF11" i="8"/>
  <c r="CC60" i="14"/>
  <c r="CC61" i="14" s="1"/>
  <c r="V24" i="14"/>
  <c r="V11" i="8"/>
  <c r="V12" i="8" s="1"/>
  <c r="AO62" i="8"/>
  <c r="L72" i="8"/>
  <c r="V72" i="14"/>
  <c r="L5" i="8"/>
  <c r="V5" i="14"/>
  <c r="L71" i="8"/>
  <c r="V71" i="14"/>
  <c r="AX10" i="8"/>
  <c r="AX11" i="8" s="1"/>
  <c r="AO63" i="8"/>
  <c r="L43" i="8"/>
  <c r="V43" i="14"/>
  <c r="AP11" i="14"/>
  <c r="AF188" i="8"/>
  <c r="AX21" i="8"/>
  <c r="AF27" i="8"/>
  <c r="L32" i="8"/>
  <c r="V32" i="14"/>
  <c r="L9" i="8"/>
  <c r="V9" i="14"/>
  <c r="L41" i="8"/>
  <c r="L170" i="8" s="1"/>
  <c r="V41" i="14"/>
  <c r="AX43" i="8"/>
  <c r="L79" i="8"/>
  <c r="V79" i="14"/>
  <c r="AX41" i="8"/>
  <c r="L33" i="8"/>
  <c r="V33" i="14"/>
  <c r="L48" i="8"/>
  <c r="V48" i="14"/>
  <c r="L51" i="8"/>
  <c r="V51" i="14"/>
  <c r="BJ63" i="14"/>
  <c r="DP60" i="14"/>
  <c r="L17" i="8"/>
  <c r="V17" i="14"/>
  <c r="L30" i="8"/>
  <c r="V30" i="14"/>
  <c r="DP44" i="14"/>
  <c r="DP53" i="14" s="1"/>
  <c r="DP63" i="14"/>
  <c r="L42" i="8"/>
  <c r="V42" i="14"/>
  <c r="AO81" i="8"/>
  <c r="L70" i="8"/>
  <c r="V70" i="14"/>
  <c r="L75" i="8"/>
  <c r="V75" i="14"/>
  <c r="BJ27" i="14"/>
  <c r="V21" i="14"/>
  <c r="L21" i="8"/>
  <c r="BH44" i="8"/>
  <c r="BH53" i="8" s="1"/>
  <c r="BH62" i="8" s="1"/>
  <c r="L66" i="8"/>
  <c r="V66" i="14"/>
  <c r="L73" i="8"/>
  <c r="V73" i="14"/>
  <c r="BJ81" i="14"/>
  <c r="L15" i="8"/>
  <c r="V15" i="14"/>
  <c r="CC34" i="14"/>
  <c r="CC63" i="14"/>
  <c r="CC81" i="14"/>
  <c r="AO67" i="8"/>
  <c r="DP67" i="14"/>
  <c r="L76" i="8"/>
  <c r="V76" i="14"/>
  <c r="V16" i="14"/>
  <c r="L16" i="8"/>
  <c r="L86" i="8"/>
  <c r="V86" i="14"/>
  <c r="L65" i="8"/>
  <c r="V65" i="14"/>
  <c r="L56" i="8"/>
  <c r="V56" i="14"/>
  <c r="L59" i="8"/>
  <c r="V59" i="14"/>
  <c r="L46" i="8"/>
  <c r="V46" i="14"/>
  <c r="L50" i="8"/>
  <c r="V50" i="14"/>
  <c r="CC18" i="14"/>
  <c r="L10" i="8"/>
  <c r="V10" i="14"/>
  <c r="DP18" i="14"/>
  <c r="L58" i="8"/>
  <c r="V58" i="14"/>
  <c r="V27" i="8"/>
  <c r="V28" i="8" s="1"/>
  <c r="V188" i="8"/>
  <c r="BJ67" i="14"/>
  <c r="L83" i="8"/>
  <c r="V83" i="14"/>
  <c r="CC11" i="14"/>
  <c r="AO61" i="8"/>
  <c r="AO64" i="8"/>
  <c r="AX67" i="8"/>
  <c r="AX18" i="8"/>
  <c r="BH36" i="8"/>
  <c r="L173" i="8"/>
  <c r="AO35" i="8" l="1"/>
  <c r="AO69" i="8" s="1"/>
  <c r="AO74" i="8" s="1"/>
  <c r="AF53" i="8"/>
  <c r="AF62" i="8" s="1"/>
  <c r="AF49" i="8"/>
  <c r="AF47" i="8"/>
  <c r="AF45" i="8"/>
  <c r="AP34" i="14"/>
  <c r="AP35" i="14" s="1"/>
  <c r="AP36" i="14" s="1"/>
  <c r="AQ33" i="14"/>
  <c r="DP22" i="14"/>
  <c r="DP27" i="14"/>
  <c r="DP28" i="14" s="1"/>
  <c r="V25" i="14"/>
  <c r="CC27" i="14"/>
  <c r="CC35" i="14" s="1"/>
  <c r="DP25" i="14"/>
  <c r="BJ47" i="14"/>
  <c r="BJ53" i="14"/>
  <c r="BJ62" i="14" s="1"/>
  <c r="BJ52" i="14"/>
  <c r="CV65" i="14"/>
  <c r="BJ45" i="14"/>
  <c r="CC187" i="14"/>
  <c r="BH82" i="8"/>
  <c r="BH85" i="8" s="1"/>
  <c r="AP62" i="14"/>
  <c r="AP28" i="14"/>
  <c r="CV47" i="14"/>
  <c r="AP12" i="14"/>
  <c r="AF35" i="8"/>
  <c r="AX44" i="8"/>
  <c r="AX53" i="8" s="1"/>
  <c r="V191" i="14"/>
  <c r="CV81" i="14"/>
  <c r="BJ35" i="14"/>
  <c r="CV49" i="14"/>
  <c r="CV60" i="14"/>
  <c r="AO82" i="8"/>
  <c r="AO85" i="8" s="1"/>
  <c r="L67" i="8"/>
  <c r="V35" i="8"/>
  <c r="V69" i="8" s="1"/>
  <c r="V74" i="8" s="1"/>
  <c r="V34" i="14"/>
  <c r="L81" i="8"/>
  <c r="L60" i="8"/>
  <c r="CV53" i="14"/>
  <c r="CC62" i="14"/>
  <c r="V169" i="14"/>
  <c r="V44" i="14"/>
  <c r="V63" i="14"/>
  <c r="L63" i="8"/>
  <c r="L44" i="8"/>
  <c r="V60" i="14"/>
  <c r="L18" i="8"/>
  <c r="DP62" i="14"/>
  <c r="AX188" i="8"/>
  <c r="AX27" i="8"/>
  <c r="AX35" i="8" s="1"/>
  <c r="V6" i="14"/>
  <c r="V11" i="14"/>
  <c r="CV34" i="14"/>
  <c r="CV27" i="14"/>
  <c r="V18" i="14"/>
  <c r="BH69" i="8"/>
  <c r="L6" i="8"/>
  <c r="L11" i="8"/>
  <c r="L12" i="8" s="1"/>
  <c r="AX63" i="8"/>
  <c r="CV45" i="14"/>
  <c r="L34" i="8"/>
  <c r="CV18" i="14"/>
  <c r="CV63" i="14"/>
  <c r="V22" i="14"/>
  <c r="V187" i="14"/>
  <c r="V27" i="14"/>
  <c r="V67" i="14"/>
  <c r="L188" i="8"/>
  <c r="L22" i="8"/>
  <c r="L27" i="8"/>
  <c r="L28" i="8" s="1"/>
  <c r="V81" i="14"/>
  <c r="AX62" i="8"/>
  <c r="AX47" i="8"/>
  <c r="AX45" i="8"/>
  <c r="AF54" i="8"/>
  <c r="BH84" i="8"/>
  <c r="BH37" i="8"/>
  <c r="AX49" i="8" l="1"/>
  <c r="AF82" i="8"/>
  <c r="AF84" i="8" s="1"/>
  <c r="V36" i="8"/>
  <c r="V37" i="8" s="1"/>
  <c r="DP35" i="14"/>
  <c r="DP36" i="14" s="1"/>
  <c r="DP37" i="14" s="1"/>
  <c r="V47" i="14"/>
  <c r="CV67" i="14"/>
  <c r="BJ54" i="14"/>
  <c r="AP69" i="14"/>
  <c r="AP74" i="14" s="1"/>
  <c r="AF69" i="8"/>
  <c r="AF74" i="8" s="1"/>
  <c r="AP82" i="14"/>
  <c r="AP84" i="14" s="1"/>
  <c r="AO84" i="8"/>
  <c r="V82" i="8"/>
  <c r="V85" i="8" s="1"/>
  <c r="BJ82" i="14"/>
  <c r="BJ85" i="14" s="1"/>
  <c r="BJ88" i="14" s="1"/>
  <c r="BJ69" i="14"/>
  <c r="BJ74" i="14" s="1"/>
  <c r="CV62" i="14"/>
  <c r="AF85" i="8"/>
  <c r="AF88" i="8" s="1"/>
  <c r="CV35" i="14"/>
  <c r="AX82" i="8"/>
  <c r="AX85" i="8" s="1"/>
  <c r="AX69" i="8"/>
  <c r="AX74" i="8" s="1"/>
  <c r="V12" i="14"/>
  <c r="CC82" i="14"/>
  <c r="CC69" i="14"/>
  <c r="CC74" i="14" s="1"/>
  <c r="L45" i="8"/>
  <c r="L49" i="8"/>
  <c r="L53" i="8"/>
  <c r="L62" i="8" s="1"/>
  <c r="V35" i="14"/>
  <c r="L47" i="8"/>
  <c r="V53" i="14"/>
  <c r="V49" i="14"/>
  <c r="V45" i="14"/>
  <c r="V28" i="14"/>
  <c r="L35" i="8"/>
  <c r="BH88" i="8"/>
  <c r="BH87" i="8"/>
  <c r="AO88" i="8"/>
  <c r="AO87" i="8"/>
  <c r="AP37" i="14"/>
  <c r="V88" i="8" l="1"/>
  <c r="V103" i="8" s="1"/>
  <c r="V92" i="8"/>
  <c r="DP82" i="14"/>
  <c r="DP85" i="14" s="1"/>
  <c r="DP88" i="14" s="1"/>
  <c r="DP69" i="14"/>
  <c r="AF89" i="8"/>
  <c r="AP85" i="14"/>
  <c r="CV82" i="14"/>
  <c r="CV85" i="14" s="1"/>
  <c r="BJ87" i="14"/>
  <c r="CV69" i="14"/>
  <c r="BH89" i="8"/>
  <c r="V84" i="8"/>
  <c r="V87" i="8"/>
  <c r="BJ84" i="14"/>
  <c r="AF91" i="8"/>
  <c r="AF117" i="8" s="1"/>
  <c r="AF87" i="8"/>
  <c r="AX84" i="8"/>
  <c r="V36" i="14"/>
  <c r="V62" i="14"/>
  <c r="BJ89" i="14"/>
  <c r="L69" i="8"/>
  <c r="N67" i="8" s="1"/>
  <c r="L82" i="8"/>
  <c r="L36" i="8"/>
  <c r="L37" i="8" s="1"/>
  <c r="CC85" i="14"/>
  <c r="CC84" i="14"/>
  <c r="V89" i="8"/>
  <c r="AX88" i="8"/>
  <c r="AX89" i="8" s="1"/>
  <c r="AX87" i="8"/>
  <c r="AO89" i="8"/>
  <c r="AO91" i="8"/>
  <c r="BJ91" i="14"/>
  <c r="BJ117" i="14" s="1"/>
  <c r="U46" i="14"/>
  <c r="V91" i="8" l="1"/>
  <c r="V117" i="8" s="1"/>
  <c r="AP88" i="14"/>
  <c r="AP92" i="14"/>
  <c r="DP87" i="14"/>
  <c r="DP84" i="14"/>
  <c r="DP89" i="14"/>
  <c r="CV84" i="14"/>
  <c r="AP87" i="14"/>
  <c r="CV74" i="14"/>
  <c r="N35" i="8"/>
  <c r="N62" i="8"/>
  <c r="AP89" i="14"/>
  <c r="CC88" i="14"/>
  <c r="CC87" i="14"/>
  <c r="V69" i="14"/>
  <c r="L84" i="8"/>
  <c r="L85" i="8"/>
  <c r="V37" i="14"/>
  <c r="V82" i="14"/>
  <c r="L74" i="8"/>
  <c r="CV88" i="14"/>
  <c r="CV87" i="14"/>
  <c r="AX91" i="8"/>
  <c r="L184" i="21"/>
  <c r="AX184" i="21" s="1"/>
  <c r="L183" i="21"/>
  <c r="L179" i="21"/>
  <c r="BI179" i="21" s="1"/>
  <c r="L178" i="21"/>
  <c r="BI178" i="21" s="1"/>
  <c r="L176" i="21"/>
  <c r="L175" i="21"/>
  <c r="L168" i="21"/>
  <c r="L160" i="21"/>
  <c r="L159" i="21"/>
  <c r="L158" i="21"/>
  <c r="L157" i="21"/>
  <c r="AX157" i="21" s="1"/>
  <c r="L154" i="21"/>
  <c r="L150" i="21"/>
  <c r="AO150" i="21" s="1"/>
  <c r="L149" i="21"/>
  <c r="AX149" i="21" s="1"/>
  <c r="L144" i="21"/>
  <c r="L141" i="21"/>
  <c r="BI141" i="21" s="1"/>
  <c r="L140" i="21"/>
  <c r="BI140" i="21" s="1"/>
  <c r="L139" i="21"/>
  <c r="L138" i="21"/>
  <c r="V138" i="21" s="1"/>
  <c r="L137" i="21"/>
  <c r="L136" i="21"/>
  <c r="BI136" i="21" s="1"/>
  <c r="L128" i="21"/>
  <c r="AO128" i="21" s="1"/>
  <c r="L127" i="21"/>
  <c r="AX127" i="21" s="1"/>
  <c r="L126" i="21"/>
  <c r="L123" i="21"/>
  <c r="BI123" i="21" s="1"/>
  <c r="BI122" i="21" s="1"/>
  <c r="L115" i="21"/>
  <c r="BI115" i="21" s="1"/>
  <c r="L114" i="21"/>
  <c r="L112" i="21"/>
  <c r="BI112" i="21" s="1"/>
  <c r="L110" i="21"/>
  <c r="AX110" i="21" s="1"/>
  <c r="L109" i="21"/>
  <c r="BI109" i="21" s="1"/>
  <c r="L107" i="21"/>
  <c r="L97" i="21"/>
  <c r="L99" i="21"/>
  <c r="L100" i="21"/>
  <c r="L96" i="21"/>
  <c r="BE70" i="21"/>
  <c r="BC70" i="21"/>
  <c r="AK70" i="21"/>
  <c r="AI70" i="21"/>
  <c r="AB70" i="21"/>
  <c r="Z70" i="21"/>
  <c r="R70" i="21"/>
  <c r="P70" i="21"/>
  <c r="BH192" i="21"/>
  <c r="BF192" i="21"/>
  <c r="BD192" i="21"/>
  <c r="BB192" i="21"/>
  <c r="BH191" i="21"/>
  <c r="BF191" i="21"/>
  <c r="BD191" i="21"/>
  <c r="BD193" i="21" s="1"/>
  <c r="BB191" i="21"/>
  <c r="BB193" i="21" s="1"/>
  <c r="BH188" i="21"/>
  <c r="BF188" i="21"/>
  <c r="BD188" i="21"/>
  <c r="BB188" i="21"/>
  <c r="BH187" i="21"/>
  <c r="BH189" i="21" s="1"/>
  <c r="BF187" i="21"/>
  <c r="BD187" i="21"/>
  <c r="BB187" i="21"/>
  <c r="BB189" i="21" s="1"/>
  <c r="BH184" i="21"/>
  <c r="BF184" i="21"/>
  <c r="BD184" i="21"/>
  <c r="BB184" i="21"/>
  <c r="BH183" i="21"/>
  <c r="BF183" i="21"/>
  <c r="BD183" i="21"/>
  <c r="BB183" i="21"/>
  <c r="BH179" i="21"/>
  <c r="BF179" i="21"/>
  <c r="BD179" i="21"/>
  <c r="BB179" i="21"/>
  <c r="BH178" i="21"/>
  <c r="BF178" i="21"/>
  <c r="BD178" i="21"/>
  <c r="BB178" i="21"/>
  <c r="BI177" i="21"/>
  <c r="BH177" i="21"/>
  <c r="BG177" i="21"/>
  <c r="BE177" i="21"/>
  <c r="BH176" i="21"/>
  <c r="BF176" i="21"/>
  <c r="BD176" i="21"/>
  <c r="BB176" i="21"/>
  <c r="BH175" i="21"/>
  <c r="BF175" i="21"/>
  <c r="BD175" i="21"/>
  <c r="BB175" i="21"/>
  <c r="BH168" i="21"/>
  <c r="BF168" i="21"/>
  <c r="BD168" i="21"/>
  <c r="BB168" i="21"/>
  <c r="BH167" i="21"/>
  <c r="BF167" i="21"/>
  <c r="BF166" i="21" s="1"/>
  <c r="BD167" i="21"/>
  <c r="BB167" i="21"/>
  <c r="BH160" i="21"/>
  <c r="BF160" i="21"/>
  <c r="BD160" i="21"/>
  <c r="BB160" i="21"/>
  <c r="BH159" i="21"/>
  <c r="BF159" i="21"/>
  <c r="BD159" i="21"/>
  <c r="BB159" i="21"/>
  <c r="BH158" i="21"/>
  <c r="BF158" i="21"/>
  <c r="BD158" i="21"/>
  <c r="BB158" i="21"/>
  <c r="BB156" i="21" s="1"/>
  <c r="BH157" i="21"/>
  <c r="BF157" i="21"/>
  <c r="BF156" i="21" s="1"/>
  <c r="BD157" i="21"/>
  <c r="BB157" i="21"/>
  <c r="BH154" i="21"/>
  <c r="BH153" i="21" s="1"/>
  <c r="BF154" i="21"/>
  <c r="BF153" i="21" s="1"/>
  <c r="BD154" i="21"/>
  <c r="BD153" i="21" s="1"/>
  <c r="BB154" i="21"/>
  <c r="BB153" i="21" s="1"/>
  <c r="BH150" i="21"/>
  <c r="BF150" i="21"/>
  <c r="BD150" i="21"/>
  <c r="BB150" i="21"/>
  <c r="BH149" i="21"/>
  <c r="BF149" i="21"/>
  <c r="BD149" i="21"/>
  <c r="BB149" i="21"/>
  <c r="BH144" i="21"/>
  <c r="BH143" i="21" s="1"/>
  <c r="BF144" i="21"/>
  <c r="BF143" i="21" s="1"/>
  <c r="BD144" i="21"/>
  <c r="BD143" i="21" s="1"/>
  <c r="BB144" i="21"/>
  <c r="BB143" i="21" s="1"/>
  <c r="BH141" i="21"/>
  <c r="BF141" i="21"/>
  <c r="BD141" i="21"/>
  <c r="BB141" i="21"/>
  <c r="BH140" i="21"/>
  <c r="BF140" i="21"/>
  <c r="BD140" i="21"/>
  <c r="BB140" i="21"/>
  <c r="BH139" i="21"/>
  <c r="BF139" i="21"/>
  <c r="BD139" i="21"/>
  <c r="BB139" i="21"/>
  <c r="BH138" i="21"/>
  <c r="BF138" i="21"/>
  <c r="BD138" i="21"/>
  <c r="BB138" i="21"/>
  <c r="BH137" i="21"/>
  <c r="BF137" i="21"/>
  <c r="BD137" i="21"/>
  <c r="BB137" i="21"/>
  <c r="BH136" i="21"/>
  <c r="BF136" i="21"/>
  <c r="BD136" i="21"/>
  <c r="BB136" i="21"/>
  <c r="BI117" i="21"/>
  <c r="BH117" i="21"/>
  <c r="BG117" i="21"/>
  <c r="BF117" i="21"/>
  <c r="BE117" i="21"/>
  <c r="BD117" i="21"/>
  <c r="BC117" i="21"/>
  <c r="BB117" i="21"/>
  <c r="BI116" i="21"/>
  <c r="BH116" i="21"/>
  <c r="BG116" i="21"/>
  <c r="BF116" i="21"/>
  <c r="BE116" i="21"/>
  <c r="BD116" i="21"/>
  <c r="BC116" i="21"/>
  <c r="BB116" i="21"/>
  <c r="AW192" i="21"/>
  <c r="AU192" i="21"/>
  <c r="AS192" i="21"/>
  <c r="AQ192" i="21"/>
  <c r="AU191" i="21"/>
  <c r="AU193" i="21" s="1"/>
  <c r="AS191" i="21"/>
  <c r="AQ191" i="21"/>
  <c r="AW188" i="21"/>
  <c r="AU188" i="21"/>
  <c r="AS188" i="21"/>
  <c r="AQ188" i="21"/>
  <c r="AU187" i="21"/>
  <c r="AS187" i="21"/>
  <c r="AQ187" i="21"/>
  <c r="AW184" i="21"/>
  <c r="AU184" i="21"/>
  <c r="AS184" i="21"/>
  <c r="AQ184" i="21"/>
  <c r="AW183" i="21"/>
  <c r="AU183" i="21"/>
  <c r="AS183" i="21"/>
  <c r="AQ183" i="21"/>
  <c r="AW179" i="21"/>
  <c r="AU179" i="21"/>
  <c r="AS179" i="21"/>
  <c r="AQ179" i="21"/>
  <c r="AW178" i="21"/>
  <c r="AU178" i="21"/>
  <c r="AS178" i="21"/>
  <c r="AQ178" i="21"/>
  <c r="AX177" i="21"/>
  <c r="AW177" i="21"/>
  <c r="AV177" i="21"/>
  <c r="AT177" i="21"/>
  <c r="AW176" i="21"/>
  <c r="AU176" i="21"/>
  <c r="AS176" i="21"/>
  <c r="AQ176" i="21"/>
  <c r="AW175" i="21"/>
  <c r="AU175" i="21"/>
  <c r="AS175" i="21"/>
  <c r="AQ175" i="21"/>
  <c r="AW168" i="21"/>
  <c r="AU168" i="21"/>
  <c r="AS168" i="21"/>
  <c r="AQ168" i="21"/>
  <c r="AW167" i="21"/>
  <c r="AW166" i="21" s="1"/>
  <c r="AU167" i="21"/>
  <c r="AS167" i="21"/>
  <c r="AQ167" i="21"/>
  <c r="AW160" i="21"/>
  <c r="AU160" i="21"/>
  <c r="AS160" i="21"/>
  <c r="AQ160" i="21"/>
  <c r="AW159" i="21"/>
  <c r="AU159" i="21"/>
  <c r="AS159" i="21"/>
  <c r="AQ159" i="21"/>
  <c r="AW158" i="21"/>
  <c r="AU158" i="21"/>
  <c r="AS158" i="21"/>
  <c r="AQ158" i="21"/>
  <c r="AW157" i="21"/>
  <c r="AW156" i="21" s="1"/>
  <c r="AU157" i="21"/>
  <c r="AS157" i="21"/>
  <c r="AQ157" i="21"/>
  <c r="AW154" i="21"/>
  <c r="AW153" i="21" s="1"/>
  <c r="AU154" i="21"/>
  <c r="AU153" i="21" s="1"/>
  <c r="AS154" i="21"/>
  <c r="AS153" i="21" s="1"/>
  <c r="AQ154" i="21"/>
  <c r="AQ153" i="21" s="1"/>
  <c r="AW150" i="21"/>
  <c r="AU150" i="21"/>
  <c r="AS150" i="21"/>
  <c r="AQ150" i="21"/>
  <c r="AW149" i="21"/>
  <c r="AU149" i="21"/>
  <c r="AU148" i="21" s="1"/>
  <c r="AS149" i="21"/>
  <c r="AQ149" i="21"/>
  <c r="AQ148" i="21" s="1"/>
  <c r="AW144" i="21"/>
  <c r="AW143" i="21" s="1"/>
  <c r="AU144" i="21"/>
  <c r="AU143" i="21" s="1"/>
  <c r="AS144" i="21"/>
  <c r="AS143" i="21" s="1"/>
  <c r="AQ144" i="21"/>
  <c r="AQ143" i="21" s="1"/>
  <c r="AW141" i="21"/>
  <c r="AU141" i="21"/>
  <c r="AS141" i="21"/>
  <c r="AQ141" i="21"/>
  <c r="AW140" i="21"/>
  <c r="AU140" i="21"/>
  <c r="AS140" i="21"/>
  <c r="AQ140" i="21"/>
  <c r="AW139" i="21"/>
  <c r="AU139" i="21"/>
  <c r="AS139" i="21"/>
  <c r="AQ139" i="21"/>
  <c r="AW138" i="21"/>
  <c r="AU138" i="21"/>
  <c r="AS138" i="21"/>
  <c r="AQ138" i="21"/>
  <c r="AW137" i="21"/>
  <c r="AU137" i="21"/>
  <c r="AS137" i="21"/>
  <c r="AQ137" i="21"/>
  <c r="AQ135" i="21" s="1"/>
  <c r="AQ146" i="21" s="1"/>
  <c r="AW136" i="21"/>
  <c r="AU136" i="21"/>
  <c r="AS136" i="21"/>
  <c r="AQ136" i="21"/>
  <c r="AU117" i="21"/>
  <c r="AS117" i="21"/>
  <c r="AQ117" i="21"/>
  <c r="AU116" i="21"/>
  <c r="AS116" i="21"/>
  <c r="AQ116" i="21"/>
  <c r="AN192" i="21"/>
  <c r="AL192" i="21"/>
  <c r="AJ192" i="21"/>
  <c r="AH192" i="21"/>
  <c r="AN191" i="21"/>
  <c r="AL191" i="21"/>
  <c r="AL193" i="21" s="1"/>
  <c r="AJ191" i="21"/>
  <c r="AH191" i="21"/>
  <c r="AN188" i="21"/>
  <c r="AL188" i="21"/>
  <c r="AJ188" i="21"/>
  <c r="AH188" i="21"/>
  <c r="AN187" i="21"/>
  <c r="AL187" i="21"/>
  <c r="AJ187" i="21"/>
  <c r="AH187" i="21"/>
  <c r="AN184" i="21"/>
  <c r="AL184" i="21"/>
  <c r="AJ184" i="21"/>
  <c r="AH184" i="21"/>
  <c r="AN183" i="21"/>
  <c r="AL183" i="21"/>
  <c r="AJ183" i="21"/>
  <c r="AH183" i="21"/>
  <c r="AN179" i="21"/>
  <c r="AL179" i="21"/>
  <c r="AJ179" i="21"/>
  <c r="AH179" i="21"/>
  <c r="AN178" i="21"/>
  <c r="AL178" i="21"/>
  <c r="AJ178" i="21"/>
  <c r="AH178" i="21"/>
  <c r="AO177" i="21"/>
  <c r="AN177" i="21"/>
  <c r="AM177" i="21"/>
  <c r="AK177" i="21"/>
  <c r="AN176" i="21"/>
  <c r="AL176" i="21"/>
  <c r="AJ176" i="21"/>
  <c r="AJ174" i="21" s="1"/>
  <c r="AH176" i="21"/>
  <c r="AN175" i="21"/>
  <c r="AL175" i="21"/>
  <c r="AJ175" i="21"/>
  <c r="AH175" i="21"/>
  <c r="AH174" i="21" s="1"/>
  <c r="AN168" i="21"/>
  <c r="AL168" i="21"/>
  <c r="AJ168" i="21"/>
  <c r="AH168" i="21"/>
  <c r="AN167" i="21"/>
  <c r="AL167" i="21"/>
  <c r="AJ167" i="21"/>
  <c r="AH167" i="21"/>
  <c r="AH166" i="21" s="1"/>
  <c r="AN160" i="21"/>
  <c r="AL160" i="21"/>
  <c r="AJ160" i="21"/>
  <c r="AH160" i="21"/>
  <c r="AN159" i="21"/>
  <c r="AL159" i="21"/>
  <c r="AJ159" i="21"/>
  <c r="AH159" i="21"/>
  <c r="AN158" i="21"/>
  <c r="AL158" i="21"/>
  <c r="AJ158" i="21"/>
  <c r="AH158" i="21"/>
  <c r="AN157" i="21"/>
  <c r="AL157" i="21"/>
  <c r="AJ157" i="21"/>
  <c r="AH157" i="21"/>
  <c r="AN154" i="21"/>
  <c r="AN153" i="21" s="1"/>
  <c r="AL154" i="21"/>
  <c r="AL153" i="21" s="1"/>
  <c r="AJ154" i="21"/>
  <c r="AJ153" i="21" s="1"/>
  <c r="AH154" i="21"/>
  <c r="AH153" i="21" s="1"/>
  <c r="AN150" i="21"/>
  <c r="AL150" i="21"/>
  <c r="AJ150" i="21"/>
  <c r="AH150" i="21"/>
  <c r="AN149" i="21"/>
  <c r="AL149" i="21"/>
  <c r="AJ149" i="21"/>
  <c r="AH149" i="21"/>
  <c r="AN144" i="21"/>
  <c r="AN143" i="21" s="1"/>
  <c r="AL144" i="21"/>
  <c r="AL143" i="21" s="1"/>
  <c r="AJ144" i="21"/>
  <c r="AJ143" i="21" s="1"/>
  <c r="AH144" i="21"/>
  <c r="AH143" i="21" s="1"/>
  <c r="AN141" i="21"/>
  <c r="AL141" i="21"/>
  <c r="AJ141" i="21"/>
  <c r="AH141" i="21"/>
  <c r="AN140" i="21"/>
  <c r="AL140" i="21"/>
  <c r="AJ140" i="21"/>
  <c r="AH140" i="21"/>
  <c r="AN139" i="21"/>
  <c r="AL139" i="21"/>
  <c r="AJ139" i="21"/>
  <c r="AH139" i="21"/>
  <c r="AN138" i="21"/>
  <c r="AL138" i="21"/>
  <c r="AJ138" i="21"/>
  <c r="AH138" i="21"/>
  <c r="AN137" i="21"/>
  <c r="AL137" i="21"/>
  <c r="AJ137" i="21"/>
  <c r="AH137" i="21"/>
  <c r="AN136" i="21"/>
  <c r="AL136" i="21"/>
  <c r="AJ136" i="21"/>
  <c r="AH136" i="21"/>
  <c r="AL117" i="21"/>
  <c r="AJ117" i="21"/>
  <c r="AH117" i="21"/>
  <c r="AL116" i="21"/>
  <c r="AJ116" i="21"/>
  <c r="AH116" i="21"/>
  <c r="AE192" i="21"/>
  <c r="AC192" i="21"/>
  <c r="AA192" i="21"/>
  <c r="Y192" i="21"/>
  <c r="AE191" i="21"/>
  <c r="AC191" i="21"/>
  <c r="AA191" i="21"/>
  <c r="Y191" i="21"/>
  <c r="AE188" i="21"/>
  <c r="AC188" i="21"/>
  <c r="AA188" i="21"/>
  <c r="Y188" i="21"/>
  <c r="AE187" i="21"/>
  <c r="AC187" i="21"/>
  <c r="AA187" i="21"/>
  <c r="Y187" i="21"/>
  <c r="AE184" i="21"/>
  <c r="AC184" i="21"/>
  <c r="AA184" i="21"/>
  <c r="Y184" i="21"/>
  <c r="AE183" i="21"/>
  <c r="AC183" i="21"/>
  <c r="AA183" i="21"/>
  <c r="Y183" i="21"/>
  <c r="AE179" i="21"/>
  <c r="AC179" i="21"/>
  <c r="AA179" i="21"/>
  <c r="Y179" i="21"/>
  <c r="AE178" i="21"/>
  <c r="AC178" i="21"/>
  <c r="AA178" i="21"/>
  <c r="Y178" i="21"/>
  <c r="AF177" i="21"/>
  <c r="AE177" i="21"/>
  <c r="AD177" i="21"/>
  <c r="AB177" i="21"/>
  <c r="AE176" i="21"/>
  <c r="AC176" i="21"/>
  <c r="AA176" i="21"/>
  <c r="Y176" i="21"/>
  <c r="AE175" i="21"/>
  <c r="AC175" i="21"/>
  <c r="AC174" i="21" s="1"/>
  <c r="AA175" i="21"/>
  <c r="Y175" i="21"/>
  <c r="AE168" i="21"/>
  <c r="AC168" i="21"/>
  <c r="AA168" i="21"/>
  <c r="Y168" i="21"/>
  <c r="AE167" i="21"/>
  <c r="AE166" i="21" s="1"/>
  <c r="AC167" i="21"/>
  <c r="AA167" i="21"/>
  <c r="Y167" i="21"/>
  <c r="Y166" i="21" s="1"/>
  <c r="AE160" i="21"/>
  <c r="AC160" i="21"/>
  <c r="AA160" i="21"/>
  <c r="Y160" i="21"/>
  <c r="AE159" i="21"/>
  <c r="AC159" i="21"/>
  <c r="AA159" i="21"/>
  <c r="Y159" i="21"/>
  <c r="AE158" i="21"/>
  <c r="AC158" i="21"/>
  <c r="AA158" i="21"/>
  <c r="Y158" i="21"/>
  <c r="AE157" i="21"/>
  <c r="AE156" i="21" s="1"/>
  <c r="AC157" i="21"/>
  <c r="AA157" i="21"/>
  <c r="Y157" i="21"/>
  <c r="AE154" i="21"/>
  <c r="AE153" i="21" s="1"/>
  <c r="AC154" i="21"/>
  <c r="AA154" i="21"/>
  <c r="AA153" i="21" s="1"/>
  <c r="Y154" i="21"/>
  <c r="Y153" i="21" s="1"/>
  <c r="AC153" i="21"/>
  <c r="AE150" i="21"/>
  <c r="AC150" i="21"/>
  <c r="AA150" i="21"/>
  <c r="AA148" i="21" s="1"/>
  <c r="Y150" i="21"/>
  <c r="AE149" i="21"/>
  <c r="AC149" i="21"/>
  <c r="AA149" i="21"/>
  <c r="Y149" i="21"/>
  <c r="AE144" i="21"/>
  <c r="AE143" i="21" s="1"/>
  <c r="AC144" i="21"/>
  <c r="AC143" i="21" s="1"/>
  <c r="AA144" i="21"/>
  <c r="AA143" i="21" s="1"/>
  <c r="Y144" i="21"/>
  <c r="Y143" i="21" s="1"/>
  <c r="AE141" i="21"/>
  <c r="AC141" i="21"/>
  <c r="AA141" i="21"/>
  <c r="Y141" i="21"/>
  <c r="AE140" i="21"/>
  <c r="AC140" i="21"/>
  <c r="AA140" i="21"/>
  <c r="Y140" i="21"/>
  <c r="AE139" i="21"/>
  <c r="AC139" i="21"/>
  <c r="AA139" i="21"/>
  <c r="Y139" i="21"/>
  <c r="AE138" i="21"/>
  <c r="AC138" i="21"/>
  <c r="AA138" i="21"/>
  <c r="Y138" i="21"/>
  <c r="AE137" i="21"/>
  <c r="AC137" i="21"/>
  <c r="AA137" i="21"/>
  <c r="Y137" i="21"/>
  <c r="AE136" i="21"/>
  <c r="AC136" i="21"/>
  <c r="AA136" i="21"/>
  <c r="Y136" i="21"/>
  <c r="AC117" i="21"/>
  <c r="AA117" i="21"/>
  <c r="Y117" i="21"/>
  <c r="AC116" i="21"/>
  <c r="AA116" i="21"/>
  <c r="Y116" i="21"/>
  <c r="V112" i="21"/>
  <c r="U192" i="21"/>
  <c r="U188" i="21"/>
  <c r="U184" i="21"/>
  <c r="U183" i="21"/>
  <c r="U179" i="21"/>
  <c r="U178" i="21"/>
  <c r="U176" i="21"/>
  <c r="U175" i="21"/>
  <c r="U168" i="21"/>
  <c r="U167" i="21"/>
  <c r="U160" i="21"/>
  <c r="U159" i="21"/>
  <c r="U158" i="21"/>
  <c r="U157" i="21"/>
  <c r="U154" i="21"/>
  <c r="U150" i="21"/>
  <c r="U149" i="21"/>
  <c r="U144" i="21"/>
  <c r="U141" i="21"/>
  <c r="U140" i="21"/>
  <c r="U139" i="21"/>
  <c r="U138" i="21"/>
  <c r="U137" i="21"/>
  <c r="U136" i="21"/>
  <c r="BH3" i="21"/>
  <c r="BI3" i="21"/>
  <c r="AW3" i="21"/>
  <c r="AX3" i="21"/>
  <c r="AN3" i="21"/>
  <c r="AO3" i="21"/>
  <c r="AE3" i="21"/>
  <c r="AF3" i="21"/>
  <c r="AW191" i="21"/>
  <c r="U3" i="21"/>
  <c r="V3" i="21"/>
  <c r="U187" i="21"/>
  <c r="U191" i="21"/>
  <c r="U177" i="21"/>
  <c r="V177" i="21"/>
  <c r="K107" i="21"/>
  <c r="K109" i="21"/>
  <c r="K110" i="21"/>
  <c r="U110" i="21" s="1"/>
  <c r="K112" i="21"/>
  <c r="K114" i="21"/>
  <c r="K115" i="21"/>
  <c r="U115" i="21" s="1"/>
  <c r="K123" i="21"/>
  <c r="K126" i="21"/>
  <c r="K127" i="21"/>
  <c r="K128" i="21"/>
  <c r="K153" i="21"/>
  <c r="BJ90" i="14"/>
  <c r="BJ116" i="14" s="1"/>
  <c r="AO184" i="14"/>
  <c r="AO183" i="14"/>
  <c r="AO179" i="14"/>
  <c r="AO178" i="14"/>
  <c r="AO176" i="14"/>
  <c r="AO175" i="14"/>
  <c r="AO168" i="14"/>
  <c r="AO160" i="14"/>
  <c r="AO159" i="14"/>
  <c r="AO158" i="14"/>
  <c r="AO157" i="14"/>
  <c r="AO154" i="14"/>
  <c r="AO153" i="14" s="1"/>
  <c r="AO150" i="14"/>
  <c r="AO149" i="14"/>
  <c r="AO144" i="14"/>
  <c r="AO143" i="14" s="1"/>
  <c r="AO141" i="14"/>
  <c r="AO140" i="14"/>
  <c r="AO139" i="14"/>
  <c r="AO138" i="14"/>
  <c r="AO137" i="14"/>
  <c r="AO136" i="14"/>
  <c r="AO128" i="14"/>
  <c r="AO127" i="14"/>
  <c r="AO126" i="14"/>
  <c r="AO123" i="14"/>
  <c r="AO122" i="14" s="1"/>
  <c r="AO115" i="14"/>
  <c r="AO114" i="14"/>
  <c r="AO112" i="14"/>
  <c r="AO110" i="14"/>
  <c r="AO109" i="14"/>
  <c r="AO107" i="14"/>
  <c r="DO3" i="14"/>
  <c r="CU3" i="14"/>
  <c r="CB3" i="14"/>
  <c r="BI3" i="14"/>
  <c r="AO3" i="14"/>
  <c r="U108" i="14"/>
  <c r="U113" i="14"/>
  <c r="U120" i="14"/>
  <c r="U122" i="14"/>
  <c r="U125" i="14"/>
  <c r="V8" i="14" s="1"/>
  <c r="U135" i="14"/>
  <c r="U143" i="14"/>
  <c r="U148" i="14"/>
  <c r="U152" i="14"/>
  <c r="U153" i="14"/>
  <c r="U156" i="14"/>
  <c r="U165" i="14"/>
  <c r="U174" i="14"/>
  <c r="AW193" i="21" l="1"/>
  <c r="AN148" i="21"/>
  <c r="AN189" i="21"/>
  <c r="AS135" i="21"/>
  <c r="AS148" i="21"/>
  <c r="BH135" i="21"/>
  <c r="BH156" i="21"/>
  <c r="BH162" i="21" s="1"/>
  <c r="BH166" i="21"/>
  <c r="AQ174" i="21"/>
  <c r="AQ156" i="21"/>
  <c r="AQ193" i="21"/>
  <c r="AH148" i="21"/>
  <c r="BF148" i="21"/>
  <c r="AJ189" i="21"/>
  <c r="AU166" i="21"/>
  <c r="BH174" i="21"/>
  <c r="AS156" i="21"/>
  <c r="AQ166" i="21"/>
  <c r="AU156" i="21"/>
  <c r="AU162" i="21" s="1"/>
  <c r="AJ166" i="21"/>
  <c r="AC148" i="21"/>
  <c r="AA189" i="21"/>
  <c r="AL156" i="21"/>
  <c r="AL162" i="21" s="1"/>
  <c r="AL166" i="21"/>
  <c r="AQ162" i="21"/>
  <c r="AW174" i="21"/>
  <c r="AC193" i="21"/>
  <c r="AQ189" i="21"/>
  <c r="AE189" i="21"/>
  <c r="AA174" i="21"/>
  <c r="AL174" i="21"/>
  <c r="BF162" i="21"/>
  <c r="AH135" i="21"/>
  <c r="AH146" i="21" s="1"/>
  <c r="AN156" i="21"/>
  <c r="AN166" i="21"/>
  <c r="AE174" i="21"/>
  <c r="Y174" i="21"/>
  <c r="AA193" i="21"/>
  <c r="AS174" i="21"/>
  <c r="V179" i="21"/>
  <c r="L122" i="21"/>
  <c r="AJ193" i="21"/>
  <c r="AF114" i="21"/>
  <c r="AO114" i="21"/>
  <c r="BI138" i="21"/>
  <c r="L153" i="21"/>
  <c r="V114" i="21"/>
  <c r="AF138" i="21"/>
  <c r="V154" i="21"/>
  <c r="BI139" i="21"/>
  <c r="DO113" i="14"/>
  <c r="CU113" i="14"/>
  <c r="BI113" i="14"/>
  <c r="CB113" i="14"/>
  <c r="DO108" i="14"/>
  <c r="CU108" i="14"/>
  <c r="BI108" i="14"/>
  <c r="CB108" i="14"/>
  <c r="V160" i="21"/>
  <c r="AR70" i="21"/>
  <c r="BI107" i="21"/>
  <c r="V184" i="21"/>
  <c r="V127" i="21"/>
  <c r="AO127" i="21"/>
  <c r="V107" i="21"/>
  <c r="AX107" i="21"/>
  <c r="AO136" i="21"/>
  <c r="AF160" i="21"/>
  <c r="AF184" i="21"/>
  <c r="AO123" i="21"/>
  <c r="AO122" i="21" s="1"/>
  <c r="AO160" i="21"/>
  <c r="AF107" i="21"/>
  <c r="AF127" i="21"/>
  <c r="L88" i="8"/>
  <c r="L87" i="8"/>
  <c r="CV90" i="14"/>
  <c r="CV116" i="14" s="1"/>
  <c r="CV89" i="14"/>
  <c r="CV91" i="14"/>
  <c r="CV117" i="14" s="1"/>
  <c r="V74" i="14"/>
  <c r="V85" i="14"/>
  <c r="V84" i="14"/>
  <c r="CC90" i="14"/>
  <c r="CC116" i="14" s="1"/>
  <c r="CC89" i="14"/>
  <c r="CC91" i="14"/>
  <c r="CC117" i="14" s="1"/>
  <c r="Y189" i="21"/>
  <c r="BD189" i="21"/>
  <c r="BI183" i="21"/>
  <c r="AJ148" i="21"/>
  <c r="BF174" i="21"/>
  <c r="AH189" i="21"/>
  <c r="AU189" i="21"/>
  <c r="AS166" i="21"/>
  <c r="Y156" i="21"/>
  <c r="Y135" i="21"/>
  <c r="Y146" i="21" s="1"/>
  <c r="AA156" i="21"/>
  <c r="AA162" i="21" s="1"/>
  <c r="AS162" i="21"/>
  <c r="BF193" i="21"/>
  <c r="AL148" i="21"/>
  <c r="AW162" i="21"/>
  <c r="AN162" i="21"/>
  <c r="V141" i="21"/>
  <c r="AN135" i="21"/>
  <c r="AN146" i="21" s="1"/>
  <c r="BD166" i="21"/>
  <c r="AF126" i="21"/>
  <c r="AL135" i="21"/>
  <c r="AL146" i="21" s="1"/>
  <c r="AJ135" i="21"/>
  <c r="AJ146" i="21" s="1"/>
  <c r="BH148" i="21"/>
  <c r="AE148" i="21"/>
  <c r="Y193" i="21"/>
  <c r="AW148" i="21"/>
  <c r="BB148" i="21"/>
  <c r="BD156" i="21"/>
  <c r="BD162" i="21" s="1"/>
  <c r="BB166" i="21"/>
  <c r="Y148" i="21"/>
  <c r="AC166" i="21"/>
  <c r="AC189" i="21"/>
  <c r="AL189" i="21"/>
  <c r="AS189" i="21"/>
  <c r="V126" i="21"/>
  <c r="AC156" i="21"/>
  <c r="AC162" i="21" s="1"/>
  <c r="AH156" i="21"/>
  <c r="AH162" i="21" s="1"/>
  <c r="BB135" i="21"/>
  <c r="BB146" i="21" s="1"/>
  <c r="BD174" i="21"/>
  <c r="V183" i="21"/>
  <c r="AE135" i="21"/>
  <c r="AE146" i="21" s="1"/>
  <c r="AJ156" i="21"/>
  <c r="AJ162" i="21" s="1"/>
  <c r="V149" i="21"/>
  <c r="AP91" i="14"/>
  <c r="AP117" i="14" s="1"/>
  <c r="AP19" i="14"/>
  <c r="V19" i="14"/>
  <c r="BI184" i="21"/>
  <c r="AO179" i="21"/>
  <c r="AO156" i="14"/>
  <c r="AO162" i="14" s="1"/>
  <c r="V123" i="21"/>
  <c r="AF179" i="21"/>
  <c r="AO184" i="21"/>
  <c r="AO183" i="21"/>
  <c r="AX141" i="21"/>
  <c r="V137" i="21"/>
  <c r="AX137" i="21"/>
  <c r="V136" i="21"/>
  <c r="V175" i="21"/>
  <c r="AF175" i="21"/>
  <c r="AF149" i="21"/>
  <c r="AF136" i="21"/>
  <c r="AX136" i="21"/>
  <c r="V176" i="21"/>
  <c r="AO176" i="21"/>
  <c r="AF176" i="21"/>
  <c r="AX176" i="21"/>
  <c r="V150" i="21"/>
  <c r="BI176" i="21"/>
  <c r="AO126" i="21"/>
  <c r="AF183" i="21"/>
  <c r="AX160" i="21"/>
  <c r="AF123" i="21"/>
  <c r="AF122" i="21" s="1"/>
  <c r="AO141" i="21"/>
  <c r="BI160" i="21"/>
  <c r="AO174" i="14"/>
  <c r="L143" i="21"/>
  <c r="V109" i="21"/>
  <c r="V168" i="21"/>
  <c r="BI168" i="21"/>
  <c r="AF168" i="21"/>
  <c r="AX123" i="21"/>
  <c r="AX122" i="21" s="1"/>
  <c r="AX109" i="21"/>
  <c r="AX126" i="21"/>
  <c r="V144" i="21"/>
  <c r="AF109" i="21"/>
  <c r="AO109" i="21"/>
  <c r="AF144" i="21"/>
  <c r="AF143" i="21" s="1"/>
  <c r="AX144" i="21"/>
  <c r="AX143" i="21" s="1"/>
  <c r="BI144" i="21"/>
  <c r="BI143" i="21" s="1"/>
  <c r="V128" i="21"/>
  <c r="AF128" i="21"/>
  <c r="U130" i="14"/>
  <c r="BI137" i="21"/>
  <c r="AO107" i="21"/>
  <c r="BH146" i="21"/>
  <c r="AC135" i="21"/>
  <c r="AC146" i="21" s="1"/>
  <c r="AA135" i="21"/>
  <c r="AA146" i="21" s="1"/>
  <c r="Y162" i="21"/>
  <c r="BB162" i="21"/>
  <c r="AE162" i="21"/>
  <c r="AU135" i="21"/>
  <c r="AU146" i="21" s="1"/>
  <c r="BD148" i="21"/>
  <c r="AN174" i="21"/>
  <c r="AU174" i="21"/>
  <c r="BF135" i="21"/>
  <c r="BF146" i="21" s="1"/>
  <c r="AA166" i="21"/>
  <c r="AS193" i="21"/>
  <c r="AE193" i="21"/>
  <c r="BB174" i="21"/>
  <c r="BF189" i="21"/>
  <c r="AH193" i="21"/>
  <c r="AS146" i="21"/>
  <c r="BD135" i="21"/>
  <c r="BD146" i="21" s="1"/>
  <c r="AW135" i="21"/>
  <c r="AW146" i="21" s="1"/>
  <c r="AX128" i="21"/>
  <c r="BI128" i="21"/>
  <c r="AO144" i="21"/>
  <c r="AO143" i="21" s="1"/>
  <c r="AX168" i="21"/>
  <c r="AO168" i="21"/>
  <c r="AO149" i="21"/>
  <c r="AO148" i="21" s="1"/>
  <c r="BI149" i="21"/>
  <c r="AX175" i="21"/>
  <c r="AO175" i="21"/>
  <c r="AN193" i="21"/>
  <c r="BH193" i="21"/>
  <c r="AO188" i="14"/>
  <c r="AO192" i="14"/>
  <c r="AF154" i="21"/>
  <c r="AF153" i="21" s="1"/>
  <c r="V158" i="21"/>
  <c r="AX158" i="21"/>
  <c r="BI158" i="21"/>
  <c r="AO158" i="21"/>
  <c r="AF158" i="21"/>
  <c r="AX159" i="21"/>
  <c r="BI159" i="21"/>
  <c r="V159" i="21"/>
  <c r="AF159" i="21"/>
  <c r="AO159" i="21"/>
  <c r="AX115" i="21"/>
  <c r="AF137" i="21"/>
  <c r="AF157" i="21"/>
  <c r="AO112" i="21"/>
  <c r="V157" i="21"/>
  <c r="AF139" i="21"/>
  <c r="AO115" i="21"/>
  <c r="AX139" i="21"/>
  <c r="BI150" i="21"/>
  <c r="V115" i="21"/>
  <c r="V139" i="21"/>
  <c r="AO137" i="21"/>
  <c r="AF112" i="21"/>
  <c r="AF150" i="21"/>
  <c r="AO139" i="21"/>
  <c r="AX150" i="21"/>
  <c r="AX148" i="21" s="1"/>
  <c r="BI157" i="21"/>
  <c r="AF115" i="21"/>
  <c r="AO157" i="21"/>
  <c r="AX112" i="21"/>
  <c r="U146" i="14"/>
  <c r="U162" i="14"/>
  <c r="AW126" i="21"/>
  <c r="BH126" i="21"/>
  <c r="AE126" i="21"/>
  <c r="AN126" i="21"/>
  <c r="BH107" i="21"/>
  <c r="AW107" i="21"/>
  <c r="AN107" i="21"/>
  <c r="AE107" i="21"/>
  <c r="U114" i="21"/>
  <c r="K122" i="21"/>
  <c r="BH123" i="21"/>
  <c r="BH122" i="21" s="1"/>
  <c r="AW123" i="21"/>
  <c r="AW122" i="21" s="1"/>
  <c r="AN123" i="21"/>
  <c r="AN122" i="21" s="1"/>
  <c r="AE123" i="21"/>
  <c r="AE122" i="21" s="1"/>
  <c r="U107" i="21"/>
  <c r="U123" i="21"/>
  <c r="AO148" i="14"/>
  <c r="AW115" i="21"/>
  <c r="BH115" i="21"/>
  <c r="AN115" i="21"/>
  <c r="AE115" i="21"/>
  <c r="U126" i="21"/>
  <c r="BH114" i="21"/>
  <c r="AW114" i="21"/>
  <c r="AN114" i="21"/>
  <c r="AE114" i="21"/>
  <c r="U109" i="21"/>
  <c r="U127" i="21"/>
  <c r="BH112" i="21"/>
  <c r="AW112" i="21"/>
  <c r="AE112" i="21"/>
  <c r="AN112" i="21"/>
  <c r="U128" i="21"/>
  <c r="AW128" i="21"/>
  <c r="BH128" i="21"/>
  <c r="AN128" i="21"/>
  <c r="AE128" i="21"/>
  <c r="AW110" i="21"/>
  <c r="AN110" i="21"/>
  <c r="BH110" i="21"/>
  <c r="AE110" i="21"/>
  <c r="U112" i="21"/>
  <c r="AW127" i="21"/>
  <c r="BH127" i="21"/>
  <c r="AN127" i="21"/>
  <c r="AE127" i="21"/>
  <c r="BH109" i="21"/>
  <c r="AW109" i="21"/>
  <c r="AN109" i="21"/>
  <c r="AE109" i="21"/>
  <c r="BI114" i="21"/>
  <c r="AX114" i="21"/>
  <c r="AO138" i="21"/>
  <c r="AX138" i="21"/>
  <c r="AX154" i="21"/>
  <c r="AX153" i="21" s="1"/>
  <c r="AO154" i="21"/>
  <c r="AO153" i="21" s="1"/>
  <c r="BI154" i="21"/>
  <c r="BI153" i="21" s="1"/>
  <c r="AT70" i="21"/>
  <c r="V178" i="21"/>
  <c r="AF178" i="21"/>
  <c r="AO178" i="21"/>
  <c r="AX178" i="21"/>
  <c r="AX179" i="21"/>
  <c r="V140" i="21"/>
  <c r="AO140" i="21"/>
  <c r="AX140" i="21"/>
  <c r="DP38" i="14"/>
  <c r="AO113" i="14"/>
  <c r="AO108" i="14"/>
  <c r="AX183" i="21"/>
  <c r="BI175" i="21"/>
  <c r="AF140" i="21"/>
  <c r="AF141" i="21"/>
  <c r="BI126" i="21"/>
  <c r="BI127" i="21"/>
  <c r="AO110" i="21"/>
  <c r="AF110" i="21"/>
  <c r="BI110" i="21"/>
  <c r="V110" i="21"/>
  <c r="AW187" i="21"/>
  <c r="AW189" i="21" s="1"/>
  <c r="K125" i="21"/>
  <c r="L174" i="21"/>
  <c r="K193" i="21"/>
  <c r="K166" i="21"/>
  <c r="L156" i="21"/>
  <c r="L148" i="21"/>
  <c r="K174" i="21"/>
  <c r="L125" i="21"/>
  <c r="K189" i="21"/>
  <c r="L108" i="21"/>
  <c r="L135" i="21"/>
  <c r="K108" i="21"/>
  <c r="L113" i="21"/>
  <c r="K156" i="21"/>
  <c r="K162" i="21" s="1"/>
  <c r="K113" i="21"/>
  <c r="AO135" i="14"/>
  <c r="AO125" i="14"/>
  <c r="AP8" i="14" s="1"/>
  <c r="V38" i="14" l="1"/>
  <c r="AO125" i="21"/>
  <c r="AO130" i="21" s="1"/>
  <c r="AP90" i="14"/>
  <c r="AP116" i="14" s="1"/>
  <c r="BI174" i="21"/>
  <c r="AF174" i="21"/>
  <c r="BI135" i="21"/>
  <c r="BI146" i="21" s="1"/>
  <c r="AO174" i="21"/>
  <c r="V87" i="14"/>
  <c r="V88" i="14"/>
  <c r="L91" i="8"/>
  <c r="L117" i="8" s="1"/>
  <c r="L89" i="8"/>
  <c r="L95" i="8"/>
  <c r="L104" i="8" s="1"/>
  <c r="AF125" i="21"/>
  <c r="AF130" i="21" s="1"/>
  <c r="AF148" i="21"/>
  <c r="BI148" i="21"/>
  <c r="AX125" i="21"/>
  <c r="AX130" i="21" s="1"/>
  <c r="AX156" i="21"/>
  <c r="AX162" i="21" s="1"/>
  <c r="AX174" i="21"/>
  <c r="K130" i="21"/>
  <c r="AO156" i="21"/>
  <c r="AO162" i="21" s="1"/>
  <c r="BI156" i="21"/>
  <c r="BI162" i="21" s="1"/>
  <c r="AF156" i="21"/>
  <c r="AF162" i="21" s="1"/>
  <c r="BH113" i="21"/>
  <c r="AW113" i="21"/>
  <c r="AE113" i="21"/>
  <c r="AN113" i="21"/>
  <c r="U113" i="21"/>
  <c r="BH125" i="21"/>
  <c r="BH130" i="21" s="1"/>
  <c r="AW125" i="21"/>
  <c r="AW130" i="21" s="1"/>
  <c r="AN125" i="21"/>
  <c r="AN130" i="21" s="1"/>
  <c r="AO135" i="21"/>
  <c r="AO146" i="21" s="1"/>
  <c r="BH108" i="21"/>
  <c r="AW108" i="21"/>
  <c r="AN108" i="21"/>
  <c r="AE108" i="21"/>
  <c r="U108" i="21"/>
  <c r="AE125" i="21"/>
  <c r="AE130" i="21" s="1"/>
  <c r="AX135" i="21"/>
  <c r="BI125" i="21"/>
  <c r="BI130" i="21" s="1"/>
  <c r="L162" i="21"/>
  <c r="AF135" i="21"/>
  <c r="AF146" i="21" s="1"/>
  <c r="AX113" i="21"/>
  <c r="V113" i="21"/>
  <c r="AF113" i="21"/>
  <c r="BI113" i="21"/>
  <c r="AO113" i="21"/>
  <c r="AX108" i="21"/>
  <c r="BI108" i="21"/>
  <c r="V108" i="21"/>
  <c r="AF108" i="21"/>
  <c r="AO108" i="21"/>
  <c r="L130" i="21"/>
  <c r="L131" i="21" s="1"/>
  <c r="L146" i="21"/>
  <c r="AO146" i="14"/>
  <c r="AO130" i="14"/>
  <c r="V89" i="14" l="1"/>
  <c r="V90" i="14"/>
  <c r="V91" i="14"/>
  <c r="V95" i="14"/>
  <c r="AP38" i="14"/>
  <c r="AX146" i="21"/>
  <c r="V117" i="14" l="1"/>
  <c r="V116" i="14"/>
  <c r="V103" i="14"/>
  <c r="T98" i="14"/>
  <c r="K117" i="21" l="1"/>
  <c r="K103" i="21"/>
  <c r="BC192" i="19"/>
  <c r="BA192" i="19"/>
  <c r="BC191" i="19"/>
  <c r="BA191" i="19"/>
  <c r="BC188" i="19"/>
  <c r="BA188" i="19"/>
  <c r="BC187" i="19"/>
  <c r="BA187" i="19"/>
  <c r="BC184" i="19"/>
  <c r="BA184" i="19"/>
  <c r="BC183" i="19"/>
  <c r="BA183" i="19"/>
  <c r="BC179" i="19"/>
  <c r="BA179" i="19"/>
  <c r="BC178" i="19"/>
  <c r="BA178" i="19"/>
  <c r="BC176" i="19"/>
  <c r="BA176" i="19"/>
  <c r="BC175" i="19"/>
  <c r="BA175" i="19"/>
  <c r="BC174" i="19"/>
  <c r="BC168" i="19"/>
  <c r="BA168" i="19"/>
  <c r="BC167" i="19"/>
  <c r="BA167" i="19"/>
  <c r="BC166" i="19"/>
  <c r="BC160" i="19"/>
  <c r="BA160" i="19"/>
  <c r="BC159" i="19"/>
  <c r="BA159" i="19"/>
  <c r="BC158" i="19"/>
  <c r="BA158" i="19"/>
  <c r="BC157" i="19"/>
  <c r="BA157" i="19"/>
  <c r="BC154" i="19"/>
  <c r="BC153" i="19" s="1"/>
  <c r="BA154" i="19"/>
  <c r="BA153" i="19" s="1"/>
  <c r="BC150" i="19"/>
  <c r="BA150" i="19"/>
  <c r="BC149" i="19"/>
  <c r="BA149" i="19"/>
  <c r="BC144" i="19"/>
  <c r="BC143" i="19" s="1"/>
  <c r="BA144" i="19"/>
  <c r="BA143" i="19" s="1"/>
  <c r="BC141" i="19"/>
  <c r="BA141" i="19"/>
  <c r="BC140" i="19"/>
  <c r="BA140" i="19"/>
  <c r="BC139" i="19"/>
  <c r="BA139" i="19"/>
  <c r="BC138" i="19"/>
  <c r="BA138" i="19"/>
  <c r="BC137" i="19"/>
  <c r="BA137" i="19"/>
  <c r="BC136" i="19"/>
  <c r="BA136" i="19"/>
  <c r="BC128" i="19"/>
  <c r="BA128" i="19"/>
  <c r="BC127" i="19"/>
  <c r="BA127" i="19"/>
  <c r="BC126" i="19"/>
  <c r="BA126" i="19"/>
  <c r="BC123" i="19"/>
  <c r="BC122" i="19" s="1"/>
  <c r="BA123" i="19"/>
  <c r="BA122" i="19" s="1"/>
  <c r="BH117" i="19"/>
  <c r="BG117" i="19"/>
  <c r="BF117" i="19"/>
  <c r="BE117" i="19"/>
  <c r="BD117" i="19"/>
  <c r="BC117" i="19"/>
  <c r="BB117" i="19"/>
  <c r="BA117" i="19"/>
  <c r="BH116" i="19"/>
  <c r="BG116" i="19"/>
  <c r="BF116" i="19"/>
  <c r="BE116" i="19"/>
  <c r="BD116" i="19"/>
  <c r="BC116" i="19"/>
  <c r="BB116" i="19"/>
  <c r="BA116" i="19"/>
  <c r="BC115" i="19"/>
  <c r="BB115" i="19"/>
  <c r="BA115" i="19"/>
  <c r="BC114" i="19"/>
  <c r="BA114" i="19"/>
  <c r="BC112" i="19"/>
  <c r="BA112" i="19"/>
  <c r="BC110" i="19"/>
  <c r="BB110" i="19"/>
  <c r="BA110" i="19"/>
  <c r="BC109" i="19"/>
  <c r="BA109" i="19"/>
  <c r="BC107" i="19"/>
  <c r="BA107" i="19"/>
  <c r="AS192" i="19"/>
  <c r="AQ192" i="19"/>
  <c r="AS191" i="19"/>
  <c r="AQ191" i="19"/>
  <c r="AS188" i="19"/>
  <c r="AQ188" i="19"/>
  <c r="AS187" i="19"/>
  <c r="AQ187" i="19"/>
  <c r="AS184" i="19"/>
  <c r="AQ184" i="19"/>
  <c r="AS183" i="19"/>
  <c r="AQ183" i="19"/>
  <c r="AS179" i="19"/>
  <c r="AQ179" i="19"/>
  <c r="AS178" i="19"/>
  <c r="AQ178" i="19"/>
  <c r="AS176" i="19"/>
  <c r="AQ176" i="19"/>
  <c r="AS175" i="19"/>
  <c r="AQ175" i="19"/>
  <c r="AS174" i="19"/>
  <c r="AS168" i="19"/>
  <c r="AQ168" i="19"/>
  <c r="AS167" i="19"/>
  <c r="AQ167" i="19"/>
  <c r="AS166" i="19"/>
  <c r="AS160" i="19"/>
  <c r="AQ160" i="19"/>
  <c r="AS159" i="19"/>
  <c r="AQ159" i="19"/>
  <c r="AS158" i="19"/>
  <c r="AQ158" i="19"/>
  <c r="AS157" i="19"/>
  <c r="AQ157" i="19"/>
  <c r="AS154" i="19"/>
  <c r="AS153" i="19" s="1"/>
  <c r="AQ154" i="19"/>
  <c r="AQ153" i="19" s="1"/>
  <c r="AS150" i="19"/>
  <c r="AQ150" i="19"/>
  <c r="AS149" i="19"/>
  <c r="AQ149" i="19"/>
  <c r="AS144" i="19"/>
  <c r="AQ144" i="19"/>
  <c r="AQ143" i="19" s="1"/>
  <c r="AS143" i="19"/>
  <c r="AS141" i="19"/>
  <c r="AQ141" i="19"/>
  <c r="AS140" i="19"/>
  <c r="AQ140" i="19"/>
  <c r="AS139" i="19"/>
  <c r="AQ139" i="19"/>
  <c r="AS138" i="19"/>
  <c r="AQ138" i="19"/>
  <c r="AS137" i="19"/>
  <c r="AQ137" i="19"/>
  <c r="AS136" i="19"/>
  <c r="AQ136" i="19"/>
  <c r="AS128" i="19"/>
  <c r="AQ128" i="19"/>
  <c r="AS127" i="19"/>
  <c r="AQ127" i="19"/>
  <c r="AS126" i="19"/>
  <c r="AQ126" i="19"/>
  <c r="AS123" i="19"/>
  <c r="AS122" i="19" s="1"/>
  <c r="AQ123" i="19"/>
  <c r="AQ122" i="19" s="1"/>
  <c r="AW117" i="19"/>
  <c r="AU117" i="19"/>
  <c r="AS117" i="19"/>
  <c r="AR117" i="19"/>
  <c r="AQ117" i="19"/>
  <c r="AW116" i="19"/>
  <c r="AU116" i="19"/>
  <c r="AT116" i="19"/>
  <c r="AS116" i="19"/>
  <c r="AR116" i="19"/>
  <c r="AQ116" i="19"/>
  <c r="AS115" i="19"/>
  <c r="AR115" i="19"/>
  <c r="AQ115" i="19"/>
  <c r="AS114" i="19"/>
  <c r="AQ114" i="19"/>
  <c r="AS112" i="19"/>
  <c r="AQ112" i="19"/>
  <c r="AS110" i="19"/>
  <c r="AR110" i="19"/>
  <c r="AQ110" i="19"/>
  <c r="AS109" i="19"/>
  <c r="AQ109" i="19"/>
  <c r="AS107" i="19"/>
  <c r="AQ107" i="19"/>
  <c r="AJ192" i="19"/>
  <c r="AH192" i="19"/>
  <c r="AJ191" i="19"/>
  <c r="AH191" i="19"/>
  <c r="AJ188" i="19"/>
  <c r="AH188" i="19"/>
  <c r="AJ187" i="19"/>
  <c r="AH187" i="19"/>
  <c r="AH189" i="19" s="1"/>
  <c r="AJ184" i="19"/>
  <c r="AH184" i="19"/>
  <c r="AJ183" i="19"/>
  <c r="AH183" i="19"/>
  <c r="AJ179" i="19"/>
  <c r="AH179" i="19"/>
  <c r="AJ178" i="19"/>
  <c r="AH178" i="19"/>
  <c r="AJ176" i="19"/>
  <c r="AH176" i="19"/>
  <c r="AJ175" i="19"/>
  <c r="AH175" i="19"/>
  <c r="AJ174" i="19"/>
  <c r="AJ168" i="19"/>
  <c r="AH168" i="19"/>
  <c r="AJ167" i="19"/>
  <c r="AH167" i="19"/>
  <c r="AJ166" i="19"/>
  <c r="AJ160" i="19"/>
  <c r="AH160" i="19"/>
  <c r="AJ159" i="19"/>
  <c r="AH159" i="19"/>
  <c r="AJ158" i="19"/>
  <c r="AH158" i="19"/>
  <c r="AJ157" i="19"/>
  <c r="AH157" i="19"/>
  <c r="AJ154" i="19"/>
  <c r="AJ153" i="19" s="1"/>
  <c r="AH154" i="19"/>
  <c r="AH153" i="19" s="1"/>
  <c r="AJ150" i="19"/>
  <c r="AH150" i="19"/>
  <c r="AJ149" i="19"/>
  <c r="AH149" i="19"/>
  <c r="AH148" i="19" s="1"/>
  <c r="AJ144" i="19"/>
  <c r="AJ143" i="19" s="1"/>
  <c r="AH144" i="19"/>
  <c r="AH143" i="19" s="1"/>
  <c r="AJ141" i="19"/>
  <c r="AH141" i="19"/>
  <c r="AJ140" i="19"/>
  <c r="AH140" i="19"/>
  <c r="AJ139" i="19"/>
  <c r="AH139" i="19"/>
  <c r="AJ138" i="19"/>
  <c r="AH138" i="19"/>
  <c r="AJ137" i="19"/>
  <c r="AH137" i="19"/>
  <c r="AJ136" i="19"/>
  <c r="AH136" i="19"/>
  <c r="AJ128" i="19"/>
  <c r="AH128" i="19"/>
  <c r="AJ127" i="19"/>
  <c r="AH127" i="19"/>
  <c r="AJ126" i="19"/>
  <c r="AH126" i="19"/>
  <c r="AJ123" i="19"/>
  <c r="AJ122" i="19" s="1"/>
  <c r="AH123" i="19"/>
  <c r="AH122" i="19" s="1"/>
  <c r="AN117" i="19"/>
  <c r="AL117" i="19"/>
  <c r="AK117" i="19"/>
  <c r="AJ117" i="19"/>
  <c r="AI117" i="19"/>
  <c r="AH117" i="19"/>
  <c r="AN116" i="19"/>
  <c r="AL116" i="19"/>
  <c r="AK116" i="19"/>
  <c r="AJ116" i="19"/>
  <c r="AI116" i="19"/>
  <c r="AH116" i="19"/>
  <c r="AJ115" i="19"/>
  <c r="AI115" i="19"/>
  <c r="AH115" i="19"/>
  <c r="AJ114" i="19"/>
  <c r="AH114" i="19"/>
  <c r="AJ112" i="19"/>
  <c r="AH112" i="19"/>
  <c r="AJ110" i="19"/>
  <c r="AI110" i="19"/>
  <c r="AH110" i="19"/>
  <c r="AJ109" i="19"/>
  <c r="AH109" i="19"/>
  <c r="AJ107" i="19"/>
  <c r="AH107" i="19"/>
  <c r="AA192" i="19"/>
  <c r="Y192" i="19"/>
  <c r="AA191" i="19"/>
  <c r="Y191" i="19"/>
  <c r="AA188" i="19"/>
  <c r="Y188" i="19"/>
  <c r="AA187" i="19"/>
  <c r="Y187" i="19"/>
  <c r="AA184" i="19"/>
  <c r="Y184" i="19"/>
  <c r="AA183" i="19"/>
  <c r="Y183" i="19"/>
  <c r="AA179" i="19"/>
  <c r="Y179" i="19"/>
  <c r="AA178" i="19"/>
  <c r="Y178" i="19"/>
  <c r="AA176" i="19"/>
  <c r="Y176" i="19"/>
  <c r="AA175" i="19"/>
  <c r="Y175" i="19"/>
  <c r="AA174" i="19"/>
  <c r="AA168" i="19"/>
  <c r="Y168" i="19"/>
  <c r="AA167" i="19"/>
  <c r="Y167" i="19"/>
  <c r="AA166" i="19"/>
  <c r="AA160" i="19"/>
  <c r="Y160" i="19"/>
  <c r="AA159" i="19"/>
  <c r="Y159" i="19"/>
  <c r="AA158" i="19"/>
  <c r="AA156" i="19" s="1"/>
  <c r="Y158" i="19"/>
  <c r="AA157" i="19"/>
  <c r="Y157" i="19"/>
  <c r="AA154" i="19"/>
  <c r="AA153" i="19" s="1"/>
  <c r="Y154" i="19"/>
  <c r="Y153" i="19" s="1"/>
  <c r="AA150" i="19"/>
  <c r="Y150" i="19"/>
  <c r="AA149" i="19"/>
  <c r="Y149" i="19"/>
  <c r="AA144" i="19"/>
  <c r="AA143" i="19" s="1"/>
  <c r="Y144" i="19"/>
  <c r="Y143" i="19" s="1"/>
  <c r="AA141" i="19"/>
  <c r="Y141" i="19"/>
  <c r="AA140" i="19"/>
  <c r="Y140" i="19"/>
  <c r="AA139" i="19"/>
  <c r="Y139" i="19"/>
  <c r="AA138" i="19"/>
  <c r="Y138" i="19"/>
  <c r="AA137" i="19"/>
  <c r="Y137" i="19"/>
  <c r="AA136" i="19"/>
  <c r="Y136" i="19"/>
  <c r="AA128" i="19"/>
  <c r="Y128" i="19"/>
  <c r="AA127" i="19"/>
  <c r="Y127" i="19"/>
  <c r="AA126" i="19"/>
  <c r="Y126" i="19"/>
  <c r="AA123" i="19"/>
  <c r="AA122" i="19" s="1"/>
  <c r="Y123" i="19"/>
  <c r="Y122" i="19" s="1"/>
  <c r="AE117" i="19"/>
  <c r="AC117" i="19"/>
  <c r="AA117" i="19"/>
  <c r="Y117" i="19"/>
  <c r="AE116" i="19"/>
  <c r="AC116" i="19"/>
  <c r="AA116" i="19"/>
  <c r="Y116" i="19"/>
  <c r="AA115" i="19"/>
  <c r="Z115" i="19"/>
  <c r="Y115" i="19"/>
  <c r="AA114" i="19"/>
  <c r="Y114" i="19"/>
  <c r="AA112" i="19"/>
  <c r="Y112" i="19"/>
  <c r="AA110" i="19"/>
  <c r="Z110" i="19"/>
  <c r="Y110" i="19"/>
  <c r="AA109" i="19"/>
  <c r="Y109" i="19"/>
  <c r="AA107" i="19"/>
  <c r="Y107" i="19"/>
  <c r="L184" i="19"/>
  <c r="L183" i="19"/>
  <c r="L178" i="19"/>
  <c r="L179" i="19"/>
  <c r="L176" i="19"/>
  <c r="L175" i="19"/>
  <c r="L168" i="19"/>
  <c r="L167" i="19"/>
  <c r="L160" i="19"/>
  <c r="L159" i="19"/>
  <c r="V159" i="19" s="1"/>
  <c r="L158" i="19"/>
  <c r="L157" i="19"/>
  <c r="L154" i="19"/>
  <c r="L150" i="19"/>
  <c r="L149" i="19"/>
  <c r="L144" i="19"/>
  <c r="L137" i="19"/>
  <c r="L138" i="19"/>
  <c r="L139" i="19"/>
  <c r="L140" i="19"/>
  <c r="L141" i="19"/>
  <c r="L136" i="19"/>
  <c r="L127" i="19"/>
  <c r="L128" i="19"/>
  <c r="L126" i="19"/>
  <c r="K128" i="19"/>
  <c r="K127" i="19"/>
  <c r="K126" i="19"/>
  <c r="L115" i="19"/>
  <c r="L114" i="19"/>
  <c r="V114" i="19" s="1"/>
  <c r="L112" i="19"/>
  <c r="K115" i="19"/>
  <c r="K114" i="19"/>
  <c r="U114" i="19" s="1"/>
  <c r="K112" i="19"/>
  <c r="L110" i="19"/>
  <c r="K110" i="19"/>
  <c r="L109" i="19"/>
  <c r="K109" i="19"/>
  <c r="L107" i="19"/>
  <c r="K107" i="19"/>
  <c r="L100" i="19"/>
  <c r="L99" i="19"/>
  <c r="L97" i="19"/>
  <c r="L96" i="19"/>
  <c r="AT70" i="19"/>
  <c r="AR70" i="19"/>
  <c r="Y125" i="19" l="1"/>
  <c r="BC135" i="19"/>
  <c r="BC146" i="19" s="1"/>
  <c r="AJ125" i="19"/>
  <c r="AJ130" i="19" s="1"/>
  <c r="AQ125" i="19"/>
  <c r="AQ130" i="19" s="1"/>
  <c r="BA125" i="19"/>
  <c r="AJ156" i="19"/>
  <c r="AJ193" i="19"/>
  <c r="AS125" i="19"/>
  <c r="AQ156" i="19"/>
  <c r="AQ189" i="19"/>
  <c r="BA193" i="19"/>
  <c r="AH125" i="19"/>
  <c r="AH130" i="19" s="1"/>
  <c r="BA148" i="19"/>
  <c r="BC193" i="19"/>
  <c r="Y148" i="19"/>
  <c r="Y189" i="19"/>
  <c r="BA156" i="19"/>
  <c r="BA189" i="19"/>
  <c r="AA125" i="19"/>
  <c r="AA130" i="19" s="1"/>
  <c r="AA189" i="19"/>
  <c r="BC125" i="19"/>
  <c r="AS156" i="19"/>
  <c r="AS162" i="19" s="1"/>
  <c r="AQ148" i="19"/>
  <c r="AH135" i="19"/>
  <c r="AQ135" i="19"/>
  <c r="AQ146" i="19" s="1"/>
  <c r="BC156" i="19"/>
  <c r="AA135" i="19"/>
  <c r="AA146" i="19" s="1"/>
  <c r="AJ135" i="19"/>
  <c r="AJ146" i="19" s="1"/>
  <c r="AS135" i="19"/>
  <c r="AS146" i="19" s="1"/>
  <c r="U110" i="19"/>
  <c r="V178" i="19"/>
  <c r="BG114" i="19"/>
  <c r="AW114" i="19"/>
  <c r="AN114" i="19"/>
  <c r="AE114" i="19"/>
  <c r="BH150" i="19"/>
  <c r="AX150" i="19"/>
  <c r="AO150" i="19"/>
  <c r="AF150" i="19"/>
  <c r="AX168" i="19"/>
  <c r="AF168" i="19"/>
  <c r="AO168" i="19"/>
  <c r="BH168" i="19"/>
  <c r="V109" i="19"/>
  <c r="U127" i="19"/>
  <c r="V140" i="19"/>
  <c r="V160" i="19"/>
  <c r="V183" i="19"/>
  <c r="BG107" i="19"/>
  <c r="AW107" i="19"/>
  <c r="AN107" i="19"/>
  <c r="AE107" i="19"/>
  <c r="BG115" i="19"/>
  <c r="AW115" i="19"/>
  <c r="AN115" i="19"/>
  <c r="AE115" i="19"/>
  <c r="BH126" i="19"/>
  <c r="AF126" i="19"/>
  <c r="AX126" i="19"/>
  <c r="AO126" i="19"/>
  <c r="BH141" i="19"/>
  <c r="AX141" i="19"/>
  <c r="AO141" i="19"/>
  <c r="AF141" i="19"/>
  <c r="BH175" i="19"/>
  <c r="AO175" i="19"/>
  <c r="AF175" i="19"/>
  <c r="AX175" i="19"/>
  <c r="U115" i="19"/>
  <c r="V127" i="19"/>
  <c r="V141" i="19"/>
  <c r="V167" i="19"/>
  <c r="V184" i="19"/>
  <c r="BH107" i="19"/>
  <c r="AO107" i="19"/>
  <c r="AF107" i="19"/>
  <c r="AX107" i="19"/>
  <c r="BH112" i="19"/>
  <c r="AO112" i="19"/>
  <c r="AF112" i="19"/>
  <c r="AX112" i="19"/>
  <c r="BH128" i="19"/>
  <c r="AF128" i="19"/>
  <c r="AX128" i="19"/>
  <c r="AO128" i="19"/>
  <c r="BH140" i="19"/>
  <c r="AX140" i="19"/>
  <c r="AF140" i="19"/>
  <c r="AO140" i="19"/>
  <c r="BH154" i="19"/>
  <c r="BH153" i="19" s="1"/>
  <c r="AX154" i="19"/>
  <c r="AX153" i="19" s="1"/>
  <c r="AF154" i="19"/>
  <c r="AF153" i="19" s="1"/>
  <c r="AO154" i="19"/>
  <c r="AO153" i="19" s="1"/>
  <c r="AX176" i="19"/>
  <c r="BH176" i="19"/>
  <c r="AO176" i="19"/>
  <c r="AF176" i="19"/>
  <c r="V110" i="19"/>
  <c r="V115" i="19"/>
  <c r="U128" i="19"/>
  <c r="V168" i="19"/>
  <c r="BG109" i="19"/>
  <c r="AW109" i="19"/>
  <c r="AN109" i="19"/>
  <c r="AE109" i="19"/>
  <c r="BH114" i="19"/>
  <c r="AO114" i="19"/>
  <c r="AF114" i="19"/>
  <c r="AX114" i="19"/>
  <c r="BH127" i="19"/>
  <c r="AF127" i="19"/>
  <c r="AX127" i="19"/>
  <c r="AO127" i="19"/>
  <c r="BH139" i="19"/>
  <c r="AX139" i="19"/>
  <c r="AF139" i="19"/>
  <c r="AO139" i="19"/>
  <c r="U107" i="19"/>
  <c r="U112" i="19"/>
  <c r="V128" i="19"/>
  <c r="V144" i="19"/>
  <c r="V175" i="19"/>
  <c r="BH109" i="19"/>
  <c r="AO109" i="19"/>
  <c r="AF109" i="19"/>
  <c r="AX109" i="19"/>
  <c r="BH115" i="19"/>
  <c r="AO115" i="19"/>
  <c r="AF115" i="19"/>
  <c r="AX115" i="19"/>
  <c r="AX138" i="19"/>
  <c r="AF138" i="19"/>
  <c r="AO138" i="19"/>
  <c r="BH138" i="19"/>
  <c r="BH179" i="19"/>
  <c r="AO179" i="19"/>
  <c r="AX179" i="19"/>
  <c r="AF179" i="19"/>
  <c r="V107" i="19"/>
  <c r="V112" i="19"/>
  <c r="V136" i="19"/>
  <c r="V149" i="19"/>
  <c r="V176" i="19"/>
  <c r="BG110" i="19"/>
  <c r="AW110" i="19"/>
  <c r="AN110" i="19"/>
  <c r="AE110" i="19"/>
  <c r="BG126" i="19"/>
  <c r="AE126" i="19"/>
  <c r="AW126" i="19"/>
  <c r="AN126" i="19"/>
  <c r="BH137" i="19"/>
  <c r="AX137" i="19"/>
  <c r="AO137" i="19"/>
  <c r="AF137" i="19"/>
  <c r="AX159" i="19"/>
  <c r="BH159" i="19"/>
  <c r="AO159" i="19"/>
  <c r="AF159" i="19"/>
  <c r="BH178" i="19"/>
  <c r="AX178" i="19"/>
  <c r="AO178" i="19"/>
  <c r="AF178" i="19"/>
  <c r="V137" i="19"/>
  <c r="V150" i="19"/>
  <c r="BH110" i="19"/>
  <c r="AO110" i="19"/>
  <c r="AF110" i="19"/>
  <c r="AX110" i="19"/>
  <c r="BG127" i="19"/>
  <c r="AE127" i="19"/>
  <c r="AW127" i="19"/>
  <c r="AN127" i="19"/>
  <c r="BH144" i="19"/>
  <c r="BH143" i="19" s="1"/>
  <c r="AX144" i="19"/>
  <c r="AX143" i="19" s="1"/>
  <c r="AO144" i="19"/>
  <c r="AO143" i="19" s="1"/>
  <c r="AF144" i="19"/>
  <c r="AF143" i="19" s="1"/>
  <c r="BH160" i="19"/>
  <c r="AX160" i="19"/>
  <c r="AF160" i="19"/>
  <c r="AO160" i="19"/>
  <c r="AX183" i="19"/>
  <c r="BH183" i="19"/>
  <c r="AO183" i="19"/>
  <c r="AF183" i="19"/>
  <c r="U126" i="19"/>
  <c r="V138" i="19"/>
  <c r="V154" i="19"/>
  <c r="BG112" i="19"/>
  <c r="AW112" i="19"/>
  <c r="AN112" i="19"/>
  <c r="AE112" i="19"/>
  <c r="BG128" i="19"/>
  <c r="AE128" i="19"/>
  <c r="AW128" i="19"/>
  <c r="AN128" i="19"/>
  <c r="BH136" i="19"/>
  <c r="AX136" i="19"/>
  <c r="AF136" i="19"/>
  <c r="AO136" i="19"/>
  <c r="BH149" i="19"/>
  <c r="AX149" i="19"/>
  <c r="AO149" i="19"/>
  <c r="AF149" i="19"/>
  <c r="AX167" i="19"/>
  <c r="BH167" i="19"/>
  <c r="AO167" i="19"/>
  <c r="AF167" i="19"/>
  <c r="AX184" i="19"/>
  <c r="BH184" i="19"/>
  <c r="AF184" i="19"/>
  <c r="AO184" i="19"/>
  <c r="U109" i="19"/>
  <c r="V126" i="19"/>
  <c r="V139" i="19"/>
  <c r="V179" i="19"/>
  <c r="AH146" i="19"/>
  <c r="Y135" i="19"/>
  <c r="Y146" i="19" s="1"/>
  <c r="Y156" i="19"/>
  <c r="Y162" i="19" s="1"/>
  <c r="Y193" i="19"/>
  <c r="AA162" i="19"/>
  <c r="AJ189" i="19"/>
  <c r="Y130" i="19"/>
  <c r="AA193" i="19"/>
  <c r="AJ162" i="19"/>
  <c r="AH156" i="19"/>
  <c r="AH162" i="19" s="1"/>
  <c r="AS130" i="19"/>
  <c r="AH193" i="19"/>
  <c r="AQ193" i="19"/>
  <c r="AS193" i="19"/>
  <c r="BA130" i="19"/>
  <c r="BA135" i="19"/>
  <c r="BA146" i="19" s="1"/>
  <c r="BC189" i="19"/>
  <c r="BC162" i="19"/>
  <c r="AS189" i="19"/>
  <c r="V158" i="19"/>
  <c r="AO157" i="19"/>
  <c r="AF157" i="19"/>
  <c r="AX158" i="19"/>
  <c r="BH158" i="19"/>
  <c r="AF158" i="19"/>
  <c r="AO158" i="19"/>
  <c r="AX157" i="19"/>
  <c r="BH157" i="19"/>
  <c r="V157" i="19"/>
  <c r="BA162" i="19"/>
  <c r="BC130" i="19"/>
  <c r="AQ162" i="19"/>
  <c r="BG3" i="19"/>
  <c r="BH3" i="19"/>
  <c r="AW3" i="19"/>
  <c r="AX3" i="19"/>
  <c r="AN3" i="19"/>
  <c r="AO3" i="19"/>
  <c r="AE3" i="19"/>
  <c r="AF3" i="19"/>
  <c r="U3" i="19"/>
  <c r="V3" i="19"/>
  <c r="K113" i="19"/>
  <c r="L113" i="19"/>
  <c r="L143" i="19"/>
  <c r="L153" i="19"/>
  <c r="L156" i="19"/>
  <c r="BB3" i="19"/>
  <c r="BC3" i="19"/>
  <c r="BD3" i="19"/>
  <c r="BE3" i="19"/>
  <c r="BF3" i="19"/>
  <c r="AR3" i="19"/>
  <c r="AS3" i="19"/>
  <c r="AT3" i="19"/>
  <c r="AU3" i="19"/>
  <c r="AV3" i="19"/>
  <c r="AI3" i="19"/>
  <c r="AJ3" i="19"/>
  <c r="AK3" i="19"/>
  <c r="AL3" i="19"/>
  <c r="AM3" i="19"/>
  <c r="Z3" i="19"/>
  <c r="AA3" i="19"/>
  <c r="AB3" i="19"/>
  <c r="AC3" i="19"/>
  <c r="AD3" i="19"/>
  <c r="P3" i="19"/>
  <c r="Q3" i="19"/>
  <c r="R3" i="19"/>
  <c r="S3" i="19"/>
  <c r="T3" i="19"/>
  <c r="W3" i="19"/>
  <c r="BA3" i="19"/>
  <c r="AQ3" i="19"/>
  <c r="AH3" i="19"/>
  <c r="Y3" i="19"/>
  <c r="O3" i="19"/>
  <c r="AF148" i="19" l="1"/>
  <c r="BH148" i="19"/>
  <c r="AO166" i="19"/>
  <c r="AO148" i="19"/>
  <c r="AX148" i="19"/>
  <c r="AF166" i="19"/>
  <c r="BH166" i="19"/>
  <c r="BH135" i="19"/>
  <c r="BH146" i="19" s="1"/>
  <c r="AF156" i="19"/>
  <c r="AF162" i="19" s="1"/>
  <c r="BG113" i="19"/>
  <c r="AW113" i="19"/>
  <c r="AN113" i="19"/>
  <c r="AE113" i="19"/>
  <c r="U113" i="19"/>
  <c r="AO135" i="19"/>
  <c r="AO146" i="19" s="1"/>
  <c r="AE125" i="19"/>
  <c r="AF174" i="19"/>
  <c r="AF125" i="19"/>
  <c r="BG125" i="19"/>
  <c r="AF135" i="19"/>
  <c r="AF146" i="19" s="1"/>
  <c r="AO174" i="19"/>
  <c r="BH125" i="19"/>
  <c r="BH174" i="19"/>
  <c r="AX135" i="19"/>
  <c r="AX166" i="19"/>
  <c r="AO156" i="19"/>
  <c r="AO162" i="19" s="1"/>
  <c r="AN125" i="19"/>
  <c r="AO125" i="19"/>
  <c r="BH113" i="19"/>
  <c r="AO113" i="19"/>
  <c r="AF113" i="19"/>
  <c r="AX113" i="19"/>
  <c r="V113" i="19"/>
  <c r="AW125" i="19"/>
  <c r="AX174" i="19"/>
  <c r="AX125" i="19"/>
  <c r="AX156" i="19"/>
  <c r="BH156" i="19"/>
  <c r="BH162" i="19" s="1"/>
  <c r="L174" i="19"/>
  <c r="L125" i="19"/>
  <c r="K125" i="19"/>
  <c r="K108" i="19"/>
  <c r="L166" i="19"/>
  <c r="L148" i="19"/>
  <c r="L108" i="19"/>
  <c r="L135" i="19"/>
  <c r="L162" i="19"/>
  <c r="L171" i="19" l="1"/>
  <c r="BG108" i="19"/>
  <c r="AW108" i="19"/>
  <c r="AN108" i="19"/>
  <c r="AE108" i="19"/>
  <c r="U108" i="19"/>
  <c r="L146" i="19"/>
  <c r="BH108" i="19"/>
  <c r="AO108" i="19"/>
  <c r="AF108" i="19"/>
  <c r="AX108" i="19"/>
  <c r="V108" i="19"/>
  <c r="AX146" i="19"/>
  <c r="AX162" i="19"/>
  <c r="L172" i="19"/>
  <c r="U116" i="19" l="1"/>
  <c r="U117" i="19"/>
  <c r="K116" i="19"/>
  <c r="K117" i="19"/>
  <c r="AN184" i="14" l="1"/>
  <c r="AN183" i="14"/>
  <c r="AN179" i="14"/>
  <c r="AN178" i="14"/>
  <c r="AN176" i="14"/>
  <c r="AN175" i="14"/>
  <c r="AN168" i="14"/>
  <c r="AN167" i="14"/>
  <c r="AN160" i="14"/>
  <c r="AN159" i="14"/>
  <c r="AN158" i="14"/>
  <c r="AN157" i="14"/>
  <c r="AN154" i="14"/>
  <c r="AN153" i="14" s="1"/>
  <c r="AN150" i="14"/>
  <c r="AN149" i="14"/>
  <c r="AN144" i="14"/>
  <c r="AN143" i="14" s="1"/>
  <c r="AN141" i="14"/>
  <c r="AN140" i="14"/>
  <c r="AN139" i="14"/>
  <c r="AN138" i="14"/>
  <c r="AN137" i="14"/>
  <c r="AN136" i="14"/>
  <c r="AN128" i="14"/>
  <c r="AN127" i="14"/>
  <c r="AN126" i="14"/>
  <c r="AN123" i="14"/>
  <c r="AN122" i="14" s="1"/>
  <c r="AN115" i="14"/>
  <c r="AN114" i="14"/>
  <c r="AN112" i="14"/>
  <c r="AN110" i="14"/>
  <c r="AN109" i="14"/>
  <c r="AN107" i="14"/>
  <c r="DN3" i="14"/>
  <c r="CT3" i="14"/>
  <c r="CA3" i="14"/>
  <c r="BH3" i="14"/>
  <c r="AN3" i="14"/>
  <c r="T108" i="14"/>
  <c r="T113" i="14"/>
  <c r="T120" i="14"/>
  <c r="T122" i="14"/>
  <c r="T125" i="14"/>
  <c r="T135" i="14"/>
  <c r="T143" i="14"/>
  <c r="T148" i="14"/>
  <c r="T152" i="14"/>
  <c r="T153" i="14"/>
  <c r="T156" i="14"/>
  <c r="T165" i="14"/>
  <c r="T166" i="14"/>
  <c r="T174" i="14"/>
  <c r="DN113" i="14" l="1"/>
  <c r="CT113" i="14"/>
  <c r="CA113" i="14"/>
  <c r="BH113" i="14"/>
  <c r="DN108" i="14"/>
  <c r="CT108" i="14"/>
  <c r="CA108" i="14"/>
  <c r="BH108" i="14"/>
  <c r="AN166" i="14"/>
  <c r="AN156" i="14"/>
  <c r="AN162" i="14" s="1"/>
  <c r="T171" i="14"/>
  <c r="AN192" i="14"/>
  <c r="AN188" i="14"/>
  <c r="AN174" i="14"/>
  <c r="AN135" i="14"/>
  <c r="AN148" i="14"/>
  <c r="AN125" i="14"/>
  <c r="AN113" i="14"/>
  <c r="AN108" i="14"/>
  <c r="T130" i="14"/>
  <c r="T162" i="14"/>
  <c r="T146" i="14"/>
  <c r="T172" i="14"/>
  <c r="L130" i="19" l="1"/>
  <c r="L131" i="19" s="1"/>
  <c r="AN130" i="14"/>
  <c r="AN146" i="14"/>
  <c r="AF5" i="19" l="1"/>
  <c r="BH7" i="19"/>
  <c r="BH10" i="19"/>
  <c r="BH15" i="19"/>
  <c r="V5" i="19"/>
  <c r="V9" i="19"/>
  <c r="V14" i="19"/>
  <c r="V16" i="19"/>
  <c r="V21" i="19"/>
  <c r="V30" i="19"/>
  <c r="V33" i="19"/>
  <c r="V42" i="19"/>
  <c r="V46" i="19"/>
  <c r="V50" i="19"/>
  <c r="V56" i="19"/>
  <c r="V59" i="19"/>
  <c r="V66" i="19"/>
  <c r="V71" i="19"/>
  <c r="V73" i="19"/>
  <c r="V76" i="19"/>
  <c r="V78" i="19"/>
  <c r="V80" i="19"/>
  <c r="V86" i="19"/>
  <c r="AF21" i="19"/>
  <c r="AF50" i="19"/>
  <c r="BI50" i="14"/>
  <c r="CU50" i="14" s="1"/>
  <c r="AF73" i="19"/>
  <c r="BI73" i="14"/>
  <c r="CU73" i="14" s="1"/>
  <c r="AF80" i="19"/>
  <c r="BI80" i="14"/>
  <c r="CU80" i="14" s="1"/>
  <c r="AO5" i="19"/>
  <c r="AX5" i="19" s="1"/>
  <c r="AO9" i="19"/>
  <c r="AO14" i="19"/>
  <c r="AO16" i="19"/>
  <c r="AO21" i="19"/>
  <c r="AO30" i="19"/>
  <c r="AO33" i="19"/>
  <c r="AO42" i="19"/>
  <c r="AO46" i="19"/>
  <c r="AO50" i="19"/>
  <c r="AO56" i="19"/>
  <c r="AO59" i="19"/>
  <c r="AO66" i="19"/>
  <c r="AO71" i="19"/>
  <c r="AO73" i="19"/>
  <c r="AO76" i="19"/>
  <c r="AO78" i="19"/>
  <c r="AO80" i="19"/>
  <c r="AO86" i="19"/>
  <c r="AF9" i="19"/>
  <c r="BI9" i="14"/>
  <c r="CU9" i="14" s="1"/>
  <c r="AF33" i="19"/>
  <c r="BI33" i="14"/>
  <c r="CU33" i="14" s="1"/>
  <c r="AF59" i="19"/>
  <c r="BI59" i="14"/>
  <c r="CU59" i="14" s="1"/>
  <c r="AF78" i="19"/>
  <c r="BI78" i="14"/>
  <c r="CU78" i="14" s="1"/>
  <c r="BH5" i="19"/>
  <c r="BH9" i="19"/>
  <c r="BH14" i="19"/>
  <c r="BH16" i="19"/>
  <c r="BH21" i="19"/>
  <c r="BH187" i="19" s="1"/>
  <c r="BH30" i="19"/>
  <c r="BH33" i="19"/>
  <c r="BH42" i="19"/>
  <c r="BH46" i="19"/>
  <c r="BH50" i="19"/>
  <c r="BH56" i="19"/>
  <c r="BH59" i="19"/>
  <c r="BH66" i="19"/>
  <c r="BH71" i="19"/>
  <c r="BH73" i="19"/>
  <c r="BH76" i="19"/>
  <c r="BH78" i="19"/>
  <c r="BH80" i="19"/>
  <c r="BH86" i="19"/>
  <c r="AF30" i="19"/>
  <c r="AX30" i="19" s="1"/>
  <c r="BI30" i="14"/>
  <c r="CU30" i="14" s="1"/>
  <c r="AF56" i="19"/>
  <c r="AX56" i="19" s="1"/>
  <c r="BI56" i="14"/>
  <c r="CU56" i="14" s="1"/>
  <c r="AF76" i="19"/>
  <c r="BI76" i="14"/>
  <c r="CU76" i="14" s="1"/>
  <c r="V7" i="19"/>
  <c r="V15" i="19"/>
  <c r="V24" i="19"/>
  <c r="V32" i="19"/>
  <c r="V41" i="19"/>
  <c r="V43" i="19"/>
  <c r="V48" i="19"/>
  <c r="V51" i="19"/>
  <c r="V58" i="19"/>
  <c r="V65" i="19"/>
  <c r="V70" i="19"/>
  <c r="V72" i="19"/>
  <c r="V75" i="19"/>
  <c r="V77" i="19"/>
  <c r="V79" i="19"/>
  <c r="V83" i="19"/>
  <c r="AF16" i="19"/>
  <c r="BI16" i="14"/>
  <c r="CU16" i="14" s="1"/>
  <c r="AF46" i="19"/>
  <c r="AF71" i="19"/>
  <c r="BI71" i="14"/>
  <c r="CU71" i="14" s="1"/>
  <c r="AF86" i="19"/>
  <c r="AX86" i="19" s="1"/>
  <c r="BI86" i="14"/>
  <c r="CU86" i="14" s="1"/>
  <c r="V10" i="19"/>
  <c r="V17" i="19"/>
  <c r="AF7" i="19"/>
  <c r="BI7" i="14"/>
  <c r="CU7" i="14" s="1"/>
  <c r="AF10" i="19"/>
  <c r="BI10" i="14"/>
  <c r="CU10" i="14" s="1"/>
  <c r="AF15" i="19"/>
  <c r="BI15" i="14"/>
  <c r="CU15" i="14" s="1"/>
  <c r="AF17" i="19"/>
  <c r="BI17" i="14"/>
  <c r="CU17" i="14" s="1"/>
  <c r="AF24" i="19"/>
  <c r="BI24" i="14"/>
  <c r="AF32" i="19"/>
  <c r="AF41" i="19"/>
  <c r="AF43" i="19"/>
  <c r="BI43" i="14"/>
  <c r="CU43" i="14" s="1"/>
  <c r="AF48" i="19"/>
  <c r="BI48" i="14"/>
  <c r="CU48" i="14" s="1"/>
  <c r="AF51" i="19"/>
  <c r="BI51" i="14"/>
  <c r="CU51" i="14" s="1"/>
  <c r="AF58" i="19"/>
  <c r="AF65" i="19"/>
  <c r="AF70" i="19"/>
  <c r="AF72" i="19"/>
  <c r="BI72" i="14"/>
  <c r="CU72" i="14" s="1"/>
  <c r="AF75" i="19"/>
  <c r="BI75" i="14"/>
  <c r="CU75" i="14" s="1"/>
  <c r="AF77" i="19"/>
  <c r="BI77" i="14"/>
  <c r="CU77" i="14" s="1"/>
  <c r="AF79" i="19"/>
  <c r="BI79" i="14"/>
  <c r="CU79" i="14" s="1"/>
  <c r="AF83" i="19"/>
  <c r="BI83" i="14"/>
  <c r="CU83" i="14" s="1"/>
  <c r="AF14" i="19"/>
  <c r="AF42" i="19"/>
  <c r="BI42" i="14"/>
  <c r="CU42" i="14" s="1"/>
  <c r="AF66" i="19"/>
  <c r="BI66" i="14"/>
  <c r="CU66" i="14" s="1"/>
  <c r="AO7" i="19"/>
  <c r="AO10" i="19"/>
  <c r="AO15" i="19"/>
  <c r="AO17" i="19"/>
  <c r="AX17" i="19" s="1"/>
  <c r="AO24" i="19"/>
  <c r="AO191" i="19" s="1"/>
  <c r="CB191" i="14"/>
  <c r="CB193" i="14" s="1"/>
  <c r="AO32" i="19"/>
  <c r="AX32" i="19" s="1"/>
  <c r="AO41" i="19"/>
  <c r="AO43" i="19"/>
  <c r="AX43" i="19" s="1"/>
  <c r="AO48" i="19"/>
  <c r="AX48" i="19" s="1"/>
  <c r="AO51" i="19"/>
  <c r="AO58" i="19"/>
  <c r="AO65" i="19"/>
  <c r="AO70" i="19"/>
  <c r="AO72" i="19"/>
  <c r="AX72" i="19" s="1"/>
  <c r="AO75" i="19"/>
  <c r="AO77" i="19"/>
  <c r="AX77" i="19" s="1"/>
  <c r="AO79" i="19"/>
  <c r="AO83" i="19"/>
  <c r="BH17" i="19"/>
  <c r="BH18" i="19" s="1"/>
  <c r="BH24" i="19"/>
  <c r="BH191" i="19" s="1"/>
  <c r="DO191" i="14"/>
  <c r="DO193" i="14" s="1"/>
  <c r="BH32" i="19"/>
  <c r="BH34" i="19" s="1"/>
  <c r="BH41" i="19"/>
  <c r="BH43" i="19"/>
  <c r="BH48" i="19"/>
  <c r="BH51" i="19"/>
  <c r="BH58" i="19"/>
  <c r="BH60" i="19" s="1"/>
  <c r="BH65" i="19"/>
  <c r="BH70" i="19"/>
  <c r="BH72" i="19"/>
  <c r="BH75" i="19"/>
  <c r="BH77" i="19"/>
  <c r="BH79" i="19"/>
  <c r="BH83" i="19"/>
  <c r="AX9" i="19"/>
  <c r="AX14" i="19"/>
  <c r="AX16" i="19"/>
  <c r="AF187" i="19"/>
  <c r="AX21" i="19"/>
  <c r="AX33" i="19"/>
  <c r="AX50" i="19"/>
  <c r="AX71" i="19"/>
  <c r="AX73" i="19"/>
  <c r="AO187" i="19"/>
  <c r="V191" i="19"/>
  <c r="V34" i="19"/>
  <c r="V60" i="19"/>
  <c r="V67" i="19"/>
  <c r="AX10" i="19"/>
  <c r="AF191" i="19"/>
  <c r="AF34" i="19"/>
  <c r="AX58" i="19"/>
  <c r="AF60" i="19"/>
  <c r="AX83" i="19"/>
  <c r="V27" i="19"/>
  <c r="V187" i="19"/>
  <c r="L10" i="19"/>
  <c r="L15" i="19"/>
  <c r="L32" i="19"/>
  <c r="L43" i="19"/>
  <c r="L48" i="19"/>
  <c r="L72" i="19"/>
  <c r="L75" i="19"/>
  <c r="L79" i="19"/>
  <c r="L14" i="19"/>
  <c r="L30" i="19"/>
  <c r="L56" i="19"/>
  <c r="L66" i="19"/>
  <c r="L73" i="19"/>
  <c r="L76" i="19"/>
  <c r="L78" i="19"/>
  <c r="L80" i="19"/>
  <c r="L86" i="19"/>
  <c r="L83" i="19"/>
  <c r="L77" i="19"/>
  <c r="L71" i="19"/>
  <c r="L70" i="19"/>
  <c r="L59" i="19"/>
  <c r="L58" i="19"/>
  <c r="L51" i="19"/>
  <c r="L50" i="19"/>
  <c r="L46" i="19"/>
  <c r="L42" i="19"/>
  <c r="L24" i="19"/>
  <c r="L17" i="19"/>
  <c r="L9" i="19"/>
  <c r="L5" i="19"/>
  <c r="L21" i="19"/>
  <c r="L16" i="19"/>
  <c r="L7" i="19"/>
  <c r="L41" i="19"/>
  <c r="AX79" i="19" l="1"/>
  <c r="AX78" i="19"/>
  <c r="AX46" i="19"/>
  <c r="BH44" i="19"/>
  <c r="AO11" i="19"/>
  <c r="AX7" i="19"/>
  <c r="V18" i="19"/>
  <c r="AF67" i="19"/>
  <c r="AX65" i="19"/>
  <c r="AO34" i="19"/>
  <c r="AX70" i="19"/>
  <c r="AF18" i="19"/>
  <c r="BH11" i="19"/>
  <c r="AO63" i="19"/>
  <c r="BI191" i="14"/>
  <c r="BI193" i="14" s="1"/>
  <c r="CU24" i="14"/>
  <c r="CU191" i="14" s="1"/>
  <c r="CU193" i="14" s="1"/>
  <c r="AX51" i="19"/>
  <c r="AX24" i="19"/>
  <c r="AF11" i="19"/>
  <c r="BH63" i="19"/>
  <c r="BH53" i="19"/>
  <c r="BH62" i="19" s="1"/>
  <c r="V11" i="19"/>
  <c r="AX80" i="19"/>
  <c r="AO27" i="19"/>
  <c r="BH81" i="19"/>
  <c r="AF81" i="19"/>
  <c r="AO18" i="19"/>
  <c r="AO44" i="19"/>
  <c r="AO53" i="19" s="1"/>
  <c r="AF27" i="19"/>
  <c r="V44" i="19"/>
  <c r="AO81" i="19"/>
  <c r="AX59" i="19"/>
  <c r="AX60" i="19" s="1"/>
  <c r="AX15" i="19"/>
  <c r="AX41" i="19"/>
  <c r="U10" i="14"/>
  <c r="U16" i="14"/>
  <c r="AX76" i="19"/>
  <c r="U83" i="14"/>
  <c r="CB18" i="14"/>
  <c r="U59" i="14"/>
  <c r="BH67" i="19"/>
  <c r="U72" i="14"/>
  <c r="AX42" i="19"/>
  <c r="DO60" i="14"/>
  <c r="CB44" i="14"/>
  <c r="BI32" i="14"/>
  <c r="CU32" i="14" s="1"/>
  <c r="U86" i="14"/>
  <c r="U73" i="14"/>
  <c r="U56" i="14"/>
  <c r="U33" i="14"/>
  <c r="DO67" i="14"/>
  <c r="BI41" i="14"/>
  <c r="CU41" i="14" s="1"/>
  <c r="U76" i="14"/>
  <c r="V81" i="19"/>
  <c r="AO67" i="19"/>
  <c r="AX75" i="19"/>
  <c r="U79" i="14"/>
  <c r="U48" i="14"/>
  <c r="U24" i="14"/>
  <c r="DO18" i="14"/>
  <c r="U51" i="14"/>
  <c r="AO60" i="19"/>
  <c r="DO34" i="14"/>
  <c r="CB34" i="14"/>
  <c r="BI14" i="14"/>
  <c r="CU14" i="14" s="1"/>
  <c r="BI70" i="14"/>
  <c r="CU70" i="14" s="1"/>
  <c r="U80" i="14"/>
  <c r="U71" i="14"/>
  <c r="U50" i="14"/>
  <c r="U30" i="14"/>
  <c r="U9" i="14"/>
  <c r="BI58" i="14"/>
  <c r="CU58" i="14" s="1"/>
  <c r="AF63" i="19"/>
  <c r="BH27" i="19"/>
  <c r="BH35" i="19" s="1"/>
  <c r="AX66" i="19"/>
  <c r="AX67" i="19" s="1"/>
  <c r="U77" i="14"/>
  <c r="U43" i="14"/>
  <c r="U15" i="14"/>
  <c r="CB187" i="14"/>
  <c r="CB189" i="14" s="1"/>
  <c r="CB5" i="14"/>
  <c r="CB11" i="14" s="1"/>
  <c r="BI21" i="14"/>
  <c r="AF44" i="19"/>
  <c r="AF47" i="19" s="1"/>
  <c r="DO81" i="14"/>
  <c r="DO25" i="14"/>
  <c r="CB81" i="14"/>
  <c r="BI65" i="14"/>
  <c r="CU65" i="14" s="1"/>
  <c r="U17" i="14"/>
  <c r="U78" i="14"/>
  <c r="U66" i="14"/>
  <c r="AO5" i="14"/>
  <c r="BI5" i="14"/>
  <c r="CB67" i="14"/>
  <c r="BI46" i="14"/>
  <c r="CU46" i="14" s="1"/>
  <c r="U42" i="14"/>
  <c r="U75" i="14"/>
  <c r="U7" i="14"/>
  <c r="DO187" i="14"/>
  <c r="DO189" i="14" s="1"/>
  <c r="DO5" i="14"/>
  <c r="AO35" i="19"/>
  <c r="L8" i="19"/>
  <c r="L33" i="19"/>
  <c r="L34" i="19" s="1"/>
  <c r="AX187" i="19"/>
  <c r="AX27" i="19"/>
  <c r="L60" i="19"/>
  <c r="L63" i="19"/>
  <c r="L44" i="19"/>
  <c r="L49" i="19" s="1"/>
  <c r="L169" i="19"/>
  <c r="L11" i="19"/>
  <c r="L6" i="19"/>
  <c r="L191" i="19"/>
  <c r="L25" i="19"/>
  <c r="L65" i="19"/>
  <c r="L81" i="19"/>
  <c r="AX63" i="19"/>
  <c r="AX18" i="19"/>
  <c r="L187" i="19"/>
  <c r="L27" i="19"/>
  <c r="L22" i="19"/>
  <c r="AX34" i="19"/>
  <c r="AX11" i="19"/>
  <c r="L18" i="19"/>
  <c r="AX191" i="19"/>
  <c r="V53" i="19"/>
  <c r="V35" i="19" l="1"/>
  <c r="AX44" i="19"/>
  <c r="AX49" i="19" s="1"/>
  <c r="AF53" i="19"/>
  <c r="AF62" i="19" s="1"/>
  <c r="AO62" i="19"/>
  <c r="AF35" i="19"/>
  <c r="AX81" i="19"/>
  <c r="BI187" i="14"/>
  <c r="BI189" i="14" s="1"/>
  <c r="CU21" i="14"/>
  <c r="CU187" i="14" s="1"/>
  <c r="CU189" i="14" s="1"/>
  <c r="BI81" i="14"/>
  <c r="AF52" i="19"/>
  <c r="AF45" i="19"/>
  <c r="AF49" i="19"/>
  <c r="U58" i="14"/>
  <c r="U60" i="14" s="1"/>
  <c r="AO67" i="14"/>
  <c r="AO81" i="14"/>
  <c r="CU18" i="14"/>
  <c r="BI18" i="14"/>
  <c r="CB53" i="14"/>
  <c r="DO63" i="14"/>
  <c r="DO44" i="14"/>
  <c r="DO53" i="14" s="1"/>
  <c r="DO62" i="14" s="1"/>
  <c r="AO34" i="14"/>
  <c r="U5" i="14"/>
  <c r="AO60" i="14"/>
  <c r="AO6" i="14"/>
  <c r="AO11" i="14"/>
  <c r="CU81" i="14"/>
  <c r="U191" i="14"/>
  <c r="U193" i="14" s="1"/>
  <c r="U26" i="14" s="1"/>
  <c r="U25" i="14"/>
  <c r="CB63" i="14"/>
  <c r="CB60" i="14"/>
  <c r="CB61" i="14" s="1"/>
  <c r="BI27" i="14"/>
  <c r="AO25" i="14"/>
  <c r="AO191" i="14"/>
  <c r="AO193" i="14" s="1"/>
  <c r="AO26" i="14" s="1"/>
  <c r="U32" i="14"/>
  <c r="U34" i="14" s="1"/>
  <c r="DO6" i="14"/>
  <c r="DO11" i="14"/>
  <c r="DO12" i="14" s="1"/>
  <c r="U8" i="14"/>
  <c r="AO18" i="14"/>
  <c r="DO22" i="14"/>
  <c r="DO27" i="14"/>
  <c r="DO28" i="14" s="1"/>
  <c r="AO8" i="14"/>
  <c r="U21" i="14"/>
  <c r="U14" i="14"/>
  <c r="U18" i="14" s="1"/>
  <c r="U41" i="14"/>
  <c r="AO187" i="14"/>
  <c r="AO189" i="14" s="1"/>
  <c r="AO23" i="14" s="1"/>
  <c r="AO27" i="14"/>
  <c r="AO22" i="14"/>
  <c r="CU67" i="14"/>
  <c r="BI67" i="14"/>
  <c r="U70" i="14"/>
  <c r="U81" i="14" s="1"/>
  <c r="BI34" i="14"/>
  <c r="CU34" i="14"/>
  <c r="CB27" i="14"/>
  <c r="CB35" i="14" s="1"/>
  <c r="U65" i="14"/>
  <c r="U67" i="14" s="1"/>
  <c r="BI60" i="14"/>
  <c r="CU60" i="14"/>
  <c r="AO44" i="14"/>
  <c r="AO53" i="14" s="1"/>
  <c r="BI11" i="14"/>
  <c r="CU5" i="14"/>
  <c r="CU11" i="14" s="1"/>
  <c r="BI44" i="14"/>
  <c r="BI63" i="14"/>
  <c r="AO69" i="19"/>
  <c r="AO74" i="19" s="1"/>
  <c r="AO82" i="19"/>
  <c r="AO85" i="19" s="1"/>
  <c r="L67" i="19"/>
  <c r="V36" i="19"/>
  <c r="L35" i="19"/>
  <c r="L12" i="19"/>
  <c r="V62" i="19"/>
  <c r="BH82" i="19"/>
  <c r="BH36" i="19"/>
  <c r="BH69" i="19"/>
  <c r="L47" i="19"/>
  <c r="L53" i="19"/>
  <c r="L45" i="19"/>
  <c r="L28" i="19"/>
  <c r="AX35" i="19"/>
  <c r="S160" i="14"/>
  <c r="AF82" i="19" l="1"/>
  <c r="AX47" i="19"/>
  <c r="AF69" i="19"/>
  <c r="AF74" i="19" s="1"/>
  <c r="AX53" i="19"/>
  <c r="AX62" i="19" s="1"/>
  <c r="AX82" i="19" s="1"/>
  <c r="AX45" i="19"/>
  <c r="AF54" i="19"/>
  <c r="CS160" i="14"/>
  <c r="CS156" i="14" s="1"/>
  <c r="CS162" i="14" s="1"/>
  <c r="DM160" i="14"/>
  <c r="DM156" i="14" s="1"/>
  <c r="DM162" i="14" s="1"/>
  <c r="BG160" i="14"/>
  <c r="BG156" i="14" s="1"/>
  <c r="BG162" i="14" s="1"/>
  <c r="BZ160" i="14"/>
  <c r="BZ156" i="14" s="1"/>
  <c r="BZ162" i="14" s="1"/>
  <c r="AO62" i="14"/>
  <c r="U187" i="14"/>
  <c r="U189" i="14" s="1"/>
  <c r="U23" i="14" s="1"/>
  <c r="U22" i="14"/>
  <c r="BI35" i="14"/>
  <c r="U19" i="14"/>
  <c r="U63" i="14"/>
  <c r="U44" i="14"/>
  <c r="AO35" i="14"/>
  <c r="AO19" i="14"/>
  <c r="CU27" i="14"/>
  <c r="CU35" i="14" s="1"/>
  <c r="AO12" i="14"/>
  <c r="U6" i="14"/>
  <c r="U11" i="14"/>
  <c r="BI47" i="14"/>
  <c r="BI53" i="14"/>
  <c r="BI62" i="14" s="1"/>
  <c r="BI45" i="14"/>
  <c r="BI49" i="14"/>
  <c r="BI52" i="14"/>
  <c r="CU63" i="14"/>
  <c r="CU44" i="14"/>
  <c r="AO28" i="14"/>
  <c r="DO35" i="14"/>
  <c r="U27" i="14"/>
  <c r="CB62" i="14"/>
  <c r="CB69" i="14" s="1"/>
  <c r="CB74" i="14" s="1"/>
  <c r="AO84" i="19"/>
  <c r="V69" i="19"/>
  <c r="V74" i="19" s="1"/>
  <c r="V82" i="19"/>
  <c r="AF85" i="19"/>
  <c r="AF84" i="19"/>
  <c r="BH85" i="19"/>
  <c r="BH84" i="19"/>
  <c r="L62" i="19"/>
  <c r="L82" i="19" s="1"/>
  <c r="L36" i="19"/>
  <c r="L37" i="19" s="1"/>
  <c r="AO88" i="19"/>
  <c r="AO89" i="19" s="1"/>
  <c r="AO87" i="19"/>
  <c r="S102" i="14"/>
  <c r="L102" i="8" l="1"/>
  <c r="BI69" i="14"/>
  <c r="BI74" i="14" s="1"/>
  <c r="U12" i="14"/>
  <c r="AO69" i="14"/>
  <c r="AO74" i="14" s="1"/>
  <c r="AO36" i="14"/>
  <c r="AO82" i="14"/>
  <c r="DO36" i="14"/>
  <c r="DO69" i="14"/>
  <c r="DO82" i="14"/>
  <c r="U28" i="14"/>
  <c r="U35" i="14"/>
  <c r="L102" i="19"/>
  <c r="L102" i="21"/>
  <c r="U45" i="14"/>
  <c r="U53" i="14"/>
  <c r="U62" i="14" s="1"/>
  <c r="U49" i="14"/>
  <c r="CB82" i="14"/>
  <c r="CU45" i="14"/>
  <c r="CU53" i="14"/>
  <c r="CU62" i="14" s="1"/>
  <c r="CU69" i="14" s="1"/>
  <c r="CU74" i="14" s="1"/>
  <c r="CU49" i="14"/>
  <c r="CU47" i="14"/>
  <c r="BI54" i="14"/>
  <c r="BI82" i="14"/>
  <c r="U47" i="14"/>
  <c r="AX69" i="19"/>
  <c r="AX74" i="19" s="1"/>
  <c r="V84" i="19"/>
  <c r="V85" i="19"/>
  <c r="BH88" i="19"/>
  <c r="BH89" i="19" s="1"/>
  <c r="BH87" i="19"/>
  <c r="AX85" i="19"/>
  <c r="AX84" i="19"/>
  <c r="AF88" i="19"/>
  <c r="AF89" i="19" s="1"/>
  <c r="AF87" i="19"/>
  <c r="L85" i="19"/>
  <c r="L84" i="19"/>
  <c r="L69" i="19"/>
  <c r="L101" i="19"/>
  <c r="S98" i="14"/>
  <c r="V88" i="19" l="1"/>
  <c r="V92" i="19"/>
  <c r="L98" i="8"/>
  <c r="L103" i="8" s="1"/>
  <c r="H96" i="33"/>
  <c r="DO37" i="14"/>
  <c r="DO38" i="14"/>
  <c r="BI85" i="14"/>
  <c r="BI84" i="14"/>
  <c r="AO85" i="14"/>
  <c r="AO92" i="14" s="1"/>
  <c r="AO84" i="14"/>
  <c r="L98" i="19"/>
  <c r="L98" i="21"/>
  <c r="V87" i="19"/>
  <c r="CB85" i="14"/>
  <c r="CB84" i="14"/>
  <c r="U82" i="14"/>
  <c r="DO84" i="14"/>
  <c r="DO85" i="14"/>
  <c r="AO37" i="14"/>
  <c r="AO38" i="14"/>
  <c r="U36" i="14"/>
  <c r="U69" i="14"/>
  <c r="CU82" i="14"/>
  <c r="L88" i="19"/>
  <c r="L87" i="19"/>
  <c r="V89" i="19"/>
  <c r="AX88" i="19"/>
  <c r="AX91" i="19" s="1"/>
  <c r="AX87" i="19"/>
  <c r="L74" i="19"/>
  <c r="AM184" i="14"/>
  <c r="AM183" i="14"/>
  <c r="AM179" i="14"/>
  <c r="AM178" i="14"/>
  <c r="AM176" i="14"/>
  <c r="AM175" i="14"/>
  <c r="AM168" i="14"/>
  <c r="AM167" i="14"/>
  <c r="AM160" i="14"/>
  <c r="AM159" i="14"/>
  <c r="AM158" i="14"/>
  <c r="AM157" i="14"/>
  <c r="AM154" i="14"/>
  <c r="AM150" i="14"/>
  <c r="AM149" i="14"/>
  <c r="AM144" i="14"/>
  <c r="AM141" i="14"/>
  <c r="AM140" i="14"/>
  <c r="AM139" i="14"/>
  <c r="AM138" i="14"/>
  <c r="AM137" i="14"/>
  <c r="AM136" i="14"/>
  <c r="AM128" i="14"/>
  <c r="AM127" i="14"/>
  <c r="AM126" i="14"/>
  <c r="AM123" i="14"/>
  <c r="AM115" i="14"/>
  <c r="AM114" i="14"/>
  <c r="AM112" i="14"/>
  <c r="AM110" i="14"/>
  <c r="AM109" i="14"/>
  <c r="AM107" i="14"/>
  <c r="U74" i="14" l="1"/>
  <c r="U37" i="14"/>
  <c r="U38" i="14"/>
  <c r="AO88" i="14"/>
  <c r="AO87" i="14"/>
  <c r="U85" i="14"/>
  <c r="U84" i="14"/>
  <c r="BI87" i="14"/>
  <c r="BI88" i="14"/>
  <c r="CB88" i="14"/>
  <c r="CB87" i="14"/>
  <c r="CU85" i="14"/>
  <c r="CU84" i="14"/>
  <c r="DO88" i="14"/>
  <c r="DO89" i="14" s="1"/>
  <c r="DO87" i="14"/>
  <c r="AX89" i="19"/>
  <c r="L95" i="19"/>
  <c r="L89" i="19"/>
  <c r="L90" i="19"/>
  <c r="L116" i="19" s="1"/>
  <c r="L91" i="19"/>
  <c r="L117" i="19" s="1"/>
  <c r="BI89" i="14" l="1"/>
  <c r="BI91" i="14"/>
  <c r="BI117" i="14" s="1"/>
  <c r="BI90" i="14"/>
  <c r="BI116" i="14" s="1"/>
  <c r="AO89" i="14"/>
  <c r="AO91" i="14"/>
  <c r="AO117" i="14" s="1"/>
  <c r="AO90" i="14"/>
  <c r="AO116" i="14" s="1"/>
  <c r="CU88" i="14"/>
  <c r="CU87" i="14"/>
  <c r="U88" i="14"/>
  <c r="U87" i="14"/>
  <c r="CB89" i="14"/>
  <c r="CB91" i="14"/>
  <c r="CB117" i="14" s="1"/>
  <c r="CB90" i="14"/>
  <c r="CB116" i="14" s="1"/>
  <c r="L103" i="19"/>
  <c r="U95" i="14" l="1"/>
  <c r="U89" i="14"/>
  <c r="U90" i="14"/>
  <c r="U116" i="14" s="1"/>
  <c r="U91" i="14"/>
  <c r="U117" i="14" s="1"/>
  <c r="CU91" i="14"/>
  <c r="CU117" i="14" s="1"/>
  <c r="CU89" i="14"/>
  <c r="CU90" i="14"/>
  <c r="CU116" i="14" s="1"/>
  <c r="L188" i="21" l="1"/>
  <c r="L192" i="21"/>
  <c r="L188" i="19"/>
  <c r="L192" i="19"/>
  <c r="AM188" i="14"/>
  <c r="AM192" i="14"/>
  <c r="DM3" i="14"/>
  <c r="CW3" i="14"/>
  <c r="CS3" i="14"/>
  <c r="AP188" i="14" l="1"/>
  <c r="AP189" i="14" s="1"/>
  <c r="AP23" i="14" s="1"/>
  <c r="CV192" i="14"/>
  <c r="CV193" i="14" s="1"/>
  <c r="AO192" i="19"/>
  <c r="AO193" i="19" s="1"/>
  <c r="AF192" i="19"/>
  <c r="AF193" i="19" s="1"/>
  <c r="AX192" i="19"/>
  <c r="AX193" i="19" s="1"/>
  <c r="V192" i="19"/>
  <c r="BH192" i="19"/>
  <c r="BH193" i="19" s="1"/>
  <c r="AF188" i="19"/>
  <c r="AF189" i="19" s="1"/>
  <c r="AO188" i="19"/>
  <c r="AO189" i="19" s="1"/>
  <c r="BH188" i="19"/>
  <c r="BH189" i="19" s="1"/>
  <c r="AX188" i="19"/>
  <c r="AX189" i="19" s="1"/>
  <c r="V188" i="19"/>
  <c r="AO192" i="21"/>
  <c r="BI192" i="21"/>
  <c r="V192" i="21"/>
  <c r="AX192" i="21"/>
  <c r="AF192" i="21"/>
  <c r="AF188" i="21"/>
  <c r="AX188" i="21"/>
  <c r="V188" i="21"/>
  <c r="BI188" i="21"/>
  <c r="AO188" i="21"/>
  <c r="BZ3" i="14"/>
  <c r="BG3" i="14"/>
  <c r="AQ3" i="14"/>
  <c r="AM3" i="14"/>
  <c r="AM122" i="14"/>
  <c r="AM143" i="14"/>
  <c r="AM153" i="14"/>
  <c r="S108" i="14"/>
  <c r="S113" i="14"/>
  <c r="S120" i="14"/>
  <c r="S122" i="14"/>
  <c r="S125" i="14"/>
  <c r="S135" i="14"/>
  <c r="S143" i="14"/>
  <c r="S148" i="14"/>
  <c r="S152" i="14"/>
  <c r="S153" i="14"/>
  <c r="S156" i="14"/>
  <c r="S165" i="14"/>
  <c r="S166" i="14"/>
  <c r="S174" i="14"/>
  <c r="H70" i="21"/>
  <c r="F70" i="21"/>
  <c r="BF70" i="19"/>
  <c r="BE70" i="14"/>
  <c r="CQ70" i="14" s="1"/>
  <c r="L193" i="8" l="1"/>
  <c r="BJ188" i="14"/>
  <c r="BJ189" i="14" s="1"/>
  <c r="CC188" i="14"/>
  <c r="CC189" i="14" s="1"/>
  <c r="DP188" i="14"/>
  <c r="DP189" i="14" s="1"/>
  <c r="L189" i="8"/>
  <c r="BH189" i="8" s="1"/>
  <c r="BH190" i="8" s="1"/>
  <c r="CV188" i="14"/>
  <c r="CV189" i="14" s="1"/>
  <c r="V189" i="14"/>
  <c r="V23" i="14" s="1"/>
  <c r="V193" i="14"/>
  <c r="V26" i="14" s="1"/>
  <c r="T184" i="24"/>
  <c r="T185" i="24" s="1"/>
  <c r="T26" i="24" s="1"/>
  <c r="T180" i="24"/>
  <c r="T181" i="24" s="1"/>
  <c r="T23" i="24" s="1"/>
  <c r="BJ192" i="14"/>
  <c r="BJ193" i="14" s="1"/>
  <c r="CC192" i="14"/>
  <c r="CC193" i="14" s="1"/>
  <c r="DP192" i="14"/>
  <c r="DP193" i="14" s="1"/>
  <c r="AP192" i="14"/>
  <c r="AP193" i="14" s="1"/>
  <c r="AP26" i="14" s="1"/>
  <c r="I185" i="24"/>
  <c r="I26" i="24" s="1"/>
  <c r="I181" i="24"/>
  <c r="I23" i="24" s="1"/>
  <c r="DM113" i="14"/>
  <c r="CS113" i="14"/>
  <c r="BZ113" i="14"/>
  <c r="BG113" i="14"/>
  <c r="AF193" i="8"/>
  <c r="AF194" i="8" s="1"/>
  <c r="AO193" i="8"/>
  <c r="AO194" i="8" s="1"/>
  <c r="AX193" i="8"/>
  <c r="AX194" i="8" s="1"/>
  <c r="BH193" i="8"/>
  <c r="BH194" i="8" s="1"/>
  <c r="V193" i="8"/>
  <c r="V194" i="8" s="1"/>
  <c r="V26" i="8" s="1"/>
  <c r="L194" i="8"/>
  <c r="L26" i="8" s="1"/>
  <c r="DM108" i="14"/>
  <c r="CS108" i="14"/>
  <c r="BZ108" i="14"/>
  <c r="BG108" i="14"/>
  <c r="BZ187" i="14"/>
  <c r="BZ189" i="14" s="1"/>
  <c r="AM70" i="19"/>
  <c r="BG71" i="14"/>
  <c r="CS71" i="14" s="1"/>
  <c r="BH71" i="14"/>
  <c r="CT71" i="14" s="1"/>
  <c r="BG16" i="14"/>
  <c r="CS16" i="14" s="1"/>
  <c r="BH16" i="14"/>
  <c r="CT16" i="14" s="1"/>
  <c r="AO46" i="21"/>
  <c r="AO71" i="21"/>
  <c r="AO16" i="21"/>
  <c r="BG50" i="14"/>
  <c r="CS50" i="14" s="1"/>
  <c r="BH50" i="14"/>
  <c r="CT50" i="14" s="1"/>
  <c r="BG73" i="14"/>
  <c r="CS73" i="14" s="1"/>
  <c r="BH73" i="14"/>
  <c r="CT73" i="14" s="1"/>
  <c r="CA187" i="14"/>
  <c r="CA189" i="14" s="1"/>
  <c r="AO50" i="21"/>
  <c r="BG76" i="14"/>
  <c r="CS76" i="14" s="1"/>
  <c r="BH76" i="14"/>
  <c r="CT76" i="14" s="1"/>
  <c r="BG14" i="14"/>
  <c r="CS14" i="14" s="1"/>
  <c r="BH14" i="14"/>
  <c r="CT14" i="14" s="1"/>
  <c r="BG30" i="14"/>
  <c r="CS30" i="14" s="1"/>
  <c r="BH30" i="14"/>
  <c r="CT30" i="14" s="1"/>
  <c r="BG56" i="14"/>
  <c r="CS56" i="14" s="1"/>
  <c r="BH56" i="14"/>
  <c r="CT56" i="14" s="1"/>
  <c r="AO76" i="21"/>
  <c r="BZ5" i="14"/>
  <c r="CA5" i="14"/>
  <c r="BG59" i="14"/>
  <c r="CS59" i="14" s="1"/>
  <c r="BH59" i="14"/>
  <c r="CT59" i="14" s="1"/>
  <c r="BG80" i="14"/>
  <c r="CS80" i="14" s="1"/>
  <c r="BH80" i="14"/>
  <c r="CT80" i="14" s="1"/>
  <c r="BG9" i="14"/>
  <c r="CS9" i="14" s="1"/>
  <c r="BH9" i="14"/>
  <c r="CT9" i="14" s="1"/>
  <c r="BG33" i="14"/>
  <c r="CS33" i="14" s="1"/>
  <c r="BH33" i="14"/>
  <c r="CT33" i="14" s="1"/>
  <c r="AO59" i="21"/>
  <c r="BG86" i="14"/>
  <c r="CS86" i="14" s="1"/>
  <c r="BH86" i="14"/>
  <c r="CT86" i="14" s="1"/>
  <c r="AO9" i="21"/>
  <c r="BG42" i="14"/>
  <c r="CS42" i="14" s="1"/>
  <c r="BH42" i="14"/>
  <c r="CT42" i="14" s="1"/>
  <c r="AO66" i="21"/>
  <c r="AM108" i="14"/>
  <c r="AM113" i="14"/>
  <c r="AM156" i="14"/>
  <c r="AM162" i="14" s="1"/>
  <c r="AM174" i="14"/>
  <c r="AM148" i="14"/>
  <c r="AM135" i="14"/>
  <c r="AM146" i="14" s="1"/>
  <c r="AM166" i="14"/>
  <c r="AM125" i="14"/>
  <c r="S162" i="14"/>
  <c r="S171" i="14"/>
  <c r="S146" i="14"/>
  <c r="S130" i="14"/>
  <c r="S172" i="14"/>
  <c r="BH66" i="14"/>
  <c r="CT66" i="14" s="1"/>
  <c r="DM187" i="14"/>
  <c r="DM189" i="14" s="1"/>
  <c r="BH72" i="14"/>
  <c r="CT72" i="14" s="1"/>
  <c r="BZ191" i="14"/>
  <c r="BZ193" i="14" s="1"/>
  <c r="BH41" i="14"/>
  <c r="CT41" i="14" s="1"/>
  <c r="BH70" i="14"/>
  <c r="CT70" i="14" s="1"/>
  <c r="BH75" i="14"/>
  <c r="CT75" i="14" s="1"/>
  <c r="DM191" i="14"/>
  <c r="DM193" i="14" s="1"/>
  <c r="AN5" i="14"/>
  <c r="BC70" i="14"/>
  <c r="CO70" i="14" s="1"/>
  <c r="T70" i="19"/>
  <c r="AM70" i="21"/>
  <c r="AD70" i="19"/>
  <c r="T70" i="21"/>
  <c r="R96" i="14"/>
  <c r="W96" i="14" s="1"/>
  <c r="L190" i="8" l="1"/>
  <c r="L23" i="8" s="1"/>
  <c r="AO189" i="8"/>
  <c r="AO190" i="8" s="1"/>
  <c r="AF189" i="8"/>
  <c r="AF190" i="8" s="1"/>
  <c r="V189" i="8"/>
  <c r="V190" i="8" s="1"/>
  <c r="V23" i="8" s="1"/>
  <c r="AX189" i="8"/>
  <c r="AX190" i="8" s="1"/>
  <c r="BG70" i="21"/>
  <c r="AO30" i="21"/>
  <c r="AF16" i="21"/>
  <c r="AX16" i="21" s="1"/>
  <c r="AF42" i="21"/>
  <c r="AF33" i="21"/>
  <c r="AV70" i="19"/>
  <c r="AF30" i="21"/>
  <c r="AF9" i="21"/>
  <c r="AX9" i="21" s="1"/>
  <c r="AO5" i="21"/>
  <c r="AF14" i="21"/>
  <c r="AO42" i="21"/>
  <c r="AO21" i="21"/>
  <c r="AF56" i="21"/>
  <c r="L147" i="19"/>
  <c r="L147" i="21"/>
  <c r="AF73" i="21"/>
  <c r="AF86" i="21"/>
  <c r="AF80" i="21"/>
  <c r="AF50" i="21"/>
  <c r="AF76" i="21"/>
  <c r="AX76" i="21" s="1"/>
  <c r="AF59" i="21"/>
  <c r="AX59" i="21" s="1"/>
  <c r="AF71" i="21"/>
  <c r="V14" i="21"/>
  <c r="BI32" i="21"/>
  <c r="V80" i="21"/>
  <c r="V83" i="21"/>
  <c r="V10" i="21"/>
  <c r="V78" i="21"/>
  <c r="BI17" i="21"/>
  <c r="V42" i="21"/>
  <c r="BI58" i="21"/>
  <c r="V48" i="21"/>
  <c r="V33" i="21"/>
  <c r="BI65" i="21"/>
  <c r="DM67" i="14"/>
  <c r="BI15" i="21"/>
  <c r="V79" i="21"/>
  <c r="V7" i="21"/>
  <c r="V73" i="21"/>
  <c r="V71" i="21"/>
  <c r="V46" i="21"/>
  <c r="V66" i="21"/>
  <c r="AN6" i="14"/>
  <c r="AO51" i="21"/>
  <c r="AO14" i="21"/>
  <c r="V50" i="21"/>
  <c r="BI70" i="21"/>
  <c r="BI59" i="21"/>
  <c r="AO7" i="21"/>
  <c r="BG83" i="14"/>
  <c r="CS83" i="14" s="1"/>
  <c r="BH83" i="14"/>
  <c r="CT83" i="14" s="1"/>
  <c r="BI50" i="21"/>
  <c r="AO77" i="21"/>
  <c r="AO43" i="21"/>
  <c r="V51" i="21"/>
  <c r="BG77" i="14"/>
  <c r="CS77" i="14" s="1"/>
  <c r="BH77" i="14"/>
  <c r="CT77" i="14" s="1"/>
  <c r="BI56" i="21"/>
  <c r="BG78" i="14"/>
  <c r="CS78" i="14" s="1"/>
  <c r="BH78" i="14"/>
  <c r="CT78" i="14" s="1"/>
  <c r="V56" i="21"/>
  <c r="BG17" i="14"/>
  <c r="CS17" i="14" s="1"/>
  <c r="BH17" i="14"/>
  <c r="CT17" i="14" s="1"/>
  <c r="BI73" i="21"/>
  <c r="DN191" i="14"/>
  <c r="DN193" i="14" s="1"/>
  <c r="BG7" i="14"/>
  <c r="CS7" i="14" s="1"/>
  <c r="BH7" i="14"/>
  <c r="CT7" i="14" s="1"/>
  <c r="V76" i="21"/>
  <c r="BG70" i="14"/>
  <c r="CS70" i="14" s="1"/>
  <c r="BI42" i="21"/>
  <c r="BI46" i="21"/>
  <c r="BI72" i="21"/>
  <c r="BI71" i="21"/>
  <c r="V17" i="21"/>
  <c r="BG10" i="14"/>
  <c r="CS10" i="14" s="1"/>
  <c r="AO48" i="21"/>
  <c r="V15" i="21"/>
  <c r="AO86" i="21"/>
  <c r="BI83" i="21"/>
  <c r="BI51" i="21"/>
  <c r="BI10" i="21"/>
  <c r="BG58" i="14"/>
  <c r="CS58" i="14" s="1"/>
  <c r="BI30" i="21"/>
  <c r="V77" i="21"/>
  <c r="V43" i="21"/>
  <c r="BG65" i="14"/>
  <c r="CS65" i="14" s="1"/>
  <c r="BI33" i="21"/>
  <c r="DM5" i="14"/>
  <c r="DM6" i="14" s="1"/>
  <c r="BG46" i="14"/>
  <c r="CS46" i="14" s="1"/>
  <c r="BH46" i="14"/>
  <c r="CT46" i="14" s="1"/>
  <c r="V65" i="21"/>
  <c r="AO80" i="21"/>
  <c r="BG79" i="14"/>
  <c r="CS79" i="14" s="1"/>
  <c r="AO79" i="21"/>
  <c r="V58" i="21"/>
  <c r="T71" i="14"/>
  <c r="BI79" i="21"/>
  <c r="BI48" i="21"/>
  <c r="BI7" i="21"/>
  <c r="BG48" i="14"/>
  <c r="CS48" i="14" s="1"/>
  <c r="BI16" i="21"/>
  <c r="AO70" i="21"/>
  <c r="V75" i="21"/>
  <c r="V41" i="21"/>
  <c r="BG51" i="14"/>
  <c r="CS51" i="14" s="1"/>
  <c r="BH51" i="14"/>
  <c r="CT51" i="14" s="1"/>
  <c r="DN187" i="14"/>
  <c r="DN189" i="14" s="1"/>
  <c r="AO73" i="21"/>
  <c r="BG21" i="14"/>
  <c r="BH21" i="14"/>
  <c r="CT21" i="14" s="1"/>
  <c r="AO83" i="21"/>
  <c r="BI43" i="21"/>
  <c r="V72" i="21"/>
  <c r="V32" i="21"/>
  <c r="BG43" i="14"/>
  <c r="CS43" i="14" s="1"/>
  <c r="BH43" i="14"/>
  <c r="CT43" i="14" s="1"/>
  <c r="BI86" i="21"/>
  <c r="BI14" i="21"/>
  <c r="BG5" i="14"/>
  <c r="V86" i="21"/>
  <c r="AO10" i="21"/>
  <c r="BG15" i="14"/>
  <c r="CS15" i="14" s="1"/>
  <c r="BI77" i="21"/>
  <c r="BI80" i="21"/>
  <c r="BI9" i="21"/>
  <c r="BZ67" i="14"/>
  <c r="AO65" i="21"/>
  <c r="AO67" i="21" s="1"/>
  <c r="AO17" i="21"/>
  <c r="V59" i="21"/>
  <c r="V16" i="21"/>
  <c r="BI75" i="21"/>
  <c r="BI41" i="21"/>
  <c r="BG32" i="14"/>
  <c r="CS32" i="14" s="1"/>
  <c r="BI76" i="21"/>
  <c r="BZ60" i="14"/>
  <c r="BZ61" i="14" s="1"/>
  <c r="AO58" i="21"/>
  <c r="AO60" i="21" s="1"/>
  <c r="AO15" i="21"/>
  <c r="V24" i="21"/>
  <c r="BG24" i="14"/>
  <c r="BH24" i="14"/>
  <c r="BI78" i="21"/>
  <c r="AO78" i="21"/>
  <c r="S86" i="14"/>
  <c r="Q70" i="14"/>
  <c r="AM130" i="14"/>
  <c r="S24" i="14"/>
  <c r="S59" i="14"/>
  <c r="S42" i="14"/>
  <c r="S15" i="14"/>
  <c r="S32" i="14"/>
  <c r="S9" i="14"/>
  <c r="S80" i="14"/>
  <c r="S78" i="14"/>
  <c r="AM5" i="14"/>
  <c r="S17" i="14"/>
  <c r="S75" i="14"/>
  <c r="BG75" i="14"/>
  <c r="CS75" i="14" s="1"/>
  <c r="S83" i="14"/>
  <c r="S10" i="14"/>
  <c r="S79" i="14"/>
  <c r="S48" i="14"/>
  <c r="S7" i="14"/>
  <c r="S72" i="14"/>
  <c r="BG72" i="14"/>
  <c r="CS72" i="14" s="1"/>
  <c r="BG66" i="14"/>
  <c r="CS66" i="14" s="1"/>
  <c r="S73" i="14"/>
  <c r="S33" i="14"/>
  <c r="S71" i="14"/>
  <c r="S30" i="14"/>
  <c r="S58" i="14"/>
  <c r="S76" i="14"/>
  <c r="AM67" i="14"/>
  <c r="S21" i="14"/>
  <c r="BG41" i="14"/>
  <c r="DM44" i="14"/>
  <c r="S56" i="14"/>
  <c r="S5" i="14"/>
  <c r="S65" i="14"/>
  <c r="S50" i="14"/>
  <c r="S14" i="14"/>
  <c r="S46" i="14"/>
  <c r="S16" i="14"/>
  <c r="S77" i="14"/>
  <c r="S66" i="14"/>
  <c r="S41" i="14"/>
  <c r="S43" i="14"/>
  <c r="O70" i="14"/>
  <c r="BD70" i="14"/>
  <c r="CP70" i="14" s="1"/>
  <c r="J70" i="19"/>
  <c r="I113" i="8"/>
  <c r="H113" i="8"/>
  <c r="G113" i="8"/>
  <c r="F113" i="8"/>
  <c r="H108" i="8"/>
  <c r="G108" i="8"/>
  <c r="F108" i="8"/>
  <c r="E108" i="8"/>
  <c r="I108" i="8"/>
  <c r="K128" i="8"/>
  <c r="V5" i="21" l="1"/>
  <c r="BG187" i="14"/>
  <c r="BG189" i="14" s="1"/>
  <c r="CS21" i="14"/>
  <c r="AF41" i="21"/>
  <c r="CS41" i="14"/>
  <c r="BH191" i="14"/>
  <c r="BH193" i="14" s="1"/>
  <c r="CT24" i="14"/>
  <c r="BG191" i="14"/>
  <c r="BG193" i="14" s="1"/>
  <c r="CS24" i="14"/>
  <c r="CS191" i="14" s="1"/>
  <c r="CS193" i="14" s="1"/>
  <c r="CT187" i="14"/>
  <c r="CT189" i="14" s="1"/>
  <c r="BH187" i="14"/>
  <c r="BH189" i="14" s="1"/>
  <c r="AX30" i="21"/>
  <c r="AC108" i="8"/>
  <c r="AU108" i="8"/>
  <c r="AL108" i="8"/>
  <c r="BE108" i="8"/>
  <c r="AC113" i="8"/>
  <c r="AL113" i="8"/>
  <c r="BE113" i="8"/>
  <c r="AU113" i="8"/>
  <c r="Z108" i="8"/>
  <c r="BB108" i="8"/>
  <c r="AR108" i="8"/>
  <c r="AI108" i="8"/>
  <c r="AA108" i="8"/>
  <c r="BC108" i="8"/>
  <c r="AS108" i="8"/>
  <c r="AJ108" i="8"/>
  <c r="AB108" i="8"/>
  <c r="BD108" i="8"/>
  <c r="AT108" i="8"/>
  <c r="AK108" i="8"/>
  <c r="Y108" i="8"/>
  <c r="AH108" i="8"/>
  <c r="BA108" i="8"/>
  <c r="AQ108" i="8"/>
  <c r="Z113" i="8"/>
  <c r="AR113" i="8"/>
  <c r="AI113" i="8"/>
  <c r="BB113" i="8"/>
  <c r="BC113" i="8"/>
  <c r="AA113" i="8"/>
  <c r="AJ113" i="8"/>
  <c r="AS113" i="8"/>
  <c r="AE128" i="8"/>
  <c r="AN128" i="8"/>
  <c r="AW128" i="8"/>
  <c r="AY128" i="8" s="1"/>
  <c r="BG128" i="8"/>
  <c r="M128" i="8"/>
  <c r="AB113" i="8"/>
  <c r="AK113" i="8"/>
  <c r="BD113" i="8"/>
  <c r="AT113" i="8"/>
  <c r="BI60" i="21"/>
  <c r="BI24" i="21"/>
  <c r="BI191" i="21" s="1"/>
  <c r="BI193" i="21" s="1"/>
  <c r="BI18" i="21"/>
  <c r="BI34" i="21"/>
  <c r="AO72" i="21"/>
  <c r="V34" i="21"/>
  <c r="V44" i="21"/>
  <c r="V53" i="21" s="1"/>
  <c r="V191" i="21"/>
  <c r="AO18" i="21"/>
  <c r="V18" i="21"/>
  <c r="V60" i="21"/>
  <c r="V67" i="21"/>
  <c r="BI81" i="21"/>
  <c r="AF7" i="21"/>
  <c r="AX7" i="21" s="1"/>
  <c r="AF17" i="21"/>
  <c r="AX17" i="21" s="1"/>
  <c r="V30" i="21"/>
  <c r="V9" i="21"/>
  <c r="AO33" i="21"/>
  <c r="AX33" i="21" s="1"/>
  <c r="AO56" i="21"/>
  <c r="AX56" i="21" s="1"/>
  <c r="AO187" i="21"/>
  <c r="AO189" i="21" s="1"/>
  <c r="S25" i="14"/>
  <c r="AX80" i="21"/>
  <c r="AO41" i="21"/>
  <c r="AX41" i="21" s="1"/>
  <c r="BI21" i="21"/>
  <c r="CS18" i="14"/>
  <c r="L71" i="21"/>
  <c r="V70" i="21"/>
  <c r="T66" i="14"/>
  <c r="L66" i="21" s="1"/>
  <c r="BI66" i="21"/>
  <c r="BI67" i="21" s="1"/>
  <c r="AX14" i="21"/>
  <c r="AO75" i="21"/>
  <c r="BI44" i="21"/>
  <c r="BI53" i="21" s="1"/>
  <c r="BI63" i="21"/>
  <c r="CS187" i="14"/>
  <c r="CS189" i="14" s="1"/>
  <c r="AF21" i="21"/>
  <c r="AF24" i="21"/>
  <c r="CS5" i="14"/>
  <c r="AX73" i="21"/>
  <c r="AO11" i="21"/>
  <c r="AN8" i="14"/>
  <c r="V21" i="21"/>
  <c r="AO32" i="21"/>
  <c r="AX42" i="21"/>
  <c r="AF43" i="21"/>
  <c r="AF51" i="21"/>
  <c r="AX51" i="21" s="1"/>
  <c r="AF46" i="21"/>
  <c r="AF72" i="21"/>
  <c r="CS60" i="14"/>
  <c r="AX50" i="21"/>
  <c r="AF75" i="21"/>
  <c r="AF66" i="21"/>
  <c r="AX66" i="21" s="1"/>
  <c r="AF77" i="21"/>
  <c r="AX77" i="21" s="1"/>
  <c r="AX71" i="21"/>
  <c r="AD70" i="21"/>
  <c r="AV70" i="21" s="1"/>
  <c r="AF70" i="21"/>
  <c r="AX70" i="21" s="1"/>
  <c r="AF78" i="21"/>
  <c r="AX78" i="21" s="1"/>
  <c r="AF83" i="21"/>
  <c r="AX86" i="21"/>
  <c r="CA44" i="14"/>
  <c r="CA53" i="14" s="1"/>
  <c r="DN60" i="14"/>
  <c r="CT44" i="14"/>
  <c r="CT45" i="14" s="1"/>
  <c r="CA11" i="14"/>
  <c r="T21" i="14"/>
  <c r="T187" i="14" s="1"/>
  <c r="T189" i="14" s="1"/>
  <c r="T23" i="14" s="1"/>
  <c r="T73" i="14"/>
  <c r="L73" i="21" s="1"/>
  <c r="AN44" i="14"/>
  <c r="AN53" i="14" s="1"/>
  <c r="T30" i="14"/>
  <c r="L30" i="21" s="1"/>
  <c r="T9" i="14"/>
  <c r="L9" i="21" s="1"/>
  <c r="CA60" i="14"/>
  <c r="CA61" i="14" s="1"/>
  <c r="T7" i="14"/>
  <c r="T8" i="14" s="1"/>
  <c r="DN25" i="14"/>
  <c r="T86" i="14"/>
  <c r="L86" i="21" s="1"/>
  <c r="DN18" i="14"/>
  <c r="T79" i="14"/>
  <c r="L79" i="21" s="1"/>
  <c r="BH79" i="14"/>
  <c r="CT79" i="14" s="1"/>
  <c r="DN5" i="14"/>
  <c r="BI5" i="21" s="1"/>
  <c r="BI11" i="21" s="1"/>
  <c r="BH58" i="14"/>
  <c r="CT58" i="14" s="1"/>
  <c r="DN81" i="14"/>
  <c r="T83" i="14"/>
  <c r="L83" i="21" s="1"/>
  <c r="AN191" i="14"/>
  <c r="AN193" i="14" s="1"/>
  <c r="AN26" i="14" s="1"/>
  <c r="AN25" i="14"/>
  <c r="T42" i="14"/>
  <c r="L42" i="21" s="1"/>
  <c r="CA18" i="14"/>
  <c r="BH44" i="14"/>
  <c r="BH52" i="14" s="1"/>
  <c r="T48" i="14"/>
  <c r="L48" i="21" s="1"/>
  <c r="BH48" i="14"/>
  <c r="CT48" i="14" s="1"/>
  <c r="T10" i="14"/>
  <c r="L10" i="21" s="1"/>
  <c r="BH10" i="14"/>
  <c r="CT10" i="14" s="1"/>
  <c r="CA67" i="14"/>
  <c r="T80" i="14"/>
  <c r="L80" i="21" s="1"/>
  <c r="DN34" i="14"/>
  <c r="BH32" i="14"/>
  <c r="T16" i="14"/>
  <c r="L16" i="21" s="1"/>
  <c r="AN18" i="14"/>
  <c r="BH5" i="14"/>
  <c r="AF5" i="21" s="1"/>
  <c r="BH27" i="14"/>
  <c r="T78" i="14"/>
  <c r="L78" i="21" s="1"/>
  <c r="T59" i="14"/>
  <c r="L59" i="21" s="1"/>
  <c r="AN60" i="14"/>
  <c r="BH15" i="14"/>
  <c r="CT15" i="14" s="1"/>
  <c r="AN34" i="14"/>
  <c r="BH65" i="14"/>
  <c r="CT65" i="14" s="1"/>
  <c r="BG18" i="14"/>
  <c r="BG60" i="14"/>
  <c r="BG34" i="14"/>
  <c r="CS34" i="14"/>
  <c r="DM25" i="14"/>
  <c r="BG27" i="14"/>
  <c r="AM44" i="14"/>
  <c r="AM53" i="14" s="1"/>
  <c r="AM191" i="14"/>
  <c r="DM34" i="14"/>
  <c r="AM25" i="14"/>
  <c r="DM60" i="14"/>
  <c r="DM81" i="14"/>
  <c r="AM60" i="14"/>
  <c r="BZ11" i="14"/>
  <c r="DM11" i="14"/>
  <c r="DM12" i="14" s="1"/>
  <c r="DM22" i="14"/>
  <c r="BG11" i="14"/>
  <c r="DM27" i="14"/>
  <c r="DM28" i="14" s="1"/>
  <c r="BZ18" i="14"/>
  <c r="T70" i="14"/>
  <c r="T77" i="14"/>
  <c r="L77" i="21" s="1"/>
  <c r="T51" i="14"/>
  <c r="DM53" i="14"/>
  <c r="T32" i="14"/>
  <c r="L32" i="21" s="1"/>
  <c r="T15" i="14"/>
  <c r="L15" i="21" s="1"/>
  <c r="T72" i="14"/>
  <c r="L72" i="21" s="1"/>
  <c r="T41" i="14"/>
  <c r="L41" i="21" s="1"/>
  <c r="T76" i="14"/>
  <c r="L76" i="21" s="1"/>
  <c r="T46" i="14"/>
  <c r="L46" i="21" s="1"/>
  <c r="T14" i="14"/>
  <c r="L14" i="21" s="1"/>
  <c r="T75" i="14"/>
  <c r="L75" i="21" s="1"/>
  <c r="BZ34" i="14"/>
  <c r="BZ81" i="14"/>
  <c r="T43" i="14"/>
  <c r="L43" i="21" s="1"/>
  <c r="T33" i="14"/>
  <c r="L33" i="21" s="1"/>
  <c r="T17" i="14"/>
  <c r="L17" i="21" s="1"/>
  <c r="T56" i="14"/>
  <c r="L56" i="21" s="1"/>
  <c r="S22" i="14"/>
  <c r="T50" i="14"/>
  <c r="L50" i="21" s="1"/>
  <c r="DM18" i="14"/>
  <c r="S191" i="14"/>
  <c r="S193" i="14" s="1"/>
  <c r="S26" i="14" s="1"/>
  <c r="S6" i="14"/>
  <c r="S11" i="14"/>
  <c r="AM18" i="14"/>
  <c r="BG63" i="14"/>
  <c r="BG44" i="14"/>
  <c r="AM6" i="14"/>
  <c r="AM11" i="14"/>
  <c r="AM12" i="14" s="1"/>
  <c r="S63" i="14"/>
  <c r="S44" i="14"/>
  <c r="S169" i="14"/>
  <c r="S70" i="14"/>
  <c r="S60" i="14"/>
  <c r="S67" i="14"/>
  <c r="S18" i="14"/>
  <c r="BZ27" i="14"/>
  <c r="AM81" i="14"/>
  <c r="BG67" i="14"/>
  <c r="DM63" i="14"/>
  <c r="AM34" i="14"/>
  <c r="AM187" i="14"/>
  <c r="AM27" i="14"/>
  <c r="AM28" i="14" s="1"/>
  <c r="AM22" i="14"/>
  <c r="BG81" i="14"/>
  <c r="BZ44" i="14"/>
  <c r="BZ53" i="14" s="1"/>
  <c r="BZ62" i="14" s="1"/>
  <c r="BZ63" i="14"/>
  <c r="S27" i="14"/>
  <c r="S187" i="14"/>
  <c r="S189" i="14" s="1"/>
  <c r="S23" i="14" s="1"/>
  <c r="S34" i="14"/>
  <c r="S51" i="14"/>
  <c r="U70" i="8"/>
  <c r="AN70" i="8"/>
  <c r="BG70" i="8"/>
  <c r="P70" i="14"/>
  <c r="J70" i="21" s="1"/>
  <c r="AE70" i="8"/>
  <c r="K70" i="8"/>
  <c r="R101" i="14"/>
  <c r="W101" i="14" s="1"/>
  <c r="C97" i="8"/>
  <c r="C98" i="8"/>
  <c r="C99" i="8"/>
  <c r="C100" i="8"/>
  <c r="C101" i="8"/>
  <c r="C102" i="8"/>
  <c r="C96" i="8"/>
  <c r="C97" i="19"/>
  <c r="C98" i="19"/>
  <c r="C99" i="19"/>
  <c r="C100" i="19"/>
  <c r="C101" i="19"/>
  <c r="C102" i="19"/>
  <c r="C96" i="19"/>
  <c r="C97" i="21"/>
  <c r="C98" i="21"/>
  <c r="C99" i="21"/>
  <c r="C100" i="21"/>
  <c r="C101" i="21"/>
  <c r="C102" i="21"/>
  <c r="C96" i="21"/>
  <c r="S47" i="14" l="1"/>
  <c r="AF32" i="21"/>
  <c r="AX32" i="21" s="1"/>
  <c r="CT32" i="14"/>
  <c r="AO24" i="21"/>
  <c r="AO191" i="21" s="1"/>
  <c r="AO193" i="21" s="1"/>
  <c r="CA191" i="14"/>
  <c r="CA193" i="14" s="1"/>
  <c r="CS11" i="14"/>
  <c r="AX72" i="21"/>
  <c r="AO81" i="21"/>
  <c r="CS67" i="14"/>
  <c r="BI62" i="21"/>
  <c r="AN81" i="14"/>
  <c r="AX75" i="21"/>
  <c r="AF15" i="21"/>
  <c r="AX15" i="21" s="1"/>
  <c r="CA27" i="14"/>
  <c r="AO34" i="21"/>
  <c r="DN67" i="14"/>
  <c r="AN11" i="14"/>
  <c r="AN12" i="14" s="1"/>
  <c r="CT191" i="14"/>
  <c r="CT193" i="14" s="1"/>
  <c r="AF34" i="21"/>
  <c r="AX5" i="21"/>
  <c r="L18" i="21"/>
  <c r="L34" i="21"/>
  <c r="DM62" i="14"/>
  <c r="AN27" i="14"/>
  <c r="AN28" i="14" s="1"/>
  <c r="AN22" i="14"/>
  <c r="AX24" i="21"/>
  <c r="AF191" i="21"/>
  <c r="AF193" i="21" s="1"/>
  <c r="L7" i="21"/>
  <c r="V187" i="21"/>
  <c r="AN187" i="14"/>
  <c r="AN189" i="14" s="1"/>
  <c r="AN23" i="14" s="1"/>
  <c r="W70" i="21"/>
  <c r="AF10" i="21"/>
  <c r="AX10" i="21" s="1"/>
  <c r="BI187" i="21"/>
  <c r="BI189" i="21" s="1"/>
  <c r="BI27" i="21"/>
  <c r="BI35" i="21" s="1"/>
  <c r="L21" i="21"/>
  <c r="V62" i="21"/>
  <c r="AO44" i="21"/>
  <c r="AO53" i="21" s="1"/>
  <c r="AO62" i="21" s="1"/>
  <c r="AO63" i="21"/>
  <c r="V27" i="21"/>
  <c r="AF187" i="21"/>
  <c r="AF189" i="21" s="1"/>
  <c r="AX21" i="21"/>
  <c r="AF27" i="21"/>
  <c r="V11" i="21"/>
  <c r="V81" i="21"/>
  <c r="L44" i="21"/>
  <c r="L49" i="21" s="1"/>
  <c r="AF79" i="21"/>
  <c r="AX79" i="21" s="1"/>
  <c r="AF65" i="21"/>
  <c r="AX65" i="21" s="1"/>
  <c r="AX43" i="21"/>
  <c r="AF44" i="21"/>
  <c r="AF47" i="21" s="1"/>
  <c r="AF48" i="21"/>
  <c r="AX46" i="21"/>
  <c r="AZ70" i="21"/>
  <c r="AF58" i="21"/>
  <c r="L51" i="21"/>
  <c r="S81" i="14"/>
  <c r="L70" i="21"/>
  <c r="M70" i="21" s="1"/>
  <c r="AX83" i="21"/>
  <c r="CT47" i="14"/>
  <c r="T22" i="14"/>
  <c r="AN62" i="14"/>
  <c r="CA34" i="14"/>
  <c r="BG35" i="14"/>
  <c r="CA63" i="14"/>
  <c r="T81" i="14"/>
  <c r="AN19" i="14"/>
  <c r="CT27" i="14"/>
  <c r="T24" i="14"/>
  <c r="L24" i="21" s="1"/>
  <c r="T58" i="14"/>
  <c r="BH81" i="14"/>
  <c r="T44" i="14"/>
  <c r="T47" i="14" s="1"/>
  <c r="T169" i="14"/>
  <c r="BH53" i="14"/>
  <c r="BH45" i="14"/>
  <c r="CT81" i="14"/>
  <c r="CT67" i="14"/>
  <c r="BH67" i="14"/>
  <c r="CT5" i="14"/>
  <c r="BH11" i="14"/>
  <c r="DN6" i="14"/>
  <c r="DN11" i="14"/>
  <c r="DN12" i="14" s="1"/>
  <c r="AN67" i="14"/>
  <c r="CT18" i="14"/>
  <c r="BH18" i="14"/>
  <c r="T65" i="14"/>
  <c r="T5" i="14"/>
  <c r="L5" i="21" s="1"/>
  <c r="CT49" i="14"/>
  <c r="BH49" i="14"/>
  <c r="DN44" i="14"/>
  <c r="DN53" i="14" s="1"/>
  <c r="DN62" i="14" s="1"/>
  <c r="DN63" i="14"/>
  <c r="BH47" i="14"/>
  <c r="T18" i="14"/>
  <c r="BH60" i="14"/>
  <c r="BH63" i="14"/>
  <c r="DN27" i="14"/>
  <c r="DN28" i="14" s="1"/>
  <c r="DN22" i="14"/>
  <c r="CA62" i="14"/>
  <c r="T34" i="14"/>
  <c r="BH34" i="14"/>
  <c r="CA81" i="14"/>
  <c r="BZ35" i="14"/>
  <c r="BZ82" i="14" s="1"/>
  <c r="AM62" i="14"/>
  <c r="DM35" i="14"/>
  <c r="DM36" i="14" s="1"/>
  <c r="CS81" i="14"/>
  <c r="CS27" i="14"/>
  <c r="CS63" i="14"/>
  <c r="CS44" i="14"/>
  <c r="S12" i="14"/>
  <c r="S28" i="14"/>
  <c r="S45" i="14"/>
  <c r="S53" i="14"/>
  <c r="S49" i="14"/>
  <c r="S35" i="14"/>
  <c r="AM35" i="14"/>
  <c r="BG49" i="14"/>
  <c r="BG53" i="14"/>
  <c r="BG62" i="14" s="1"/>
  <c r="BG45" i="14"/>
  <c r="BG52" i="14"/>
  <c r="BG47" i="14"/>
  <c r="AW70" i="8"/>
  <c r="BF70" i="14"/>
  <c r="CR70" i="14" s="1"/>
  <c r="AO27" i="21" l="1"/>
  <c r="CS35" i="14"/>
  <c r="AF18" i="21"/>
  <c r="CA35" i="14"/>
  <c r="BH54" i="14"/>
  <c r="AO35" i="21"/>
  <c r="AO82" i="21" s="1"/>
  <c r="AN35" i="14"/>
  <c r="AN82" i="14" s="1"/>
  <c r="AF81" i="21"/>
  <c r="AX81" i="21"/>
  <c r="V35" i="21"/>
  <c r="V82" i="21" s="1"/>
  <c r="L47" i="21"/>
  <c r="BG82" i="14"/>
  <c r="BG84" i="14" s="1"/>
  <c r="AX18" i="21"/>
  <c r="AF53" i="21"/>
  <c r="L6" i="21"/>
  <c r="L19" i="21"/>
  <c r="L11" i="21"/>
  <c r="L8" i="21"/>
  <c r="L22" i="21"/>
  <c r="L187" i="21"/>
  <c r="L189" i="21" s="1"/>
  <c r="L23" i="21" s="1"/>
  <c r="L53" i="21"/>
  <c r="AX187" i="21"/>
  <c r="AX189" i="21" s="1"/>
  <c r="AX27" i="21"/>
  <c r="AX11" i="21"/>
  <c r="AX191" i="21"/>
  <c r="AX193" i="21" s="1"/>
  <c r="BI82" i="21"/>
  <c r="BI36" i="21"/>
  <c r="BI69" i="21"/>
  <c r="AF11" i="21"/>
  <c r="AX34" i="21"/>
  <c r="L27" i="21"/>
  <c r="L191" i="21"/>
  <c r="L193" i="21" s="1"/>
  <c r="L26" i="21" s="1"/>
  <c r="L25" i="21"/>
  <c r="AF67" i="21"/>
  <c r="AF45" i="21"/>
  <c r="AF52" i="21"/>
  <c r="AX44" i="21"/>
  <c r="AX45" i="21" s="1"/>
  <c r="L45" i="21"/>
  <c r="T60" i="14"/>
  <c r="L58" i="21"/>
  <c r="L81" i="21"/>
  <c r="T67" i="14"/>
  <c r="L65" i="21"/>
  <c r="AX58" i="21"/>
  <c r="AF60" i="21"/>
  <c r="AF63" i="21"/>
  <c r="AX48" i="21"/>
  <c r="AF49" i="21"/>
  <c r="AX67" i="21"/>
  <c r="T49" i="14"/>
  <c r="BZ69" i="14"/>
  <c r="BZ74" i="14" s="1"/>
  <c r="DM69" i="14"/>
  <c r="DM82" i="14"/>
  <c r="DM85" i="14" s="1"/>
  <c r="BH62" i="14"/>
  <c r="T6" i="14"/>
  <c r="T11" i="14"/>
  <c r="T12" i="14" s="1"/>
  <c r="CT11" i="14"/>
  <c r="CT53" i="14"/>
  <c r="T53" i="14"/>
  <c r="T45" i="14"/>
  <c r="T19" i="14"/>
  <c r="T191" i="14"/>
  <c r="T193" i="14" s="1"/>
  <c r="T26" i="14" s="1"/>
  <c r="T25" i="14"/>
  <c r="T27" i="14"/>
  <c r="T28" i="14" s="1"/>
  <c r="CT34" i="14"/>
  <c r="CT60" i="14"/>
  <c r="CT63" i="14"/>
  <c r="CA69" i="14"/>
  <c r="CA74" i="14" s="1"/>
  <c r="CA82" i="14"/>
  <c r="DN35" i="14"/>
  <c r="BH35" i="14"/>
  <c r="T63" i="14"/>
  <c r="BG69" i="14"/>
  <c r="BG74" i="14" s="1"/>
  <c r="BZ85" i="14"/>
  <c r="BZ84" i="14"/>
  <c r="CS53" i="14"/>
  <c r="CS45" i="14"/>
  <c r="CS49" i="14"/>
  <c r="CS47" i="14"/>
  <c r="BG54" i="14"/>
  <c r="S36" i="14"/>
  <c r="AM82" i="14"/>
  <c r="AM36" i="14"/>
  <c r="AM69" i="14"/>
  <c r="AM74" i="14" s="1"/>
  <c r="DM37" i="14"/>
  <c r="S62" i="14"/>
  <c r="R70" i="14"/>
  <c r="W70" i="14" s="1"/>
  <c r="AL184" i="14"/>
  <c r="AQ184" i="14" s="1"/>
  <c r="AL183" i="14"/>
  <c r="AQ183" i="14" s="1"/>
  <c r="AL179" i="14"/>
  <c r="AQ179" i="14" s="1"/>
  <c r="AL178" i="14"/>
  <c r="AQ178" i="14" s="1"/>
  <c r="AL176" i="14"/>
  <c r="AQ176" i="14" s="1"/>
  <c r="AL175" i="14"/>
  <c r="AQ175" i="14" s="1"/>
  <c r="AL168" i="14"/>
  <c r="AQ168" i="14" s="1"/>
  <c r="AL167" i="14"/>
  <c r="AQ167" i="14" s="1"/>
  <c r="AL160" i="14"/>
  <c r="AQ160" i="14" s="1"/>
  <c r="AL159" i="14"/>
  <c r="AQ159" i="14" s="1"/>
  <c r="AL158" i="14"/>
  <c r="AQ158" i="14" s="1"/>
  <c r="AL157" i="14"/>
  <c r="AQ157" i="14" s="1"/>
  <c r="AL154" i="14"/>
  <c r="AL150" i="14"/>
  <c r="AL149" i="14"/>
  <c r="AL144" i="14"/>
  <c r="AL141" i="14"/>
  <c r="AQ141" i="14" s="1"/>
  <c r="AL140" i="14"/>
  <c r="AQ140" i="14" s="1"/>
  <c r="AL139" i="14"/>
  <c r="AQ139" i="14" s="1"/>
  <c r="AL138" i="14"/>
  <c r="AQ138" i="14" s="1"/>
  <c r="AL137" i="14"/>
  <c r="AQ137" i="14" s="1"/>
  <c r="AL136" i="14"/>
  <c r="AQ136" i="14" s="1"/>
  <c r="AL128" i="14"/>
  <c r="AQ128" i="14" s="1"/>
  <c r="AL127" i="14"/>
  <c r="AQ127" i="14" s="1"/>
  <c r="AL126" i="14"/>
  <c r="AQ126" i="14" s="1"/>
  <c r="AL123" i="14"/>
  <c r="AL115" i="14"/>
  <c r="AL114" i="14"/>
  <c r="AL112" i="14"/>
  <c r="AL110" i="14"/>
  <c r="AQ110" i="14" s="1"/>
  <c r="AL109" i="14"/>
  <c r="AQ109" i="14" s="1"/>
  <c r="AL107" i="14"/>
  <c r="AQ107" i="14" s="1"/>
  <c r="BG85" i="14" l="1"/>
  <c r="BG87" i="14" s="1"/>
  <c r="AO69" i="21"/>
  <c r="AO74" i="21" s="1"/>
  <c r="AF35" i="21"/>
  <c r="AN69" i="14"/>
  <c r="AN74" i="14" s="1"/>
  <c r="AN36" i="14"/>
  <c r="AN37" i="14" s="1"/>
  <c r="V69" i="21"/>
  <c r="V74" i="21" s="1"/>
  <c r="V36" i="21"/>
  <c r="T62" i="14"/>
  <c r="AF54" i="21"/>
  <c r="AF62" i="21"/>
  <c r="L12" i="21"/>
  <c r="AO85" i="21"/>
  <c r="AO84" i="21"/>
  <c r="V85" i="21"/>
  <c r="V92" i="21" s="1"/>
  <c r="V84" i="21"/>
  <c r="L28" i="21"/>
  <c r="BI85" i="21"/>
  <c r="BI84" i="21"/>
  <c r="AX35" i="21"/>
  <c r="L35" i="21"/>
  <c r="AX47" i="21"/>
  <c r="L67" i="21"/>
  <c r="L60" i="21"/>
  <c r="L63" i="21"/>
  <c r="AX49" i="21"/>
  <c r="AX53" i="21"/>
  <c r="AX60" i="21"/>
  <c r="AX63" i="21"/>
  <c r="DM84" i="14"/>
  <c r="CT35" i="14"/>
  <c r="CT62" i="14"/>
  <c r="DN36" i="14"/>
  <c r="DN82" i="14"/>
  <c r="DN69" i="14"/>
  <c r="BH82" i="14"/>
  <c r="BH69" i="14"/>
  <c r="BH74" i="14" s="1"/>
  <c r="CA85" i="14"/>
  <c r="CA84" i="14"/>
  <c r="AN85" i="14"/>
  <c r="AN92" i="14" s="1"/>
  <c r="AN84" i="14"/>
  <c r="T35" i="14"/>
  <c r="S69" i="14"/>
  <c r="DM88" i="14"/>
  <c r="DM87" i="14"/>
  <c r="S37" i="14"/>
  <c r="S82" i="14"/>
  <c r="CS62" i="14"/>
  <c r="BZ88" i="14"/>
  <c r="BZ87" i="14"/>
  <c r="AM37" i="14"/>
  <c r="AM84" i="14"/>
  <c r="AM85" i="14"/>
  <c r="AM92" i="14" s="1"/>
  <c r="DM38" i="14"/>
  <c r="BG88" i="14" l="1"/>
  <c r="BG91" i="14" s="1"/>
  <c r="BG117" i="14" s="1"/>
  <c r="AN38" i="14"/>
  <c r="AF82" i="21"/>
  <c r="AF84" i="21" s="1"/>
  <c r="AF69" i="21"/>
  <c r="AF74" i="21" s="1"/>
  <c r="AO88" i="21"/>
  <c r="AO87" i="21"/>
  <c r="L36" i="21"/>
  <c r="V88" i="21"/>
  <c r="V87" i="21"/>
  <c r="BI88" i="21"/>
  <c r="BI87" i="21"/>
  <c r="AX62" i="21"/>
  <c r="AX69" i="21" s="1"/>
  <c r="AX74" i="21" s="1"/>
  <c r="L62" i="21"/>
  <c r="L57" i="21" s="1"/>
  <c r="DM89" i="14"/>
  <c r="CT82" i="14"/>
  <c r="CT85" i="14" s="1"/>
  <c r="CT69" i="14"/>
  <c r="CT74" i="14" s="1"/>
  <c r="BH85" i="14"/>
  <c r="BH84" i="14"/>
  <c r="DN85" i="14"/>
  <c r="DN84" i="14"/>
  <c r="T82" i="14"/>
  <c r="T36" i="14"/>
  <c r="T69" i="14"/>
  <c r="T74" i="14" s="1"/>
  <c r="DN37" i="14"/>
  <c r="DN38" i="14"/>
  <c r="CA88" i="14"/>
  <c r="CA87" i="14"/>
  <c r="AN88" i="14"/>
  <c r="AN87" i="14"/>
  <c r="AM87" i="14"/>
  <c r="AM88" i="14"/>
  <c r="BZ89" i="14"/>
  <c r="BZ91" i="14"/>
  <c r="BZ117" i="14" s="1"/>
  <c r="BZ90" i="14"/>
  <c r="BZ116" i="14" s="1"/>
  <c r="CS82" i="14"/>
  <c r="CS69" i="14"/>
  <c r="S74" i="14"/>
  <c r="S85" i="14"/>
  <c r="S84" i="14"/>
  <c r="I97" i="8"/>
  <c r="J97" i="8"/>
  <c r="K97" i="8"/>
  <c r="U97" i="8" s="1"/>
  <c r="F97" i="19"/>
  <c r="H97" i="19"/>
  <c r="J97" i="19"/>
  <c r="F97" i="21"/>
  <c r="H97" i="21"/>
  <c r="J97" i="21"/>
  <c r="BG89" i="14" l="1"/>
  <c r="AF85" i="21"/>
  <c r="AF88" i="21" s="1"/>
  <c r="BG90" i="14"/>
  <c r="BG116" i="14" s="1"/>
  <c r="X69" i="14"/>
  <c r="AO89" i="21"/>
  <c r="V89" i="21"/>
  <c r="L37" i="21"/>
  <c r="L38" i="21"/>
  <c r="AX82" i="21"/>
  <c r="AX85" i="21" s="1"/>
  <c r="L82" i="21"/>
  <c r="L69" i="21"/>
  <c r="CT84" i="14"/>
  <c r="BH88" i="14"/>
  <c r="BH87" i="14"/>
  <c r="DN88" i="14"/>
  <c r="DN87" i="14"/>
  <c r="CA89" i="14"/>
  <c r="CA90" i="14"/>
  <c r="CA116" i="14" s="1"/>
  <c r="CA91" i="14"/>
  <c r="CA117" i="14" s="1"/>
  <c r="T37" i="14"/>
  <c r="T38" i="14"/>
  <c r="T85" i="14"/>
  <c r="T84" i="14"/>
  <c r="AN91" i="14"/>
  <c r="AN117" i="14" s="1"/>
  <c r="AN89" i="14"/>
  <c r="AN90" i="14"/>
  <c r="AN116" i="14" s="1"/>
  <c r="CT88" i="14"/>
  <c r="CT87" i="14"/>
  <c r="CS74" i="14"/>
  <c r="S88" i="14"/>
  <c r="S87" i="14"/>
  <c r="CS85" i="14"/>
  <c r="CS84" i="14"/>
  <c r="AM89" i="14"/>
  <c r="AF87" i="21" l="1"/>
  <c r="AX84" i="21"/>
  <c r="L74" i="21"/>
  <c r="L85" i="21"/>
  <c r="L84" i="21"/>
  <c r="DN89" i="14"/>
  <c r="BI89" i="21"/>
  <c r="AF89" i="21"/>
  <c r="AX88" i="21"/>
  <c r="AX89" i="21" s="1"/>
  <c r="AX87" i="21"/>
  <c r="BH91" i="14"/>
  <c r="BH117" i="14" s="1"/>
  <c r="BH90" i="14"/>
  <c r="BH116" i="14" s="1"/>
  <c r="BH89" i="14"/>
  <c r="CT90" i="14"/>
  <c r="CT116" i="14" s="1"/>
  <c r="CT91" i="14"/>
  <c r="CT117" i="14" s="1"/>
  <c r="CT89" i="14"/>
  <c r="T88" i="14"/>
  <c r="T87" i="14"/>
  <c r="CS88" i="14"/>
  <c r="CS87" i="14"/>
  <c r="S89" i="14"/>
  <c r="S91" i="14"/>
  <c r="S117" i="14" s="1"/>
  <c r="S95" i="14"/>
  <c r="S90" i="14"/>
  <c r="S116" i="14" s="1"/>
  <c r="L88" i="21" l="1"/>
  <c r="L87" i="21"/>
  <c r="T90" i="14"/>
  <c r="T116" i="14" s="1"/>
  <c r="T95" i="14"/>
  <c r="T103" i="14" s="1"/>
  <c r="T89" i="14"/>
  <c r="T91" i="14"/>
  <c r="T117" i="14" s="1"/>
  <c r="AM193" i="14"/>
  <c r="AM26" i="14" s="1"/>
  <c r="AM189" i="14"/>
  <c r="AM23" i="14" s="1"/>
  <c r="CS90" i="14"/>
  <c r="CS116" i="14" s="1"/>
  <c r="CS91" i="14"/>
  <c r="CS117" i="14" s="1"/>
  <c r="CS89" i="14"/>
  <c r="S103" i="14"/>
  <c r="AL188" i="14"/>
  <c r="AL192" i="14"/>
  <c r="L89" i="21" l="1"/>
  <c r="L91" i="21"/>
  <c r="L117" i="21" s="1"/>
  <c r="L90" i="21"/>
  <c r="L116" i="21" s="1"/>
  <c r="L95" i="21"/>
  <c r="O180" i="8" l="1"/>
  <c r="P180" i="8"/>
  <c r="Q180" i="8"/>
  <c r="R180" i="8"/>
  <c r="S180" i="8"/>
  <c r="K100" i="8"/>
  <c r="K102" i="8"/>
  <c r="K101" i="8"/>
  <c r="K98" i="8"/>
  <c r="K96" i="8"/>
  <c r="K185" i="8" l="1"/>
  <c r="K184" i="8"/>
  <c r="K179" i="8"/>
  <c r="K180" i="8"/>
  <c r="K177" i="8"/>
  <c r="K176" i="8"/>
  <c r="K169" i="8"/>
  <c r="K168" i="8"/>
  <c r="K159" i="8"/>
  <c r="K160" i="8"/>
  <c r="K161" i="8"/>
  <c r="K158" i="8"/>
  <c r="K155" i="8"/>
  <c r="K150" i="8"/>
  <c r="K149" i="8"/>
  <c r="K144" i="8"/>
  <c r="K137" i="8"/>
  <c r="K138" i="8"/>
  <c r="K139" i="8"/>
  <c r="K140" i="8"/>
  <c r="K141" i="8"/>
  <c r="K136" i="8"/>
  <c r="K127" i="8"/>
  <c r="K126" i="8"/>
  <c r="K123" i="8"/>
  <c r="K115" i="8"/>
  <c r="K114" i="8"/>
  <c r="K112" i="8"/>
  <c r="K110" i="8"/>
  <c r="K109" i="8"/>
  <c r="K107" i="8"/>
  <c r="BB3" i="8"/>
  <c r="BC3" i="8"/>
  <c r="BD3" i="8"/>
  <c r="BE3" i="8"/>
  <c r="BF3" i="8"/>
  <c r="BG3" i="8"/>
  <c r="AR3" i="8"/>
  <c r="AS3" i="8"/>
  <c r="AT3" i="8"/>
  <c r="AU3" i="8"/>
  <c r="AV3" i="8"/>
  <c r="AW3" i="8"/>
  <c r="AY3" i="8"/>
  <c r="AI3" i="8"/>
  <c r="AJ3" i="8"/>
  <c r="AK3" i="8"/>
  <c r="AL3" i="8"/>
  <c r="AM3" i="8"/>
  <c r="AN3" i="8"/>
  <c r="Z3" i="8"/>
  <c r="AA3" i="8"/>
  <c r="AB3" i="8"/>
  <c r="AC3" i="8"/>
  <c r="AD3" i="8"/>
  <c r="AE3" i="8"/>
  <c r="BA3" i="8"/>
  <c r="AQ3" i="8"/>
  <c r="AH3" i="8"/>
  <c r="Y3" i="8"/>
  <c r="P3" i="8"/>
  <c r="Q3" i="8"/>
  <c r="R3" i="8"/>
  <c r="S3" i="8"/>
  <c r="T3" i="8"/>
  <c r="U3" i="8"/>
  <c r="W3" i="8"/>
  <c r="O3" i="8"/>
  <c r="AE112" i="8" l="1"/>
  <c r="BG112" i="8"/>
  <c r="AW112" i="8"/>
  <c r="AN112" i="8"/>
  <c r="AE141" i="8"/>
  <c r="BG141" i="8"/>
  <c r="AN141" i="8"/>
  <c r="AW141" i="8"/>
  <c r="AY141" i="8" s="1"/>
  <c r="M141" i="8"/>
  <c r="K154" i="8"/>
  <c r="M154" i="8" s="1"/>
  <c r="AE155" i="8"/>
  <c r="AE154" i="8" s="1"/>
  <c r="BG155" i="8"/>
  <c r="BG154" i="8" s="1"/>
  <c r="AW155" i="8"/>
  <c r="AW154" i="8" s="1"/>
  <c r="AN155" i="8"/>
  <c r="AN154" i="8" s="1"/>
  <c r="AE177" i="8"/>
  <c r="BG177" i="8"/>
  <c r="AW177" i="8"/>
  <c r="AY177" i="8" s="1"/>
  <c r="AN177" i="8"/>
  <c r="M177" i="8"/>
  <c r="AE114" i="8"/>
  <c r="BG114" i="8"/>
  <c r="AW114" i="8"/>
  <c r="AN114" i="8"/>
  <c r="AE140" i="8"/>
  <c r="BG140" i="8"/>
  <c r="AW140" i="8"/>
  <c r="AY140" i="8" s="1"/>
  <c r="AN140" i="8"/>
  <c r="M140" i="8"/>
  <c r="AE158" i="8"/>
  <c r="AW158" i="8"/>
  <c r="AN158" i="8"/>
  <c r="BG158" i="8"/>
  <c r="M158" i="8"/>
  <c r="AE115" i="8"/>
  <c r="AN115" i="8"/>
  <c r="BG115" i="8"/>
  <c r="AW115" i="8"/>
  <c r="AE139" i="8"/>
  <c r="AW139" i="8"/>
  <c r="AY139" i="8" s="1"/>
  <c r="BG139" i="8"/>
  <c r="AN139" i="8"/>
  <c r="M139" i="8"/>
  <c r="AE161" i="8"/>
  <c r="AW161" i="8"/>
  <c r="AY161" i="8" s="1"/>
  <c r="AN161" i="8"/>
  <c r="BG161" i="8"/>
  <c r="M161" i="8"/>
  <c r="AE180" i="8"/>
  <c r="AW180" i="8"/>
  <c r="AY180" i="8" s="1"/>
  <c r="BG180" i="8"/>
  <c r="AN180" i="8"/>
  <c r="M180" i="8"/>
  <c r="K122" i="8"/>
  <c r="BG123" i="8"/>
  <c r="BG122" i="8" s="1"/>
  <c r="AE123" i="8"/>
  <c r="AE122" i="8" s="1"/>
  <c r="AN123" i="8"/>
  <c r="AN122" i="8" s="1"/>
  <c r="AW123" i="8"/>
  <c r="AW122" i="8" s="1"/>
  <c r="AY122" i="8" s="1"/>
  <c r="AE138" i="8"/>
  <c r="AW138" i="8"/>
  <c r="AY138" i="8" s="1"/>
  <c r="BG138" i="8"/>
  <c r="AN138" i="8"/>
  <c r="M138" i="8"/>
  <c r="AE160" i="8"/>
  <c r="AW160" i="8"/>
  <c r="AY160" i="8" s="1"/>
  <c r="AN160" i="8"/>
  <c r="BG160" i="8"/>
  <c r="M160" i="8"/>
  <c r="AE179" i="8"/>
  <c r="BG179" i="8"/>
  <c r="AW179" i="8"/>
  <c r="AY179" i="8" s="1"/>
  <c r="AN179" i="8"/>
  <c r="M179" i="8"/>
  <c r="AE126" i="8"/>
  <c r="AW126" i="8"/>
  <c r="BG126" i="8"/>
  <c r="AN126" i="8"/>
  <c r="M126" i="8"/>
  <c r="AE137" i="8"/>
  <c r="AW137" i="8"/>
  <c r="AY137" i="8" s="1"/>
  <c r="BG137" i="8"/>
  <c r="AN137" i="8"/>
  <c r="M137" i="8"/>
  <c r="AE159" i="8"/>
  <c r="AW159" i="8"/>
  <c r="AY159" i="8" s="1"/>
  <c r="AN159" i="8"/>
  <c r="BG159" i="8"/>
  <c r="M159" i="8"/>
  <c r="AE184" i="8"/>
  <c r="AW184" i="8"/>
  <c r="AY184" i="8" s="1"/>
  <c r="BG184" i="8"/>
  <c r="AN184" i="8"/>
  <c r="M184" i="8"/>
  <c r="BG107" i="8"/>
  <c r="AE107" i="8"/>
  <c r="AN107" i="8"/>
  <c r="AW107" i="8"/>
  <c r="AY107" i="8" s="1"/>
  <c r="M107" i="8"/>
  <c r="L90" i="8"/>
  <c r="L116" i="8" s="1"/>
  <c r="AE127" i="8"/>
  <c r="AW127" i="8"/>
  <c r="AY127" i="8" s="1"/>
  <c r="BG127" i="8"/>
  <c r="AN127" i="8"/>
  <c r="M127" i="8"/>
  <c r="K143" i="8"/>
  <c r="M143" i="8" s="1"/>
  <c r="AE144" i="8"/>
  <c r="AE143" i="8" s="1"/>
  <c r="AN144" i="8"/>
  <c r="AN143" i="8" s="1"/>
  <c r="BG144" i="8"/>
  <c r="BG143" i="8" s="1"/>
  <c r="AW144" i="8"/>
  <c r="AW143" i="8" s="1"/>
  <c r="AY143" i="8" s="1"/>
  <c r="AE168" i="8"/>
  <c r="AW168" i="8"/>
  <c r="AN168" i="8"/>
  <c r="BG168" i="8"/>
  <c r="M168" i="8"/>
  <c r="AE185" i="8"/>
  <c r="AW185" i="8"/>
  <c r="AY185" i="8" s="1"/>
  <c r="BG185" i="8"/>
  <c r="AN185" i="8"/>
  <c r="M185" i="8"/>
  <c r="AE109" i="8"/>
  <c r="AF90" i="8" s="1"/>
  <c r="AF116" i="8" s="1"/>
  <c r="AW109" i="8"/>
  <c r="AN109" i="8"/>
  <c r="BG109" i="8"/>
  <c r="M109" i="8"/>
  <c r="AE136" i="8"/>
  <c r="BG136" i="8"/>
  <c r="AN136" i="8"/>
  <c r="AW136" i="8"/>
  <c r="M136" i="8"/>
  <c r="AE149" i="8"/>
  <c r="BG149" i="8"/>
  <c r="AN149" i="8"/>
  <c r="AW149" i="8"/>
  <c r="AE169" i="8"/>
  <c r="AW169" i="8"/>
  <c r="AY169" i="8" s="1"/>
  <c r="AN169" i="8"/>
  <c r="BG169" i="8"/>
  <c r="M169" i="8"/>
  <c r="AE110" i="8"/>
  <c r="AW110" i="8"/>
  <c r="AY110" i="8" s="1"/>
  <c r="AN110" i="8"/>
  <c r="AO90" i="8" s="1"/>
  <c r="BG110" i="8"/>
  <c r="M110" i="8"/>
  <c r="AE150" i="8"/>
  <c r="AW150" i="8"/>
  <c r="BG150" i="8"/>
  <c r="AN150" i="8"/>
  <c r="AE176" i="8"/>
  <c r="BG176" i="8"/>
  <c r="AW176" i="8"/>
  <c r="AN176" i="8"/>
  <c r="M176" i="8"/>
  <c r="K113" i="8"/>
  <c r="K108" i="8"/>
  <c r="U110" i="8"/>
  <c r="W110" i="8" s="1"/>
  <c r="U136" i="8"/>
  <c r="W136" i="8" s="1"/>
  <c r="U149" i="8"/>
  <c r="U169" i="8"/>
  <c r="W169" i="8" s="1"/>
  <c r="U112" i="8"/>
  <c r="U150" i="8"/>
  <c r="U176" i="8"/>
  <c r="U189" i="8"/>
  <c r="U114" i="8"/>
  <c r="U141" i="8"/>
  <c r="W141" i="8" s="1"/>
  <c r="U155" i="8"/>
  <c r="U177" i="8"/>
  <c r="W177" i="8" s="1"/>
  <c r="U193" i="8"/>
  <c r="U115" i="8"/>
  <c r="U140" i="8"/>
  <c r="W140" i="8" s="1"/>
  <c r="U158" i="8"/>
  <c r="W158" i="8" s="1"/>
  <c r="U123" i="8"/>
  <c r="U139" i="8"/>
  <c r="W139" i="8" s="1"/>
  <c r="U161" i="8"/>
  <c r="W161" i="8" s="1"/>
  <c r="U180" i="8"/>
  <c r="W180" i="8" s="1"/>
  <c r="U126" i="8"/>
  <c r="W126" i="8" s="1"/>
  <c r="U138" i="8"/>
  <c r="W138" i="8" s="1"/>
  <c r="U160" i="8"/>
  <c r="W160" i="8" s="1"/>
  <c r="U179" i="8"/>
  <c r="W179" i="8" s="1"/>
  <c r="U107" i="8"/>
  <c r="W107" i="8" s="1"/>
  <c r="U128" i="8"/>
  <c r="W128" i="8" s="1"/>
  <c r="U137" i="8"/>
  <c r="W137" i="8" s="1"/>
  <c r="U159" i="8"/>
  <c r="W159" i="8" s="1"/>
  <c r="U184" i="8"/>
  <c r="W184" i="8" s="1"/>
  <c r="U109" i="8"/>
  <c r="W109" i="8" s="1"/>
  <c r="U127" i="8"/>
  <c r="W127" i="8" s="1"/>
  <c r="U144" i="8"/>
  <c r="U168" i="8"/>
  <c r="U185" i="8"/>
  <c r="W185" i="8" s="1"/>
  <c r="K148" i="8"/>
  <c r="K167" i="8"/>
  <c r="M167" i="8" s="1"/>
  <c r="K125" i="8"/>
  <c r="K157" i="8"/>
  <c r="M157" i="8" s="1"/>
  <c r="K135" i="8"/>
  <c r="M135" i="8" s="1"/>
  <c r="K175" i="8"/>
  <c r="M175" i="8" s="1"/>
  <c r="BG175" i="8" l="1"/>
  <c r="BG167" i="8"/>
  <c r="AN175" i="8"/>
  <c r="AE175" i="8"/>
  <c r="AE148" i="8"/>
  <c r="BG148" i="8"/>
  <c r="AN148" i="8"/>
  <c r="AW148" i="8"/>
  <c r="AY148" i="8" s="1"/>
  <c r="M148" i="8"/>
  <c r="AN135" i="8"/>
  <c r="AN146" i="8" s="1"/>
  <c r="AW167" i="8"/>
  <c r="AY167" i="8" s="1"/>
  <c r="AY168" i="8"/>
  <c r="BG157" i="8"/>
  <c r="BG163" i="8" s="1"/>
  <c r="AY154" i="8"/>
  <c r="AN157" i="8"/>
  <c r="AN163" i="8" s="1"/>
  <c r="BG135" i="8"/>
  <c r="BG146" i="8" s="1"/>
  <c r="AE125" i="8"/>
  <c r="AE130" i="8" s="1"/>
  <c r="M122" i="8"/>
  <c r="L19" i="8"/>
  <c r="AW157" i="8"/>
  <c r="AY157" i="8" s="1"/>
  <c r="AY158" i="8"/>
  <c r="U167" i="8"/>
  <c r="W167" i="8" s="1"/>
  <c r="W168" i="8"/>
  <c r="AE167" i="8"/>
  <c r="AE135" i="8"/>
  <c r="AE146" i="8" s="1"/>
  <c r="AE157" i="8"/>
  <c r="AE163" i="8" s="1"/>
  <c r="AY109" i="8"/>
  <c r="AX90" i="8"/>
  <c r="AN125" i="8"/>
  <c r="AN130" i="8" s="1"/>
  <c r="M125" i="8"/>
  <c r="L8" i="8"/>
  <c r="U175" i="8"/>
  <c r="W175" i="8" s="1"/>
  <c r="W176" i="8"/>
  <c r="AE108" i="8"/>
  <c r="AN108" i="8"/>
  <c r="BG108" i="8"/>
  <c r="AW108" i="8"/>
  <c r="AY108" i="8" s="1"/>
  <c r="M108" i="8"/>
  <c r="BG125" i="8"/>
  <c r="BG130" i="8" s="1"/>
  <c r="BH38" i="8" s="1"/>
  <c r="AE113" i="8"/>
  <c r="BG113" i="8"/>
  <c r="AW113" i="8"/>
  <c r="AN113" i="8"/>
  <c r="AW175" i="8"/>
  <c r="AY175" i="8" s="1"/>
  <c r="AY176" i="8"/>
  <c r="AW135" i="8"/>
  <c r="AY136" i="8"/>
  <c r="AN167" i="8"/>
  <c r="AW125" i="8"/>
  <c r="AY126" i="8"/>
  <c r="U108" i="8"/>
  <c r="U113" i="8"/>
  <c r="U148" i="8"/>
  <c r="W148" i="8" s="1"/>
  <c r="K163" i="8"/>
  <c r="M163" i="8" s="1"/>
  <c r="K130" i="8"/>
  <c r="K146" i="8"/>
  <c r="K172" i="8"/>
  <c r="K173" i="8"/>
  <c r="L131" i="8" l="1"/>
  <c r="W108" i="8"/>
  <c r="V90" i="8"/>
  <c r="V116" i="8" s="1"/>
  <c r="AW146" i="8"/>
  <c r="AY146" i="8" s="1"/>
  <c r="AY135" i="8"/>
  <c r="M146" i="8"/>
  <c r="M130" i="8"/>
  <c r="L38" i="8"/>
  <c r="AW130" i="8"/>
  <c r="AY130" i="8" s="1"/>
  <c r="AY125" i="8"/>
  <c r="AW163" i="8"/>
  <c r="AY163" i="8" s="1"/>
  <c r="DL3" i="14"/>
  <c r="CR3" i="14"/>
  <c r="BY3" i="14"/>
  <c r="BF3" i="14"/>
  <c r="AL153" i="14"/>
  <c r="AQ153" i="14" s="1"/>
  <c r="AL143" i="14"/>
  <c r="AQ143" i="14" s="1"/>
  <c r="AL122" i="14"/>
  <c r="AQ122" i="14" s="1"/>
  <c r="AL3" i="14"/>
  <c r="R174" i="14"/>
  <c r="W174" i="14" s="1"/>
  <c r="R166" i="14"/>
  <c r="W166" i="14" s="1"/>
  <c r="R165" i="14"/>
  <c r="R156" i="14"/>
  <c r="W156" i="14" s="1"/>
  <c r="R153" i="14"/>
  <c r="W153" i="14" s="1"/>
  <c r="R152" i="14"/>
  <c r="R148" i="14"/>
  <c r="W148" i="14" s="1"/>
  <c r="R143" i="14"/>
  <c r="W143" i="14" s="1"/>
  <c r="R135" i="14"/>
  <c r="W135" i="14" s="1"/>
  <c r="R125" i="14"/>
  <c r="W125" i="14" s="1"/>
  <c r="R122" i="14"/>
  <c r="W122" i="14" s="1"/>
  <c r="R120" i="14"/>
  <c r="R113" i="14"/>
  <c r="W113" i="14" s="1"/>
  <c r="R108" i="14"/>
  <c r="W108" i="14" s="1"/>
  <c r="BG86" i="8"/>
  <c r="AN86" i="8"/>
  <c r="AE86" i="8"/>
  <c r="U86" i="8"/>
  <c r="BG83" i="8"/>
  <c r="AN83" i="8"/>
  <c r="AE83" i="8"/>
  <c r="U83" i="8"/>
  <c r="BG80" i="8"/>
  <c r="AN80" i="8"/>
  <c r="AE80" i="8"/>
  <c r="U80" i="8"/>
  <c r="BG79" i="8"/>
  <c r="AN79" i="8"/>
  <c r="AE79" i="8"/>
  <c r="U79" i="8"/>
  <c r="BG78" i="8"/>
  <c r="AN78" i="8"/>
  <c r="AE78" i="8"/>
  <c r="U78" i="8"/>
  <c r="BG77" i="8"/>
  <c r="AN77" i="8"/>
  <c r="AE77" i="8"/>
  <c r="U77" i="8"/>
  <c r="BG76" i="8"/>
  <c r="AN76" i="8"/>
  <c r="AE76" i="8"/>
  <c r="U76" i="8"/>
  <c r="BG75" i="8"/>
  <c r="AN75" i="8"/>
  <c r="AE75" i="8"/>
  <c r="U75" i="8"/>
  <c r="BG73" i="8"/>
  <c r="AN73" i="8"/>
  <c r="AE73" i="8"/>
  <c r="U73" i="8"/>
  <c r="BG72" i="8"/>
  <c r="AN72" i="8"/>
  <c r="AE72" i="8"/>
  <c r="U72" i="8"/>
  <c r="BG71" i="8"/>
  <c r="AN71" i="8"/>
  <c r="AE71" i="8"/>
  <c r="U71" i="8"/>
  <c r="BG66" i="8"/>
  <c r="AN66" i="8"/>
  <c r="AE66" i="8"/>
  <c r="U66" i="8"/>
  <c r="BG65" i="8"/>
  <c r="AN65" i="8"/>
  <c r="AE65" i="8"/>
  <c r="U65" i="8"/>
  <c r="BG59" i="8"/>
  <c r="AN59" i="8"/>
  <c r="AE59" i="8"/>
  <c r="U59" i="8"/>
  <c r="BG58" i="8"/>
  <c r="AN58" i="8"/>
  <c r="AE58" i="8"/>
  <c r="U58" i="8"/>
  <c r="BG56" i="8"/>
  <c r="AN56" i="8"/>
  <c r="AE56" i="8"/>
  <c r="U56" i="8"/>
  <c r="BG51" i="8"/>
  <c r="AN51" i="8"/>
  <c r="AE51" i="8"/>
  <c r="U51" i="8"/>
  <c r="BG50" i="8"/>
  <c r="AN50" i="8"/>
  <c r="AE50" i="8"/>
  <c r="U50" i="8"/>
  <c r="BG48" i="8"/>
  <c r="AN48" i="8"/>
  <c r="AE48" i="8"/>
  <c r="U48" i="8"/>
  <c r="BG46" i="8"/>
  <c r="AN46" i="8"/>
  <c r="AE46" i="8"/>
  <c r="U46" i="8"/>
  <c r="BG43" i="8"/>
  <c r="AN43" i="8"/>
  <c r="AE43" i="8"/>
  <c r="U43" i="8"/>
  <c r="BG42" i="8"/>
  <c r="AN42" i="8"/>
  <c r="AE42" i="8"/>
  <c r="U42" i="8"/>
  <c r="BG41" i="8"/>
  <c r="AN41" i="8"/>
  <c r="AE41" i="8"/>
  <c r="U41" i="8"/>
  <c r="BG33" i="8"/>
  <c r="AN33" i="8"/>
  <c r="AE33" i="8"/>
  <c r="U33" i="8"/>
  <c r="BG32" i="8"/>
  <c r="AN32" i="8"/>
  <c r="AE32" i="8"/>
  <c r="U32" i="8"/>
  <c r="BG30" i="8"/>
  <c r="AN30" i="8"/>
  <c r="AE30" i="8"/>
  <c r="U30" i="8"/>
  <c r="BG24" i="8"/>
  <c r="BG192" i="8" s="1"/>
  <c r="BG194" i="8" s="1"/>
  <c r="AN24" i="8"/>
  <c r="AN192" i="8" s="1"/>
  <c r="AN194" i="8" s="1"/>
  <c r="AE24" i="8"/>
  <c r="AE192" i="8" s="1"/>
  <c r="AE194" i="8" s="1"/>
  <c r="U24" i="8"/>
  <c r="BG21" i="8"/>
  <c r="BG188" i="8" s="1"/>
  <c r="BG190" i="8" s="1"/>
  <c r="AN21" i="8"/>
  <c r="AN188" i="8" s="1"/>
  <c r="AN190" i="8" s="1"/>
  <c r="AE21" i="8"/>
  <c r="AE188" i="8" s="1"/>
  <c r="AE190" i="8" s="1"/>
  <c r="U21" i="8"/>
  <c r="BG17" i="8"/>
  <c r="AN17" i="8"/>
  <c r="AE17" i="8"/>
  <c r="U17" i="8"/>
  <c r="BG16" i="8"/>
  <c r="AN16" i="8"/>
  <c r="AE16" i="8"/>
  <c r="U16" i="8"/>
  <c r="BG15" i="8"/>
  <c r="AN15" i="8"/>
  <c r="AE15" i="8"/>
  <c r="U15" i="8"/>
  <c r="BG14" i="8"/>
  <c r="AN14" i="8"/>
  <c r="AE14" i="8"/>
  <c r="U14" i="8"/>
  <c r="BG10" i="8"/>
  <c r="AN10" i="8"/>
  <c r="AE10" i="8"/>
  <c r="U10" i="8"/>
  <c r="BG9" i="8"/>
  <c r="AN9" i="8"/>
  <c r="AE9" i="8"/>
  <c r="U9" i="8"/>
  <c r="BG7" i="8"/>
  <c r="AN7" i="8"/>
  <c r="AE7" i="8"/>
  <c r="U7" i="8"/>
  <c r="BG5" i="8"/>
  <c r="AN5" i="8"/>
  <c r="AE5" i="8"/>
  <c r="U5" i="8"/>
  <c r="W9" i="8" l="1"/>
  <c r="W21" i="8"/>
  <c r="W30" i="8"/>
  <c r="W33" i="8"/>
  <c r="W66" i="8"/>
  <c r="W72" i="8"/>
  <c r="W75" i="8"/>
  <c r="W77" i="8"/>
  <c r="W79" i="8"/>
  <c r="W83" i="8"/>
  <c r="W5" i="8"/>
  <c r="W14" i="8"/>
  <c r="W16" i="8"/>
  <c r="W7" i="8"/>
  <c r="W10" i="8"/>
  <c r="W15" i="8"/>
  <c r="W17" i="8"/>
  <c r="W24" i="8"/>
  <c r="W32" i="8"/>
  <c r="W65" i="8"/>
  <c r="W71" i="8"/>
  <c r="W73" i="8"/>
  <c r="W78" i="8"/>
  <c r="W80" i="8"/>
  <c r="W86" i="8"/>
  <c r="DL108" i="14"/>
  <c r="BF108" i="14"/>
  <c r="BY108" i="14"/>
  <c r="CR108" i="14"/>
  <c r="CW108" i="14" s="1"/>
  <c r="DL113" i="14"/>
  <c r="BF113" i="14"/>
  <c r="BY113" i="14"/>
  <c r="CR113" i="14"/>
  <c r="S8" i="14"/>
  <c r="R171" i="14"/>
  <c r="W171" i="14" s="1"/>
  <c r="BG81" i="8"/>
  <c r="AM19" i="14"/>
  <c r="AN81" i="8"/>
  <c r="AM91" i="14"/>
  <c r="AM117" i="14" s="1"/>
  <c r="S19" i="14"/>
  <c r="AE81" i="8"/>
  <c r="U81" i="8"/>
  <c r="W81" i="8" s="1"/>
  <c r="AN34" i="8"/>
  <c r="AN60" i="8"/>
  <c r="AN64" i="8" s="1"/>
  <c r="AN67" i="8"/>
  <c r="BG18" i="8"/>
  <c r="AW10" i="8"/>
  <c r="AW15" i="8"/>
  <c r="AL113" i="14"/>
  <c r="AL108" i="14"/>
  <c r="AL148" i="14"/>
  <c r="AQ148" i="14" s="1"/>
  <c r="AW9" i="8"/>
  <c r="AW16" i="8"/>
  <c r="AW30" i="8"/>
  <c r="AW33" i="8"/>
  <c r="AW42" i="8"/>
  <c r="AY42" i="8" s="1"/>
  <c r="AW46" i="8"/>
  <c r="AY46" i="8" s="1"/>
  <c r="AW56" i="8"/>
  <c r="AY56" i="8" s="1"/>
  <c r="BG11" i="8"/>
  <c r="U192" i="8"/>
  <c r="U34" i="8"/>
  <c r="U44" i="8"/>
  <c r="U53" i="8" s="1"/>
  <c r="U60" i="8"/>
  <c r="U67" i="8"/>
  <c r="W67" i="8" s="1"/>
  <c r="AW24" i="8"/>
  <c r="AW192" i="8" s="1"/>
  <c r="AW194" i="8" s="1"/>
  <c r="AE34" i="8"/>
  <c r="AW32" i="8"/>
  <c r="AW41" i="8"/>
  <c r="AY41" i="8" s="1"/>
  <c r="AE63" i="8"/>
  <c r="AE44" i="8"/>
  <c r="AE52" i="8" s="1"/>
  <c r="AW43" i="8"/>
  <c r="AY43" i="8" s="1"/>
  <c r="AW48" i="8"/>
  <c r="AY48" i="8" s="1"/>
  <c r="AW51" i="8"/>
  <c r="AY51" i="8" s="1"/>
  <c r="AW58" i="8"/>
  <c r="AY58" i="8" s="1"/>
  <c r="AE60" i="8"/>
  <c r="AE67" i="8"/>
  <c r="AW65" i="8"/>
  <c r="AY65" i="8" s="1"/>
  <c r="AW71" i="8"/>
  <c r="AY71" i="8" s="1"/>
  <c r="AW73" i="8"/>
  <c r="AY73" i="8" s="1"/>
  <c r="AW76" i="8"/>
  <c r="AY76" i="8" s="1"/>
  <c r="AW78" i="8"/>
  <c r="AY78" i="8" s="1"/>
  <c r="AW80" i="8"/>
  <c r="AY80" i="8" s="1"/>
  <c r="AW86" i="8"/>
  <c r="AY86" i="8" s="1"/>
  <c r="AW7" i="8"/>
  <c r="AW17" i="8"/>
  <c r="BG34" i="8"/>
  <c r="BG44" i="8"/>
  <c r="BG53" i="8" s="1"/>
  <c r="BG63" i="8"/>
  <c r="BG60" i="8"/>
  <c r="BG67" i="8"/>
  <c r="AN63" i="8"/>
  <c r="AN44" i="8"/>
  <c r="AN53" i="8" s="1"/>
  <c r="U11" i="8"/>
  <c r="W11" i="8" s="1"/>
  <c r="U18" i="8"/>
  <c r="W18" i="8" s="1"/>
  <c r="U27" i="8"/>
  <c r="W27" i="8" s="1"/>
  <c r="U188" i="8"/>
  <c r="AW5" i="8"/>
  <c r="AE11" i="8"/>
  <c r="AE18" i="8"/>
  <c r="AW14" i="8"/>
  <c r="AW21" i="8"/>
  <c r="AW188" i="8" s="1"/>
  <c r="AW190" i="8" s="1"/>
  <c r="AE27" i="8"/>
  <c r="AW50" i="8"/>
  <c r="AY50" i="8" s="1"/>
  <c r="AW59" i="8"/>
  <c r="AY59" i="8" s="1"/>
  <c r="AW66" i="8"/>
  <c r="AW72" i="8"/>
  <c r="AY72" i="8" s="1"/>
  <c r="AW75" i="8"/>
  <c r="AY75" i="8" s="1"/>
  <c r="AW77" i="8"/>
  <c r="AY77" i="8" s="1"/>
  <c r="AW79" i="8"/>
  <c r="AW83" i="8"/>
  <c r="AY83" i="8" s="1"/>
  <c r="AN11" i="8"/>
  <c r="AN18" i="8"/>
  <c r="AN27" i="8"/>
  <c r="BG27" i="8"/>
  <c r="AL156" i="14"/>
  <c r="AL166" i="14"/>
  <c r="AQ166" i="14" s="1"/>
  <c r="R146" i="14"/>
  <c r="W146" i="14" s="1"/>
  <c r="AL125" i="14"/>
  <c r="AL135" i="14"/>
  <c r="AQ135" i="14" s="1"/>
  <c r="R130" i="14"/>
  <c r="AL174" i="14"/>
  <c r="AQ174" i="14" s="1"/>
  <c r="R172" i="14"/>
  <c r="W172" i="14" s="1"/>
  <c r="R162" i="14"/>
  <c r="W162" i="14" s="1"/>
  <c r="K16" i="8"/>
  <c r="M16" i="8" s="1"/>
  <c r="K21" i="8"/>
  <c r="M21" i="8" s="1"/>
  <c r="K33" i="8"/>
  <c r="M33" i="8" s="1"/>
  <c r="K42" i="8"/>
  <c r="M42" i="8" s="1"/>
  <c r="K46" i="8"/>
  <c r="M46" i="8" s="1"/>
  <c r="K50" i="8"/>
  <c r="M50" i="8" s="1"/>
  <c r="K56" i="8"/>
  <c r="M56" i="8" s="1"/>
  <c r="K59" i="8"/>
  <c r="M59" i="8" s="1"/>
  <c r="K66" i="8"/>
  <c r="M66" i="8" s="1"/>
  <c r="K75" i="8"/>
  <c r="M75" i="8" s="1"/>
  <c r="K77" i="8"/>
  <c r="M77" i="8" s="1"/>
  <c r="K79" i="8"/>
  <c r="M79" i="8" s="1"/>
  <c r="K14" i="8"/>
  <c r="K86" i="8"/>
  <c r="M86" i="8" s="1"/>
  <c r="K73" i="8"/>
  <c r="M73" i="8" s="1"/>
  <c r="K9" i="8"/>
  <c r="M9" i="8" s="1"/>
  <c r="K72" i="8"/>
  <c r="K30" i="8"/>
  <c r="M30" i="8" s="1"/>
  <c r="K83" i="8"/>
  <c r="M83" i="8" s="1"/>
  <c r="K10" i="8"/>
  <c r="M10" i="8" s="1"/>
  <c r="K17" i="8"/>
  <c r="M17" i="8" s="1"/>
  <c r="K43" i="8"/>
  <c r="M43" i="8" s="1"/>
  <c r="K51" i="8"/>
  <c r="M51" i="8" s="1"/>
  <c r="K58" i="8"/>
  <c r="M58" i="8" s="1"/>
  <c r="K78" i="8"/>
  <c r="M78" i="8" s="1"/>
  <c r="K80" i="8"/>
  <c r="M80" i="8" s="1"/>
  <c r="K7" i="8"/>
  <c r="M7" i="8" s="1"/>
  <c r="K76" i="8"/>
  <c r="M76" i="8" s="1"/>
  <c r="K41" i="8"/>
  <c r="M41" i="8" s="1"/>
  <c r="K15" i="8"/>
  <c r="J115" i="21"/>
  <c r="J114" i="21"/>
  <c r="J112" i="21"/>
  <c r="H115" i="21"/>
  <c r="H114" i="21"/>
  <c r="H112" i="21"/>
  <c r="F114" i="21"/>
  <c r="F112" i="21"/>
  <c r="W130" i="14" l="1"/>
  <c r="M14" i="8"/>
  <c r="M15" i="8"/>
  <c r="M72" i="8"/>
  <c r="N72" i="8"/>
  <c r="AM90" i="14"/>
  <c r="AM116" i="14" s="1"/>
  <c r="AQ108" i="14"/>
  <c r="AM8" i="14"/>
  <c r="AQ125" i="14"/>
  <c r="AL162" i="14"/>
  <c r="AQ162" i="14" s="1"/>
  <c r="AQ156" i="14"/>
  <c r="BE112" i="21"/>
  <c r="AT112" i="21"/>
  <c r="AK112" i="21"/>
  <c r="AB112" i="21"/>
  <c r="R115" i="21"/>
  <c r="AT115" i="21"/>
  <c r="BE115" i="21"/>
  <c r="AK115" i="21"/>
  <c r="AB115" i="21"/>
  <c r="BG112" i="21"/>
  <c r="AV112" i="21"/>
  <c r="AM112" i="21"/>
  <c r="AD112" i="21"/>
  <c r="BE114" i="21"/>
  <c r="AT114" i="21"/>
  <c r="AK114" i="21"/>
  <c r="AB114" i="21"/>
  <c r="AV115" i="21"/>
  <c r="BG115" i="21"/>
  <c r="AM115" i="21"/>
  <c r="AD115" i="21"/>
  <c r="K130" i="19"/>
  <c r="K131" i="19" s="1"/>
  <c r="K131" i="21"/>
  <c r="BC112" i="21"/>
  <c r="AR112" i="21"/>
  <c r="AI112" i="21"/>
  <c r="Z112" i="21"/>
  <c r="BG114" i="21"/>
  <c r="AV114" i="21"/>
  <c r="AM114" i="21"/>
  <c r="AD114" i="21"/>
  <c r="BC114" i="21"/>
  <c r="AR114" i="21"/>
  <c r="AI114" i="21"/>
  <c r="Z114" i="21"/>
  <c r="AN117" i="21"/>
  <c r="AO91" i="21"/>
  <c r="AO117" i="21" s="1"/>
  <c r="AF91" i="21"/>
  <c r="AF117" i="21" s="1"/>
  <c r="AE117" i="21"/>
  <c r="T115" i="21"/>
  <c r="S38" i="14"/>
  <c r="AN62" i="8"/>
  <c r="AW81" i="8"/>
  <c r="AY81" i="8" s="1"/>
  <c r="K71" i="8"/>
  <c r="AW11" i="8"/>
  <c r="BG62" i="8"/>
  <c r="U35" i="8"/>
  <c r="W35" i="8" s="1"/>
  <c r="U62" i="8"/>
  <c r="AW34" i="8"/>
  <c r="K60" i="8"/>
  <c r="M60" i="8" s="1"/>
  <c r="BG35" i="8"/>
  <c r="BG36" i="8" s="1"/>
  <c r="AN35" i="8"/>
  <c r="AW18" i="8"/>
  <c r="AW67" i="8"/>
  <c r="AY67" i="8" s="1"/>
  <c r="AE47" i="8"/>
  <c r="AE45" i="8"/>
  <c r="AE53" i="8"/>
  <c r="AE62" i="8" s="1"/>
  <c r="K48" i="8"/>
  <c r="M48" i="8" s="1"/>
  <c r="K32" i="8"/>
  <c r="AW27" i="8"/>
  <c r="AW44" i="8"/>
  <c r="AW63" i="8"/>
  <c r="AW60" i="8"/>
  <c r="AY60" i="8" s="1"/>
  <c r="K63" i="8"/>
  <c r="K44" i="8"/>
  <c r="K170" i="8"/>
  <c r="K24" i="8"/>
  <c r="K65" i="8"/>
  <c r="AE35" i="8"/>
  <c r="AE49" i="8"/>
  <c r="K18" i="8"/>
  <c r="M18" i="8" s="1"/>
  <c r="K5" i="8"/>
  <c r="M5" i="8" s="1"/>
  <c r="K188" i="8"/>
  <c r="K190" i="8" s="1"/>
  <c r="K23" i="8" s="1"/>
  <c r="K22" i="8"/>
  <c r="AL146" i="14"/>
  <c r="AQ146" i="14" s="1"/>
  <c r="AL130" i="14"/>
  <c r="AQ130" i="14" s="1"/>
  <c r="K47" i="8" l="1"/>
  <c r="M44" i="8"/>
  <c r="K27" i="8"/>
  <c r="M24" i="8"/>
  <c r="AW49" i="8"/>
  <c r="AY44" i="8"/>
  <c r="K67" i="8"/>
  <c r="M67" i="8" s="1"/>
  <c r="M65" i="8"/>
  <c r="K34" i="8"/>
  <c r="M32" i="8"/>
  <c r="K81" i="8"/>
  <c r="M81" i="8" s="1"/>
  <c r="M71" i="8"/>
  <c r="AN69" i="8"/>
  <c r="AN74" i="8" s="1"/>
  <c r="AX91" i="21"/>
  <c r="AX117" i="21" s="1"/>
  <c r="AW117" i="21"/>
  <c r="L123" i="19"/>
  <c r="AM38" i="14"/>
  <c r="U82" i="8"/>
  <c r="AN82" i="8"/>
  <c r="AN85" i="8" s="1"/>
  <c r="BG69" i="8"/>
  <c r="U36" i="8"/>
  <c r="W36" i="8" s="1"/>
  <c r="U69" i="8"/>
  <c r="AW35" i="8"/>
  <c r="BG82" i="8"/>
  <c r="BG85" i="8" s="1"/>
  <c r="AE69" i="8"/>
  <c r="AE74" i="8" s="1"/>
  <c r="AE82" i="8"/>
  <c r="K49" i="8"/>
  <c r="K192" i="8"/>
  <c r="K194" i="8" s="1"/>
  <c r="K26" i="8" s="1"/>
  <c r="K25" i="8"/>
  <c r="K11" i="8"/>
  <c r="K6" i="8"/>
  <c r="AE54" i="8"/>
  <c r="AW53" i="8"/>
  <c r="AW45" i="8"/>
  <c r="AW47" i="8"/>
  <c r="K45" i="8"/>
  <c r="K53" i="8"/>
  <c r="AW62" i="8" l="1"/>
  <c r="AY62" i="8" s="1"/>
  <c r="AY53" i="8"/>
  <c r="K12" i="8"/>
  <c r="M11" i="8"/>
  <c r="U74" i="8"/>
  <c r="W69" i="8"/>
  <c r="U85" i="8"/>
  <c r="W82" i="8"/>
  <c r="K62" i="8"/>
  <c r="M62" i="8" s="1"/>
  <c r="M53" i="8"/>
  <c r="K28" i="8"/>
  <c r="M27" i="8"/>
  <c r="L122" i="19"/>
  <c r="BH123" i="19"/>
  <c r="BH122" i="19" s="1"/>
  <c r="BH130" i="19" s="1"/>
  <c r="AF123" i="19"/>
  <c r="AF122" i="19" s="1"/>
  <c r="AF130" i="19" s="1"/>
  <c r="AX123" i="19"/>
  <c r="AX122" i="19" s="1"/>
  <c r="AO123" i="19"/>
  <c r="AO122" i="19" s="1"/>
  <c r="AO130" i="19" s="1"/>
  <c r="V123" i="19"/>
  <c r="L189" i="19"/>
  <c r="L23" i="19" s="1"/>
  <c r="L193" i="19"/>
  <c r="L26" i="19" s="1"/>
  <c r="BG84" i="8"/>
  <c r="U84" i="8"/>
  <c r="AN84" i="8"/>
  <c r="K35" i="8"/>
  <c r="AE85" i="8"/>
  <c r="AE84" i="8"/>
  <c r="BG88" i="8"/>
  <c r="BG89" i="8" s="1"/>
  <c r="BG87" i="8"/>
  <c r="AN88" i="8"/>
  <c r="AN89" i="8" s="1"/>
  <c r="AN87" i="8"/>
  <c r="J184" i="21"/>
  <c r="J183" i="21"/>
  <c r="J178" i="21"/>
  <c r="J179" i="21"/>
  <c r="J176" i="21"/>
  <c r="J175" i="21"/>
  <c r="J168" i="21"/>
  <c r="J167" i="21"/>
  <c r="J160" i="21"/>
  <c r="J159" i="21"/>
  <c r="J158" i="21"/>
  <c r="J157" i="21"/>
  <c r="J154" i="21"/>
  <c r="J150" i="21"/>
  <c r="J149" i="21"/>
  <c r="J144" i="21"/>
  <c r="J141" i="21"/>
  <c r="J140" i="21"/>
  <c r="J139" i="21"/>
  <c r="J138" i="21"/>
  <c r="J137" i="21"/>
  <c r="J136" i="21"/>
  <c r="J128" i="21"/>
  <c r="I128" i="21"/>
  <c r="H128" i="21"/>
  <c r="G128" i="21"/>
  <c r="F128" i="21"/>
  <c r="E128" i="21"/>
  <c r="J127" i="21"/>
  <c r="I127" i="21"/>
  <c r="H127" i="21"/>
  <c r="G127" i="21"/>
  <c r="F127" i="21"/>
  <c r="E127" i="21"/>
  <c r="J126" i="21"/>
  <c r="I126" i="21"/>
  <c r="H126" i="21"/>
  <c r="G126" i="21"/>
  <c r="F126" i="21"/>
  <c r="E126" i="21"/>
  <c r="J123" i="21"/>
  <c r="I123" i="21"/>
  <c r="E123" i="21"/>
  <c r="J102" i="21"/>
  <c r="J101" i="21"/>
  <c r="J100" i="21"/>
  <c r="J98" i="21"/>
  <c r="J96" i="21"/>
  <c r="BC3" i="21"/>
  <c r="BD3" i="21"/>
  <c r="BE3" i="21"/>
  <c r="BF3" i="21"/>
  <c r="BG3" i="21"/>
  <c r="BB3" i="21"/>
  <c r="AR3" i="21"/>
  <c r="AS3" i="21"/>
  <c r="AT3" i="21"/>
  <c r="AU3" i="21"/>
  <c r="AV3" i="21"/>
  <c r="AQ3" i="21"/>
  <c r="AI3" i="21"/>
  <c r="AJ3" i="21"/>
  <c r="AK3" i="21"/>
  <c r="AL3" i="21"/>
  <c r="AM3" i="21"/>
  <c r="AH3" i="21"/>
  <c r="Z3" i="21"/>
  <c r="AA3" i="21"/>
  <c r="AB3" i="21"/>
  <c r="AC3" i="21"/>
  <c r="AD3" i="21"/>
  <c r="Y3" i="21"/>
  <c r="P3" i="21"/>
  <c r="Q3" i="21"/>
  <c r="R3" i="21"/>
  <c r="S3" i="21"/>
  <c r="T3" i="21"/>
  <c r="O3" i="21"/>
  <c r="I115" i="21"/>
  <c r="E115" i="21"/>
  <c r="I114" i="21"/>
  <c r="G114" i="21"/>
  <c r="E114" i="21"/>
  <c r="I112" i="21"/>
  <c r="G112" i="21"/>
  <c r="E112" i="21"/>
  <c r="E110" i="21"/>
  <c r="E109" i="21"/>
  <c r="E107" i="21"/>
  <c r="F110" i="21"/>
  <c r="G110" i="21"/>
  <c r="G109" i="21"/>
  <c r="G107" i="21"/>
  <c r="H110" i="21"/>
  <c r="I110" i="21"/>
  <c r="I109" i="21"/>
  <c r="I107" i="21"/>
  <c r="J110" i="21"/>
  <c r="J109" i="21"/>
  <c r="J107" i="21"/>
  <c r="W85" i="8" l="1"/>
  <c r="U92" i="8"/>
  <c r="U88" i="8"/>
  <c r="W88" i="8" s="1"/>
  <c r="AW82" i="8"/>
  <c r="AW85" i="8" s="1"/>
  <c r="AY85" i="8" s="1"/>
  <c r="AW69" i="8"/>
  <c r="AW74" i="8" s="1"/>
  <c r="K82" i="8"/>
  <c r="M82" i="8" s="1"/>
  <c r="M35" i="8"/>
  <c r="U87" i="8"/>
  <c r="BG184" i="21"/>
  <c r="AV184" i="21"/>
  <c r="AZ184" i="21" s="1"/>
  <c r="AM184" i="21"/>
  <c r="AD184" i="21"/>
  <c r="M184" i="21"/>
  <c r="BG183" i="21"/>
  <c r="AV183" i="21"/>
  <c r="AZ183" i="21" s="1"/>
  <c r="M183" i="21"/>
  <c r="AM183" i="21"/>
  <c r="AD183" i="21"/>
  <c r="AV167" i="21"/>
  <c r="BG167" i="21"/>
  <c r="AM167" i="21"/>
  <c r="AD167" i="21"/>
  <c r="BG168" i="21"/>
  <c r="AV168" i="21"/>
  <c r="AZ168" i="21" s="1"/>
  <c r="M168" i="21"/>
  <c r="AM168" i="21"/>
  <c r="AD168" i="21"/>
  <c r="BG175" i="21"/>
  <c r="AV175" i="21"/>
  <c r="AM175" i="21"/>
  <c r="AD175" i="21"/>
  <c r="M175" i="21"/>
  <c r="BG176" i="21"/>
  <c r="M176" i="21"/>
  <c r="AM176" i="21"/>
  <c r="AV176" i="21"/>
  <c r="AZ176" i="21" s="1"/>
  <c r="AD176" i="21"/>
  <c r="BG179" i="21"/>
  <c r="AV179" i="21"/>
  <c r="AZ179" i="21" s="1"/>
  <c r="AM179" i="21"/>
  <c r="AD179" i="21"/>
  <c r="M179" i="21"/>
  <c r="AM178" i="21"/>
  <c r="AD178" i="21"/>
  <c r="BG178" i="21"/>
  <c r="AV178" i="21"/>
  <c r="AZ178" i="21" s="1"/>
  <c r="M178" i="21"/>
  <c r="M128" i="21"/>
  <c r="AM128" i="21"/>
  <c r="AV128" i="21"/>
  <c r="AZ128" i="21" s="1"/>
  <c r="BG128" i="21"/>
  <c r="AD128" i="21"/>
  <c r="BF109" i="21"/>
  <c r="AU109" i="21"/>
  <c r="AL109" i="21"/>
  <c r="AC109" i="21"/>
  <c r="BB109" i="21"/>
  <c r="AQ109" i="21"/>
  <c r="AH109" i="21"/>
  <c r="Y109" i="21"/>
  <c r="BB115" i="21"/>
  <c r="AQ115" i="21"/>
  <c r="AH115" i="21"/>
  <c r="Y115" i="21"/>
  <c r="BD126" i="21"/>
  <c r="AJ126" i="21"/>
  <c r="AS126" i="21"/>
  <c r="AA126" i="21"/>
  <c r="AU127" i="21"/>
  <c r="AL127" i="21"/>
  <c r="BF127" i="21"/>
  <c r="AC127" i="21"/>
  <c r="BG136" i="21"/>
  <c r="AM136" i="21"/>
  <c r="AV136" i="21"/>
  <c r="AD136" i="21"/>
  <c r="M136" i="21"/>
  <c r="AM149" i="21"/>
  <c r="AV149" i="21"/>
  <c r="BG149" i="21"/>
  <c r="AD149" i="21"/>
  <c r="BD114" i="21"/>
  <c r="AS114" i="21"/>
  <c r="AJ114" i="21"/>
  <c r="AA114" i="21"/>
  <c r="BF128" i="21"/>
  <c r="AU128" i="21"/>
  <c r="AL128" i="21"/>
  <c r="AC128" i="21"/>
  <c r="AU107" i="21"/>
  <c r="AC107" i="21"/>
  <c r="BF107" i="21"/>
  <c r="AL107" i="21"/>
  <c r="AR126" i="21"/>
  <c r="BC126" i="21"/>
  <c r="Z126" i="21"/>
  <c r="AI126" i="21"/>
  <c r="BF110" i="21"/>
  <c r="AU110" i="21"/>
  <c r="AL110" i="21"/>
  <c r="AC110" i="21"/>
  <c r="BB110" i="21"/>
  <c r="AQ110" i="21"/>
  <c r="AH110" i="21"/>
  <c r="Y110" i="21"/>
  <c r="AU115" i="21"/>
  <c r="BF115" i="21"/>
  <c r="AL115" i="21"/>
  <c r="AC115" i="21"/>
  <c r="AK126" i="21"/>
  <c r="AT126" i="21"/>
  <c r="BE126" i="21"/>
  <c r="AB126" i="21"/>
  <c r="AM127" i="21"/>
  <c r="AV127" i="21"/>
  <c r="AZ127" i="21" s="1"/>
  <c r="BG127" i="21"/>
  <c r="AD127" i="21"/>
  <c r="M127" i="21"/>
  <c r="M137" i="21"/>
  <c r="BG137" i="21"/>
  <c r="AM137" i="21"/>
  <c r="AV137" i="21"/>
  <c r="AZ137" i="21" s="1"/>
  <c r="AD137" i="21"/>
  <c r="AM150" i="21"/>
  <c r="AV150" i="21"/>
  <c r="BG150" i="21"/>
  <c r="AD150" i="21"/>
  <c r="AQ126" i="21"/>
  <c r="BB126" i="21"/>
  <c r="Y126" i="21"/>
  <c r="AH126" i="21"/>
  <c r="BE110" i="21"/>
  <c r="AT110" i="21"/>
  <c r="AK110" i="21"/>
  <c r="AB110" i="21"/>
  <c r="BB112" i="21"/>
  <c r="AQ112" i="21"/>
  <c r="AH112" i="21"/>
  <c r="Y112" i="21"/>
  <c r="AU126" i="21"/>
  <c r="BF126" i="21"/>
  <c r="AL126" i="21"/>
  <c r="AC126" i="21"/>
  <c r="AQ128" i="21"/>
  <c r="BB128" i="21"/>
  <c r="Y128" i="21"/>
  <c r="AH128" i="21"/>
  <c r="BG138" i="21"/>
  <c r="AM138" i="21"/>
  <c r="AV138" i="21"/>
  <c r="AZ138" i="21" s="1"/>
  <c r="AD138" i="21"/>
  <c r="M138" i="21"/>
  <c r="AV154" i="21"/>
  <c r="AV153" i="21" s="1"/>
  <c r="AM154" i="21"/>
  <c r="AM153" i="21" s="1"/>
  <c r="BG154" i="21"/>
  <c r="BG153" i="21" s="1"/>
  <c r="AD154" i="21"/>
  <c r="AD153" i="21" s="1"/>
  <c r="M160" i="21"/>
  <c r="AV160" i="21"/>
  <c r="AZ160" i="21" s="1"/>
  <c r="AM160" i="21"/>
  <c r="BG160" i="21"/>
  <c r="AD160" i="21"/>
  <c r="AV144" i="21"/>
  <c r="AV143" i="21" s="1"/>
  <c r="AZ143" i="21" s="1"/>
  <c r="BG144" i="21"/>
  <c r="BG143" i="21" s="1"/>
  <c r="AM144" i="21"/>
  <c r="AM143" i="21" s="1"/>
  <c r="AD144" i="21"/>
  <c r="AD143" i="21" s="1"/>
  <c r="BD107" i="21"/>
  <c r="AS107" i="21"/>
  <c r="AJ107" i="21"/>
  <c r="AA107" i="21"/>
  <c r="BD112" i="21"/>
  <c r="AS112" i="21"/>
  <c r="AJ112" i="21"/>
  <c r="AA112" i="21"/>
  <c r="BB123" i="21"/>
  <c r="BB122" i="21" s="1"/>
  <c r="AQ123" i="21"/>
  <c r="AQ122" i="21" s="1"/>
  <c r="AH123" i="21"/>
  <c r="AH122" i="21" s="1"/>
  <c r="Y123" i="21"/>
  <c r="Y122" i="21" s="1"/>
  <c r="AM126" i="21"/>
  <c r="AV126" i="21"/>
  <c r="BG126" i="21"/>
  <c r="AD126" i="21"/>
  <c r="M126" i="21"/>
  <c r="AR128" i="21"/>
  <c r="BC128" i="21"/>
  <c r="Z128" i="21"/>
  <c r="AI128" i="21"/>
  <c r="M139" i="21"/>
  <c r="BG139" i="21"/>
  <c r="AM139" i="21"/>
  <c r="AV139" i="21"/>
  <c r="AZ139" i="21" s="1"/>
  <c r="AD139" i="21"/>
  <c r="M157" i="21"/>
  <c r="AV157" i="21"/>
  <c r="AM157" i="21"/>
  <c r="BG157" i="21"/>
  <c r="AD157" i="21"/>
  <c r="BC110" i="21"/>
  <c r="AR110" i="21"/>
  <c r="AI110" i="21"/>
  <c r="Z110" i="21"/>
  <c r="BB107" i="21"/>
  <c r="AQ107" i="21"/>
  <c r="AH107" i="21"/>
  <c r="Y107" i="21"/>
  <c r="BE127" i="21"/>
  <c r="AK127" i="21"/>
  <c r="AT127" i="21"/>
  <c r="AB127" i="21"/>
  <c r="BG107" i="21"/>
  <c r="AV107" i="21"/>
  <c r="AZ107" i="21" s="1"/>
  <c r="AM107" i="21"/>
  <c r="AD107" i="21"/>
  <c r="M107" i="21"/>
  <c r="BD109" i="21"/>
  <c r="AS109" i="21"/>
  <c r="AJ109" i="21"/>
  <c r="AA109" i="21"/>
  <c r="BF112" i="21"/>
  <c r="AU112" i="21"/>
  <c r="AL112" i="21"/>
  <c r="AC112" i="21"/>
  <c r="BF123" i="21"/>
  <c r="BF122" i="21" s="1"/>
  <c r="AU123" i="21"/>
  <c r="AU122" i="21" s="1"/>
  <c r="AL123" i="21"/>
  <c r="AL122" i="21" s="1"/>
  <c r="AC123" i="21"/>
  <c r="AC122" i="21" s="1"/>
  <c r="AQ127" i="21"/>
  <c r="BB127" i="21"/>
  <c r="Y127" i="21"/>
  <c r="AH127" i="21"/>
  <c r="BD128" i="21"/>
  <c r="AJ128" i="21"/>
  <c r="AS128" i="21"/>
  <c r="AA128" i="21"/>
  <c r="BG140" i="21"/>
  <c r="AM140" i="21"/>
  <c r="AV140" i="21"/>
  <c r="AZ140" i="21" s="1"/>
  <c r="AD140" i="21"/>
  <c r="M140" i="21"/>
  <c r="M158" i="21"/>
  <c r="AV158" i="21"/>
  <c r="AZ158" i="21" s="1"/>
  <c r="AM158" i="21"/>
  <c r="BG158" i="21"/>
  <c r="AD158" i="21"/>
  <c r="BG110" i="21"/>
  <c r="AV110" i="21"/>
  <c r="AD110" i="21"/>
  <c r="AM110" i="21"/>
  <c r="BD127" i="21"/>
  <c r="AS127" i="21"/>
  <c r="AJ127" i="21"/>
  <c r="AA127" i="21"/>
  <c r="BF114" i="21"/>
  <c r="AU114" i="21"/>
  <c r="AL114" i="21"/>
  <c r="AC114" i="21"/>
  <c r="AV109" i="21"/>
  <c r="AZ109" i="21" s="1"/>
  <c r="BG109" i="21"/>
  <c r="AD109" i="21"/>
  <c r="AM109" i="21"/>
  <c r="M109" i="21"/>
  <c r="BD110" i="21"/>
  <c r="AS110" i="21"/>
  <c r="AJ110" i="21"/>
  <c r="AA110" i="21"/>
  <c r="AQ114" i="21"/>
  <c r="BB114" i="21"/>
  <c r="AH114" i="21"/>
  <c r="Y114" i="21"/>
  <c r="AM123" i="21"/>
  <c r="AM122" i="21" s="1"/>
  <c r="BG123" i="21"/>
  <c r="BG122" i="21" s="1"/>
  <c r="AV123" i="21"/>
  <c r="AV122" i="21" s="1"/>
  <c r="AZ122" i="21" s="1"/>
  <c r="AD123" i="21"/>
  <c r="AD122" i="21" s="1"/>
  <c r="AR127" i="21"/>
  <c r="BC127" i="21"/>
  <c r="Z127" i="21"/>
  <c r="AI127" i="21"/>
  <c r="BE128" i="21"/>
  <c r="AK128" i="21"/>
  <c r="AT128" i="21"/>
  <c r="AB128" i="21"/>
  <c r="AV141" i="21"/>
  <c r="AZ141" i="21" s="1"/>
  <c r="BG141" i="21"/>
  <c r="AM141" i="21"/>
  <c r="AD141" i="21"/>
  <c r="M141" i="21"/>
  <c r="AV159" i="21"/>
  <c r="AZ159" i="21" s="1"/>
  <c r="AM159" i="21"/>
  <c r="BG159" i="21"/>
  <c r="AD159" i="21"/>
  <c r="M159" i="21"/>
  <c r="AO61" i="21"/>
  <c r="AO90" i="21"/>
  <c r="AO116" i="21" s="1"/>
  <c r="AF90" i="21"/>
  <c r="AF116" i="21" s="1"/>
  <c r="U143" i="21"/>
  <c r="V143" i="21"/>
  <c r="V153" i="21"/>
  <c r="U153" i="21"/>
  <c r="U125" i="21"/>
  <c r="V125" i="21"/>
  <c r="K116" i="21"/>
  <c r="U122" i="21"/>
  <c r="V122" i="21"/>
  <c r="AX130" i="19"/>
  <c r="K36" i="8"/>
  <c r="K69" i="8"/>
  <c r="AE88" i="8"/>
  <c r="AE87" i="8"/>
  <c r="U89" i="8"/>
  <c r="S110" i="21"/>
  <c r="O110" i="21"/>
  <c r="S115" i="21"/>
  <c r="O115" i="21"/>
  <c r="R110" i="21"/>
  <c r="P110" i="21"/>
  <c r="Q110" i="21"/>
  <c r="AE116" i="21"/>
  <c r="AN116" i="21"/>
  <c r="T110" i="21"/>
  <c r="W110" i="21" s="1"/>
  <c r="I108" i="21"/>
  <c r="I113" i="21"/>
  <c r="H113" i="21"/>
  <c r="E113" i="21"/>
  <c r="G108" i="21"/>
  <c r="J113" i="21"/>
  <c r="J108" i="21"/>
  <c r="E108" i="21"/>
  <c r="K85" i="8" l="1"/>
  <c r="K88" i="8" s="1"/>
  <c r="K91" i="8" s="1"/>
  <c r="K117" i="8" s="1"/>
  <c r="K84" i="8"/>
  <c r="U103" i="8"/>
  <c r="W103" i="8" s="1"/>
  <c r="AW84" i="8"/>
  <c r="AY82" i="8"/>
  <c r="AW88" i="8"/>
  <c r="AY88" i="8" s="1"/>
  <c r="AW87" i="8"/>
  <c r="AE89" i="8"/>
  <c r="AG88" i="8"/>
  <c r="AY69" i="8"/>
  <c r="AC125" i="21"/>
  <c r="AC130" i="21" s="1"/>
  <c r="AM125" i="21"/>
  <c r="AM130" i="21" s="1"/>
  <c r="BG174" i="21"/>
  <c r="AD166" i="21"/>
  <c r="AD174" i="21"/>
  <c r="M85" i="8"/>
  <c r="K74" i="8"/>
  <c r="M69" i="8"/>
  <c r="K37" i="8"/>
  <c r="M36" i="8"/>
  <c r="BF125" i="21"/>
  <c r="BF130" i="21" s="1"/>
  <c r="AM166" i="21"/>
  <c r="BG166" i="21"/>
  <c r="AV166" i="21"/>
  <c r="AM174" i="21"/>
  <c r="AV174" i="21"/>
  <c r="AZ174" i="21" s="1"/>
  <c r="AZ175" i="21"/>
  <c r="BG125" i="21"/>
  <c r="BG130" i="21" s="1"/>
  <c r="AQ125" i="21"/>
  <c r="AQ130" i="21" s="1"/>
  <c r="AB125" i="21"/>
  <c r="AJ125" i="21"/>
  <c r="BE125" i="21"/>
  <c r="BC125" i="21"/>
  <c r="AZ153" i="21"/>
  <c r="AM156" i="21"/>
  <c r="AM162" i="21" s="1"/>
  <c r="AL125" i="21"/>
  <c r="AL130" i="21" s="1"/>
  <c r="AR125" i="21"/>
  <c r="AD148" i="21"/>
  <c r="AD135" i="21"/>
  <c r="AD146" i="21" s="1"/>
  <c r="BD125" i="21"/>
  <c r="BG108" i="21"/>
  <c r="AV108" i="21"/>
  <c r="AZ108" i="21" s="1"/>
  <c r="AM108" i="21"/>
  <c r="AD108" i="21"/>
  <c r="M108" i="21"/>
  <c r="AV156" i="21"/>
  <c r="AZ156" i="21" s="1"/>
  <c r="AZ157" i="21"/>
  <c r="BG148" i="21"/>
  <c r="AV135" i="21"/>
  <c r="AZ136" i="21"/>
  <c r="AU125" i="21"/>
  <c r="AU130" i="21" s="1"/>
  <c r="AH125" i="21"/>
  <c r="AH130" i="21" s="1"/>
  <c r="AT125" i="21"/>
  <c r="AA125" i="21"/>
  <c r="AV125" i="21"/>
  <c r="AZ126" i="21"/>
  <c r="BG135" i="21"/>
  <c r="BG146" i="21" s="1"/>
  <c r="BD108" i="21"/>
  <c r="AS108" i="21"/>
  <c r="AJ108" i="21"/>
  <c r="AA108" i="21"/>
  <c r="BE113" i="21"/>
  <c r="AT113" i="21"/>
  <c r="AK113" i="21"/>
  <c r="AB113" i="21"/>
  <c r="BF113" i="21"/>
  <c r="AU113" i="21"/>
  <c r="AL113" i="21"/>
  <c r="AC113" i="21"/>
  <c r="AD125" i="21"/>
  <c r="AD130" i="21" s="1"/>
  <c r="Y125" i="21"/>
  <c r="Y130" i="21" s="1"/>
  <c r="AK125" i="21"/>
  <c r="AV148" i="21"/>
  <c r="AZ148" i="21" s="1"/>
  <c r="BG113" i="21"/>
  <c r="AV113" i="21"/>
  <c r="AM113" i="21"/>
  <c r="AD113" i="21"/>
  <c r="BG156" i="21"/>
  <c r="BG162" i="21" s="1"/>
  <c r="AU108" i="21"/>
  <c r="AC108" i="21"/>
  <c r="BF108" i="21"/>
  <c r="AL108" i="21"/>
  <c r="AI125" i="21"/>
  <c r="AM148" i="21"/>
  <c r="AM135" i="21"/>
  <c r="AM146" i="21" s="1"/>
  <c r="AS125" i="21"/>
  <c r="BB113" i="21"/>
  <c r="AQ113" i="21"/>
  <c r="AH113" i="21"/>
  <c r="Y113" i="21"/>
  <c r="BB108" i="21"/>
  <c r="AQ108" i="21"/>
  <c r="AH108" i="21"/>
  <c r="Y108" i="21"/>
  <c r="AD156" i="21"/>
  <c r="AD162" i="21" s="1"/>
  <c r="BB125" i="21"/>
  <c r="BB130" i="21" s="1"/>
  <c r="Z125" i="21"/>
  <c r="AW116" i="21"/>
  <c r="BI38" i="21"/>
  <c r="BI6" i="21"/>
  <c r="BI12" i="21"/>
  <c r="AX90" i="21"/>
  <c r="AX116" i="21" s="1"/>
  <c r="U117" i="21"/>
  <c r="V91" i="21"/>
  <c r="V117" i="21" s="1"/>
  <c r="V19" i="21"/>
  <c r="U148" i="21"/>
  <c r="V130" i="21"/>
  <c r="V8" i="21"/>
  <c r="U130" i="21"/>
  <c r="V156" i="21"/>
  <c r="V135" i="21"/>
  <c r="U156" i="21"/>
  <c r="U162" i="21" s="1"/>
  <c r="U135" i="21"/>
  <c r="V174" i="21"/>
  <c r="U166" i="21"/>
  <c r="U174" i="21"/>
  <c r="V148" i="21"/>
  <c r="V6" i="21"/>
  <c r="V12" i="21"/>
  <c r="K87" i="8"/>
  <c r="AW89" i="8"/>
  <c r="S192" i="21"/>
  <c r="S188" i="21"/>
  <c r="T184" i="21"/>
  <c r="W184" i="21" s="1"/>
  <c r="S184" i="21"/>
  <c r="T183" i="21"/>
  <c r="W183" i="21" s="1"/>
  <c r="S183" i="21"/>
  <c r="T179" i="21"/>
  <c r="W179" i="21" s="1"/>
  <c r="S179" i="21"/>
  <c r="T178" i="21"/>
  <c r="W178" i="21" s="1"/>
  <c r="S178" i="21"/>
  <c r="T176" i="21"/>
  <c r="W176" i="21" s="1"/>
  <c r="S176" i="21"/>
  <c r="T175" i="21"/>
  <c r="W175" i="21" s="1"/>
  <c r="S175" i="21"/>
  <c r="T168" i="21"/>
  <c r="W168" i="21" s="1"/>
  <c r="S168" i="21"/>
  <c r="T167" i="21"/>
  <c r="S167" i="21"/>
  <c r="T160" i="21"/>
  <c r="W160" i="21" s="1"/>
  <c r="S160" i="21"/>
  <c r="T159" i="21"/>
  <c r="W159" i="21" s="1"/>
  <c r="S159" i="21"/>
  <c r="T158" i="21"/>
  <c r="W158" i="21" s="1"/>
  <c r="S158" i="21"/>
  <c r="T157" i="21"/>
  <c r="W157" i="21" s="1"/>
  <c r="S157" i="21"/>
  <c r="T154" i="21"/>
  <c r="S154" i="21"/>
  <c r="S153" i="21" s="1"/>
  <c r="T139" i="21"/>
  <c r="W139" i="21" s="1"/>
  <c r="T150" i="21"/>
  <c r="S150" i="21"/>
  <c r="T149" i="21"/>
  <c r="S149" i="21"/>
  <c r="T144" i="21"/>
  <c r="S144" i="21"/>
  <c r="S143" i="21" s="1"/>
  <c r="T141" i="21"/>
  <c r="W141" i="21" s="1"/>
  <c r="S141" i="21"/>
  <c r="T140" i="21"/>
  <c r="W140" i="21" s="1"/>
  <c r="S140" i="21"/>
  <c r="S139" i="21"/>
  <c r="T138" i="21"/>
  <c r="W138" i="21" s="1"/>
  <c r="S138" i="21"/>
  <c r="T137" i="21"/>
  <c r="W137" i="21" s="1"/>
  <c r="S137" i="21"/>
  <c r="T136" i="21"/>
  <c r="W136" i="21" s="1"/>
  <c r="S136" i="21"/>
  <c r="T128" i="21"/>
  <c r="W128" i="21" s="1"/>
  <c r="S128" i="21"/>
  <c r="T127" i="21"/>
  <c r="W127" i="21" s="1"/>
  <c r="S127" i="21"/>
  <c r="T126" i="21"/>
  <c r="W126" i="21" s="1"/>
  <c r="S126" i="21"/>
  <c r="T123" i="21"/>
  <c r="S123" i="21"/>
  <c r="S122" i="21" s="1"/>
  <c r="T114" i="21"/>
  <c r="S114" i="21"/>
  <c r="T112" i="21"/>
  <c r="S112" i="21"/>
  <c r="T109" i="21"/>
  <c r="W109" i="21" s="1"/>
  <c r="S109" i="21"/>
  <c r="T107" i="21"/>
  <c r="W107" i="21" s="1"/>
  <c r="S107" i="21"/>
  <c r="S191" i="21"/>
  <c r="S187" i="21"/>
  <c r="T177" i="21"/>
  <c r="S117" i="21"/>
  <c r="S116" i="21"/>
  <c r="I193" i="21"/>
  <c r="I189" i="21"/>
  <c r="J174" i="21"/>
  <c r="M174" i="21" s="1"/>
  <c r="I174" i="21"/>
  <c r="I166" i="21"/>
  <c r="I156" i="21"/>
  <c r="J153" i="21"/>
  <c r="M153" i="21" s="1"/>
  <c r="I153" i="21"/>
  <c r="J148" i="21"/>
  <c r="M148" i="21" s="1"/>
  <c r="I148" i="21"/>
  <c r="J143" i="21"/>
  <c r="M143" i="21" s="1"/>
  <c r="I143" i="21"/>
  <c r="J135" i="21"/>
  <c r="M135" i="21" s="1"/>
  <c r="I135" i="21"/>
  <c r="I125" i="21"/>
  <c r="I122" i="21"/>
  <c r="I95" i="21"/>
  <c r="I103" i="21" s="1"/>
  <c r="AK192" i="14"/>
  <c r="AK188" i="14"/>
  <c r="AK184" i="14"/>
  <c r="AK183" i="14"/>
  <c r="AK179" i="14"/>
  <c r="AK178" i="14"/>
  <c r="AK176" i="14"/>
  <c r="AK175" i="14"/>
  <c r="AK168" i="14"/>
  <c r="AK167" i="14"/>
  <c r="AK160" i="14"/>
  <c r="AK159" i="14"/>
  <c r="AK158" i="14"/>
  <c r="AK157" i="14"/>
  <c r="AK154" i="14"/>
  <c r="AK153" i="14" s="1"/>
  <c r="AK150" i="14"/>
  <c r="AK149" i="14"/>
  <c r="AK144" i="14"/>
  <c r="AK143" i="14" s="1"/>
  <c r="AK141" i="14"/>
  <c r="AK140" i="14"/>
  <c r="AK139" i="14"/>
  <c r="AK138" i="14"/>
  <c r="AK137" i="14"/>
  <c r="AK136" i="14"/>
  <c r="AK128" i="14"/>
  <c r="AK127" i="14"/>
  <c r="AK126" i="14"/>
  <c r="AK123" i="14"/>
  <c r="AK122" i="14" s="1"/>
  <c r="AK115" i="14"/>
  <c r="AK114" i="14"/>
  <c r="AK112" i="14"/>
  <c r="AK110" i="14"/>
  <c r="AK109" i="14"/>
  <c r="AK107" i="14"/>
  <c r="CZ3" i="14"/>
  <c r="DA3" i="14"/>
  <c r="DB3" i="14"/>
  <c r="DC3" i="14"/>
  <c r="DD3" i="14"/>
  <c r="DE3" i="14"/>
  <c r="DF3" i="14"/>
  <c r="DG3" i="14"/>
  <c r="DH3" i="14"/>
  <c r="DI3" i="14"/>
  <c r="DJ3" i="14"/>
  <c r="DK3" i="14"/>
  <c r="CY3" i="14"/>
  <c r="CF3" i="14"/>
  <c r="CG3" i="14"/>
  <c r="CH3" i="14"/>
  <c r="CI3" i="14"/>
  <c r="CJ3" i="14"/>
  <c r="CK3" i="14"/>
  <c r="CL3" i="14"/>
  <c r="CM3" i="14"/>
  <c r="CN3" i="14"/>
  <c r="CO3" i="14"/>
  <c r="CP3" i="14"/>
  <c r="CQ3" i="14"/>
  <c r="CE3" i="14"/>
  <c r="BM3" i="14"/>
  <c r="BN3" i="14"/>
  <c r="BO3" i="14"/>
  <c r="BP3" i="14"/>
  <c r="BQ3" i="14"/>
  <c r="BR3" i="14"/>
  <c r="BS3" i="14"/>
  <c r="BT3" i="14"/>
  <c r="BU3" i="14"/>
  <c r="BV3" i="14"/>
  <c r="BW3" i="14"/>
  <c r="BX3" i="14"/>
  <c r="BL3" i="14"/>
  <c r="AT3" i="14"/>
  <c r="AU3" i="14"/>
  <c r="AV3" i="14"/>
  <c r="AW3" i="14"/>
  <c r="AX3" i="14"/>
  <c r="AY3" i="14"/>
  <c r="AZ3" i="14"/>
  <c r="BA3" i="14"/>
  <c r="BB3" i="14"/>
  <c r="BC3" i="14"/>
  <c r="BD3" i="14"/>
  <c r="BE3" i="14"/>
  <c r="AS3" i="14"/>
  <c r="Z3" i="14"/>
  <c r="AA3" i="14"/>
  <c r="AB3" i="14"/>
  <c r="AC3" i="14"/>
  <c r="AD3" i="14"/>
  <c r="AE3" i="14"/>
  <c r="AF3" i="14"/>
  <c r="AG3" i="14"/>
  <c r="AH3" i="14"/>
  <c r="AI3" i="14"/>
  <c r="AJ3" i="14"/>
  <c r="AK3" i="14"/>
  <c r="Y3" i="14"/>
  <c r="Q174" i="14"/>
  <c r="Q166" i="14"/>
  <c r="Q171" i="14" s="1"/>
  <c r="Q165" i="14"/>
  <c r="Q156" i="14"/>
  <c r="Q153" i="14"/>
  <c r="Q152" i="14"/>
  <c r="Q148" i="14"/>
  <c r="Q143" i="14"/>
  <c r="Q135" i="14"/>
  <c r="Q125" i="14"/>
  <c r="Q122" i="14"/>
  <c r="Q120" i="14"/>
  <c r="Q113" i="14"/>
  <c r="Q108" i="14"/>
  <c r="K89" i="8" l="1"/>
  <c r="K95" i="8"/>
  <c r="DK108" i="14"/>
  <c r="CQ108" i="14"/>
  <c r="BX108" i="14"/>
  <c r="BE108" i="14"/>
  <c r="DK113" i="14"/>
  <c r="CQ113" i="14"/>
  <c r="BX113" i="14"/>
  <c r="BE113" i="14"/>
  <c r="M88" i="8"/>
  <c r="AV130" i="21"/>
  <c r="AZ130" i="21" s="1"/>
  <c r="AZ125" i="21"/>
  <c r="AV146" i="21"/>
  <c r="AZ146" i="21" s="1"/>
  <c r="AZ135" i="21"/>
  <c r="AV162" i="21"/>
  <c r="AZ162" i="21" s="1"/>
  <c r="V162" i="21"/>
  <c r="BI37" i="21"/>
  <c r="BI25" i="21"/>
  <c r="BI22" i="21"/>
  <c r="BI28" i="21"/>
  <c r="V90" i="21"/>
  <c r="V116" i="21" s="1"/>
  <c r="U146" i="21"/>
  <c r="V38" i="21"/>
  <c r="V22" i="21"/>
  <c r="V25" i="21"/>
  <c r="V146" i="21"/>
  <c r="V28" i="21"/>
  <c r="S148" i="21"/>
  <c r="S166" i="21"/>
  <c r="T174" i="21"/>
  <c r="W174" i="21" s="1"/>
  <c r="I130" i="21"/>
  <c r="S135" i="21"/>
  <c r="S146" i="21" s="1"/>
  <c r="I146" i="21"/>
  <c r="T148" i="21"/>
  <c r="W148" i="21" s="1"/>
  <c r="S174" i="21"/>
  <c r="S156" i="21"/>
  <c r="S162" i="21" s="1"/>
  <c r="T166" i="21"/>
  <c r="AK148" i="14"/>
  <c r="S113" i="21"/>
  <c r="T113" i="21"/>
  <c r="S108" i="21"/>
  <c r="AK113" i="14"/>
  <c r="AK108" i="14"/>
  <c r="J156" i="21"/>
  <c r="S193" i="21"/>
  <c r="J125" i="21"/>
  <c r="M125" i="21" s="1"/>
  <c r="S125" i="21"/>
  <c r="I162" i="21"/>
  <c r="J166" i="21"/>
  <c r="S189" i="21"/>
  <c r="J146" i="21"/>
  <c r="M146" i="21" s="1"/>
  <c r="AK156" i="14"/>
  <c r="Q130" i="14"/>
  <c r="AK125" i="14"/>
  <c r="AK174" i="14"/>
  <c r="Q162" i="14"/>
  <c r="AK135" i="14"/>
  <c r="AK166" i="14"/>
  <c r="Q146" i="14"/>
  <c r="Q172" i="14"/>
  <c r="J128" i="19"/>
  <c r="M95" i="8" l="1"/>
  <c r="K104" i="8"/>
  <c r="J162" i="21"/>
  <c r="M162" i="21" s="1"/>
  <c r="M156" i="21"/>
  <c r="V37" i="21"/>
  <c r="AV128" i="19"/>
  <c r="AY128" i="19" s="1"/>
  <c r="AM128" i="19"/>
  <c r="BF128" i="19"/>
  <c r="AD128" i="19"/>
  <c r="M128" i="19"/>
  <c r="K123" i="19"/>
  <c r="L38" i="19"/>
  <c r="AK162" i="14"/>
  <c r="AK130" i="14"/>
  <c r="J172" i="21"/>
  <c r="T108" i="21"/>
  <c r="J122" i="21"/>
  <c r="M122" i="21" s="1"/>
  <c r="J171" i="21"/>
  <c r="S130" i="21"/>
  <c r="AK146" i="14"/>
  <c r="U116" i="21" l="1"/>
  <c r="W108" i="21"/>
  <c r="J130" i="21"/>
  <c r="M130" i="21" s="1"/>
  <c r="K122" i="19"/>
  <c r="L19" i="19" s="1"/>
  <c r="BG123" i="19"/>
  <c r="BG122" i="19" s="1"/>
  <c r="BG130" i="19" s="1"/>
  <c r="AE123" i="19"/>
  <c r="AE122" i="19" s="1"/>
  <c r="AE130" i="19" s="1"/>
  <c r="AW123" i="19"/>
  <c r="AW122" i="19" s="1"/>
  <c r="AW130" i="19" s="1"/>
  <c r="AN123" i="19"/>
  <c r="AN122" i="19" s="1"/>
  <c r="AN130" i="19" s="1"/>
  <c r="U123" i="19"/>
  <c r="S116" i="19"/>
  <c r="S117" i="19"/>
  <c r="O115" i="19"/>
  <c r="P115" i="19"/>
  <c r="Q115" i="19"/>
  <c r="O109" i="19"/>
  <c r="Q109" i="19"/>
  <c r="O110" i="19"/>
  <c r="P110" i="19"/>
  <c r="Q110" i="19"/>
  <c r="J184" i="19"/>
  <c r="J183" i="19"/>
  <c r="J178" i="19"/>
  <c r="J179" i="19"/>
  <c r="J176" i="19"/>
  <c r="J175" i="19"/>
  <c r="J168" i="19"/>
  <c r="J167" i="19"/>
  <c r="J160" i="19"/>
  <c r="J159" i="19"/>
  <c r="J158" i="19"/>
  <c r="J157" i="19"/>
  <c r="J154" i="19"/>
  <c r="J150" i="19"/>
  <c r="J149" i="19"/>
  <c r="J144" i="19"/>
  <c r="J137" i="19"/>
  <c r="J138" i="19"/>
  <c r="J139" i="19"/>
  <c r="J140" i="19"/>
  <c r="J141" i="19"/>
  <c r="J136" i="19"/>
  <c r="J127" i="19"/>
  <c r="J126" i="19"/>
  <c r="I127" i="19"/>
  <c r="I128" i="19"/>
  <c r="I126" i="19"/>
  <c r="J115" i="19"/>
  <c r="J114" i="19"/>
  <c r="J112" i="19"/>
  <c r="J110" i="19"/>
  <c r="J109" i="19"/>
  <c r="J107" i="19"/>
  <c r="I115" i="19"/>
  <c r="I114" i="19"/>
  <c r="I112" i="19"/>
  <c r="I110" i="19"/>
  <c r="I109" i="19"/>
  <c r="I107" i="19"/>
  <c r="H115" i="19"/>
  <c r="H110" i="19"/>
  <c r="J100" i="19"/>
  <c r="J101" i="19"/>
  <c r="J102" i="19"/>
  <c r="J98" i="19"/>
  <c r="J96" i="19"/>
  <c r="AJ184" i="14"/>
  <c r="AJ183" i="14"/>
  <c r="AJ179" i="14"/>
  <c r="AJ178" i="14"/>
  <c r="AJ176" i="14"/>
  <c r="AJ175" i="14"/>
  <c r="AJ168" i="14"/>
  <c r="AJ167" i="14"/>
  <c r="AJ160" i="14"/>
  <c r="AJ159" i="14"/>
  <c r="AJ158" i="14"/>
  <c r="AJ157" i="14"/>
  <c r="AJ154" i="14"/>
  <c r="AJ150" i="14"/>
  <c r="AJ149" i="14"/>
  <c r="AJ144" i="14"/>
  <c r="AJ141" i="14"/>
  <c r="AJ140" i="14"/>
  <c r="AJ139" i="14"/>
  <c r="AJ138" i="14"/>
  <c r="AJ137" i="14"/>
  <c r="AJ136" i="14"/>
  <c r="AJ128" i="14"/>
  <c r="AJ127" i="14"/>
  <c r="AJ126" i="14"/>
  <c r="AJ123" i="14"/>
  <c r="AJ115" i="14"/>
  <c r="AJ114" i="14"/>
  <c r="AJ112" i="14"/>
  <c r="AJ109" i="14"/>
  <c r="AJ110" i="14"/>
  <c r="AJ107" i="14"/>
  <c r="J131" i="21" l="1"/>
  <c r="BD115" i="19"/>
  <c r="AT115" i="19"/>
  <c r="AK115" i="19"/>
  <c r="AB115" i="19"/>
  <c r="BF109" i="19"/>
  <c r="AV109" i="19"/>
  <c r="AY109" i="19" s="1"/>
  <c r="AM109" i="19"/>
  <c r="AD109" i="19"/>
  <c r="M109" i="19"/>
  <c r="AM126" i="19"/>
  <c r="BF126" i="19"/>
  <c r="AD126" i="19"/>
  <c r="AV126" i="19"/>
  <c r="M126" i="19"/>
  <c r="BF137" i="19"/>
  <c r="AV137" i="19"/>
  <c r="AY137" i="19" s="1"/>
  <c r="AD137" i="19"/>
  <c r="AM137" i="19"/>
  <c r="M137" i="19"/>
  <c r="BF160" i="19"/>
  <c r="AV160" i="19"/>
  <c r="AY160" i="19" s="1"/>
  <c r="AM160" i="19"/>
  <c r="AD160" i="19"/>
  <c r="M160" i="19"/>
  <c r="AV183" i="19"/>
  <c r="AY183" i="19" s="1"/>
  <c r="BF183" i="19"/>
  <c r="AD183" i="19"/>
  <c r="AM183" i="19"/>
  <c r="M183" i="19"/>
  <c r="BE107" i="19"/>
  <c r="AU107" i="19"/>
  <c r="AL107" i="19"/>
  <c r="AC107" i="19"/>
  <c r="BF110" i="19"/>
  <c r="AV110" i="19"/>
  <c r="AY110" i="19" s="1"/>
  <c r="AM110" i="19"/>
  <c r="AD110" i="19"/>
  <c r="M110" i="19"/>
  <c r="AM127" i="19"/>
  <c r="BF127" i="19"/>
  <c r="AD127" i="19"/>
  <c r="AV127" i="19"/>
  <c r="AY127" i="19" s="1"/>
  <c r="M127" i="19"/>
  <c r="BF144" i="19"/>
  <c r="BF143" i="19" s="1"/>
  <c r="AV144" i="19"/>
  <c r="AV143" i="19" s="1"/>
  <c r="AY143" i="19" s="1"/>
  <c r="AM144" i="19"/>
  <c r="AM143" i="19" s="1"/>
  <c r="AD144" i="19"/>
  <c r="AD143" i="19" s="1"/>
  <c r="AV167" i="19"/>
  <c r="BF167" i="19"/>
  <c r="AM167" i="19"/>
  <c r="AD167" i="19"/>
  <c r="M167" i="19"/>
  <c r="BF184" i="19"/>
  <c r="AV184" i="19"/>
  <c r="AY184" i="19" s="1"/>
  <c r="AD184" i="19"/>
  <c r="AM184" i="19"/>
  <c r="M184" i="19"/>
  <c r="S109" i="19"/>
  <c r="AU109" i="19"/>
  <c r="AL109" i="19"/>
  <c r="AC109" i="19"/>
  <c r="BE109" i="19"/>
  <c r="BF112" i="19"/>
  <c r="AV112" i="19"/>
  <c r="AM112" i="19"/>
  <c r="AD112" i="19"/>
  <c r="BF136" i="19"/>
  <c r="AV136" i="19"/>
  <c r="AD136" i="19"/>
  <c r="AM136" i="19"/>
  <c r="M136" i="19"/>
  <c r="BF149" i="19"/>
  <c r="AV149" i="19"/>
  <c r="AM149" i="19"/>
  <c r="AD149" i="19"/>
  <c r="BF168" i="19"/>
  <c r="AV168" i="19"/>
  <c r="AY168" i="19" s="1"/>
  <c r="AD168" i="19"/>
  <c r="AM168" i="19"/>
  <c r="M168" i="19"/>
  <c r="S110" i="19"/>
  <c r="BE110" i="19"/>
  <c r="AU110" i="19"/>
  <c r="AL110" i="19"/>
  <c r="AC110" i="19"/>
  <c r="BF114" i="19"/>
  <c r="AV114" i="19"/>
  <c r="AM114" i="19"/>
  <c r="AD114" i="19"/>
  <c r="BF150" i="19"/>
  <c r="AM150" i="19"/>
  <c r="AD150" i="19"/>
  <c r="AV150" i="19"/>
  <c r="AV175" i="19"/>
  <c r="BF175" i="19"/>
  <c r="AM175" i="19"/>
  <c r="AD175" i="19"/>
  <c r="M175" i="19"/>
  <c r="AU112" i="19"/>
  <c r="AL112" i="19"/>
  <c r="AC112" i="19"/>
  <c r="BE112" i="19"/>
  <c r="BF115" i="19"/>
  <c r="AV115" i="19"/>
  <c r="AM115" i="19"/>
  <c r="AD115" i="19"/>
  <c r="BF141" i="19"/>
  <c r="AV141" i="19"/>
  <c r="AY141" i="19" s="1"/>
  <c r="AD141" i="19"/>
  <c r="AM141" i="19"/>
  <c r="M141" i="19"/>
  <c r="BF154" i="19"/>
  <c r="BF153" i="19" s="1"/>
  <c r="AV154" i="19"/>
  <c r="AV153" i="19" s="1"/>
  <c r="AY153" i="19" s="1"/>
  <c r="AM154" i="19"/>
  <c r="AM153" i="19" s="1"/>
  <c r="AD154" i="19"/>
  <c r="AD153" i="19" s="1"/>
  <c r="AV176" i="19"/>
  <c r="AY176" i="19" s="1"/>
  <c r="BF176" i="19"/>
  <c r="AD176" i="19"/>
  <c r="AM176" i="19"/>
  <c r="M176" i="19"/>
  <c r="S114" i="19"/>
  <c r="AU114" i="19"/>
  <c r="BE114" i="19"/>
  <c r="AL114" i="19"/>
  <c r="AC114" i="19"/>
  <c r="S126" i="19"/>
  <c r="BE126" i="19"/>
  <c r="AU126" i="19"/>
  <c r="AL126" i="19"/>
  <c r="AC126" i="19"/>
  <c r="BF140" i="19"/>
  <c r="AV140" i="19"/>
  <c r="AY140" i="19" s="1"/>
  <c r="AD140" i="19"/>
  <c r="AM140" i="19"/>
  <c r="M140" i="19"/>
  <c r="BF157" i="19"/>
  <c r="AV157" i="19"/>
  <c r="AM157" i="19"/>
  <c r="AD157" i="19"/>
  <c r="M157" i="19"/>
  <c r="AU115" i="19"/>
  <c r="AL115" i="19"/>
  <c r="AC115" i="19"/>
  <c r="BE115" i="19"/>
  <c r="BE128" i="19"/>
  <c r="AU128" i="19"/>
  <c r="AL128" i="19"/>
  <c r="AC128" i="19"/>
  <c r="BF139" i="19"/>
  <c r="AV139" i="19"/>
  <c r="AY139" i="19" s="1"/>
  <c r="AD139" i="19"/>
  <c r="AM139" i="19"/>
  <c r="M139" i="19"/>
  <c r="AV158" i="19"/>
  <c r="AY158" i="19" s="1"/>
  <c r="BF158" i="19"/>
  <c r="AM158" i="19"/>
  <c r="AD158" i="19"/>
  <c r="M158" i="19"/>
  <c r="AV179" i="19"/>
  <c r="AY179" i="19" s="1"/>
  <c r="BF179" i="19"/>
  <c r="AM179" i="19"/>
  <c r="AD179" i="19"/>
  <c r="M179" i="19"/>
  <c r="BD110" i="19"/>
  <c r="AT110" i="19"/>
  <c r="AK110" i="19"/>
  <c r="AB110" i="19"/>
  <c r="BF107" i="19"/>
  <c r="AV107" i="19"/>
  <c r="AY107" i="19" s="1"/>
  <c r="AM107" i="19"/>
  <c r="AD107" i="19"/>
  <c r="M107" i="19"/>
  <c r="BE127" i="19"/>
  <c r="AU127" i="19"/>
  <c r="AL127" i="19"/>
  <c r="AC127" i="19"/>
  <c r="BF138" i="19"/>
  <c r="AV138" i="19"/>
  <c r="AY138" i="19" s="1"/>
  <c r="AD138" i="19"/>
  <c r="AM138" i="19"/>
  <c r="M138" i="19"/>
  <c r="BF159" i="19"/>
  <c r="AV159" i="19"/>
  <c r="AY159" i="19" s="1"/>
  <c r="AD159" i="19"/>
  <c r="AM159" i="19"/>
  <c r="M159" i="19"/>
  <c r="BF178" i="19"/>
  <c r="AV178" i="19"/>
  <c r="AY178" i="19" s="1"/>
  <c r="AM178" i="19"/>
  <c r="AD178" i="19"/>
  <c r="M178" i="19"/>
  <c r="AF91" i="19"/>
  <c r="AF117" i="19" s="1"/>
  <c r="T150" i="19"/>
  <c r="V166" i="19"/>
  <c r="AO91" i="19"/>
  <c r="AO117" i="19" s="1"/>
  <c r="V153" i="19"/>
  <c r="T139" i="19"/>
  <c r="W139" i="19" s="1"/>
  <c r="T138" i="19"/>
  <c r="W138" i="19" s="1"/>
  <c r="V143" i="19"/>
  <c r="T109" i="19"/>
  <c r="W109" i="19" s="1"/>
  <c r="AF90" i="19"/>
  <c r="AF116" i="19" s="1"/>
  <c r="V125" i="19"/>
  <c r="U125" i="19"/>
  <c r="V156" i="19"/>
  <c r="AO61" i="19"/>
  <c r="AJ148" i="14"/>
  <c r="AJ166" i="14"/>
  <c r="AJ174" i="14"/>
  <c r="S115" i="19"/>
  <c r="T159" i="19"/>
  <c r="W159" i="19" s="1"/>
  <c r="T179" i="19"/>
  <c r="W179" i="19" s="1"/>
  <c r="S112" i="19"/>
  <c r="R115" i="19"/>
  <c r="T141" i="19"/>
  <c r="W141" i="19" s="1"/>
  <c r="T160" i="19"/>
  <c r="W160" i="19" s="1"/>
  <c r="J108" i="19"/>
  <c r="T112" i="19"/>
  <c r="T126" i="19"/>
  <c r="W126" i="19" s="1"/>
  <c r="T140" i="19"/>
  <c r="W140" i="19" s="1"/>
  <c r="T167" i="19"/>
  <c r="W167" i="19" s="1"/>
  <c r="I108" i="19"/>
  <c r="S127" i="19"/>
  <c r="T168" i="19"/>
  <c r="W168" i="19" s="1"/>
  <c r="T183" i="19"/>
  <c r="W183" i="19" s="1"/>
  <c r="T127" i="19"/>
  <c r="W127" i="19" s="1"/>
  <c r="T175" i="19"/>
  <c r="W175" i="19" s="1"/>
  <c r="T184" i="19"/>
  <c r="W184" i="19" s="1"/>
  <c r="I113" i="19"/>
  <c r="S107" i="19"/>
  <c r="R110" i="19"/>
  <c r="S128" i="19"/>
  <c r="T137" i="19"/>
  <c r="W137" i="19" s="1"/>
  <c r="T154" i="19"/>
  <c r="T176" i="19"/>
  <c r="W176" i="19" s="1"/>
  <c r="T107" i="19"/>
  <c r="W107" i="19" s="1"/>
  <c r="T114" i="19"/>
  <c r="T128" i="19"/>
  <c r="W128" i="19" s="1"/>
  <c r="T144" i="19"/>
  <c r="T157" i="19"/>
  <c r="W157" i="19" s="1"/>
  <c r="T110" i="19"/>
  <c r="T115" i="19"/>
  <c r="T136" i="19"/>
  <c r="W136" i="19" s="1"/>
  <c r="T149" i="19"/>
  <c r="T158" i="19"/>
  <c r="W158" i="19" s="1"/>
  <c r="T178" i="19"/>
  <c r="W178" i="19" s="1"/>
  <c r="I125" i="19"/>
  <c r="J113" i="19"/>
  <c r="T148" i="19" l="1"/>
  <c r="BF148" i="19"/>
  <c r="AV148" i="19"/>
  <c r="AY148" i="19" s="1"/>
  <c r="BF113" i="19"/>
  <c r="AV113" i="19"/>
  <c r="AM113" i="19"/>
  <c r="AD113" i="19"/>
  <c r="BE108" i="19"/>
  <c r="AU108" i="19"/>
  <c r="AL108" i="19"/>
  <c r="AC108" i="19"/>
  <c r="AU113" i="19"/>
  <c r="AL113" i="19"/>
  <c r="AC113" i="19"/>
  <c r="BE113" i="19"/>
  <c r="AU125" i="19"/>
  <c r="AM148" i="19"/>
  <c r="AM135" i="19"/>
  <c r="AM146" i="19" s="1"/>
  <c r="AD125" i="19"/>
  <c r="AD135" i="19"/>
  <c r="AD146" i="19" s="1"/>
  <c r="AM166" i="19"/>
  <c r="BF125" i="19"/>
  <c r="BE125" i="19"/>
  <c r="AV135" i="19"/>
  <c r="AY136" i="19"/>
  <c r="BF166" i="19"/>
  <c r="AM125" i="19"/>
  <c r="AD174" i="19"/>
  <c r="BF135" i="19"/>
  <c r="BF146" i="19" s="1"/>
  <c r="BF108" i="19"/>
  <c r="AV108" i="19"/>
  <c r="AY108" i="19" s="1"/>
  <c r="AM108" i="19"/>
  <c r="AD108" i="19"/>
  <c r="M108" i="19"/>
  <c r="AD156" i="19"/>
  <c r="AD162" i="19" s="1"/>
  <c r="AM174" i="19"/>
  <c r="AV166" i="19"/>
  <c r="AY166" i="19" s="1"/>
  <c r="AY167" i="19"/>
  <c r="AM156" i="19"/>
  <c r="AM162" i="19" s="1"/>
  <c r="BF174" i="19"/>
  <c r="AD166" i="19"/>
  <c r="AV156" i="19"/>
  <c r="AY157" i="19"/>
  <c r="AC125" i="19"/>
  <c r="BF156" i="19"/>
  <c r="BF162" i="19" s="1"/>
  <c r="AL125" i="19"/>
  <c r="AV174" i="19"/>
  <c r="AY174" i="19" s="1"/>
  <c r="AY175" i="19"/>
  <c r="AD148" i="19"/>
  <c r="AV125" i="19"/>
  <c r="AY126" i="19"/>
  <c r="V90" i="19"/>
  <c r="V116" i="19" s="1"/>
  <c r="V162" i="19"/>
  <c r="AX117" i="19"/>
  <c r="AX90" i="19"/>
  <c r="AX116" i="19" s="1"/>
  <c r="V174" i="19"/>
  <c r="V8" i="19"/>
  <c r="BH6" i="19"/>
  <c r="BH12" i="19"/>
  <c r="V91" i="19"/>
  <c r="V117" i="19" s="1"/>
  <c r="V135" i="19"/>
  <c r="V6" i="19"/>
  <c r="V12" i="19"/>
  <c r="V148" i="19"/>
  <c r="AO90" i="19"/>
  <c r="AO116" i="19" s="1"/>
  <c r="S125" i="19"/>
  <c r="S113" i="19"/>
  <c r="T108" i="19"/>
  <c r="W108" i="19" s="1"/>
  <c r="T174" i="19"/>
  <c r="T166" i="19"/>
  <c r="W166" i="19" s="1"/>
  <c r="T125" i="19"/>
  <c r="W125" i="19" s="1"/>
  <c r="T113" i="19"/>
  <c r="S108" i="19"/>
  <c r="W148" i="19" l="1"/>
  <c r="W174" i="19"/>
  <c r="AV162" i="19"/>
  <c r="AY162" i="19" s="1"/>
  <c r="AY156" i="19"/>
  <c r="AV146" i="19"/>
  <c r="AY146" i="19" s="1"/>
  <c r="AY135" i="19"/>
  <c r="AY125" i="19"/>
  <c r="V25" i="19"/>
  <c r="V28" i="19"/>
  <c r="V22" i="19"/>
  <c r="V146" i="19"/>
  <c r="BH37" i="19"/>
  <c r="BH25" i="19"/>
  <c r="BH22" i="19"/>
  <c r="BH28" i="19"/>
  <c r="J153" i="19"/>
  <c r="M153" i="19" s="1"/>
  <c r="J143" i="19"/>
  <c r="M143" i="19" s="1"/>
  <c r="AJ122" i="14"/>
  <c r="AJ125" i="14"/>
  <c r="AJ135" i="14"/>
  <c r="AJ143" i="14"/>
  <c r="AJ153" i="14"/>
  <c r="AJ156" i="14"/>
  <c r="P108" i="14"/>
  <c r="P113" i="14"/>
  <c r="P120" i="14"/>
  <c r="P122" i="14"/>
  <c r="P125" i="14"/>
  <c r="P135" i="14"/>
  <c r="P143" i="14"/>
  <c r="P148" i="14"/>
  <c r="P152" i="14"/>
  <c r="P153" i="14"/>
  <c r="P156" i="14"/>
  <c r="P165" i="14"/>
  <c r="P166" i="14"/>
  <c r="P174" i="14"/>
  <c r="DJ113" i="14" l="1"/>
  <c r="CP113" i="14"/>
  <c r="BW113" i="14"/>
  <c r="BD113" i="14"/>
  <c r="CP108" i="14"/>
  <c r="DJ108" i="14"/>
  <c r="BW108" i="14"/>
  <c r="BD108" i="14"/>
  <c r="V37" i="19"/>
  <c r="AJ192" i="14"/>
  <c r="P162" i="14"/>
  <c r="P172" i="14"/>
  <c r="AJ188" i="14"/>
  <c r="AJ108" i="14"/>
  <c r="P171" i="14"/>
  <c r="AJ113" i="14"/>
  <c r="AJ130" i="14"/>
  <c r="P146" i="14"/>
  <c r="P130" i="14"/>
  <c r="J166" i="19"/>
  <c r="M166" i="19" s="1"/>
  <c r="J174" i="19"/>
  <c r="M174" i="19" s="1"/>
  <c r="J148" i="19"/>
  <c r="M148" i="19" s="1"/>
  <c r="J135" i="19"/>
  <c r="M135" i="19" s="1"/>
  <c r="J125" i="19"/>
  <c r="M125" i="19" s="1"/>
  <c r="J156" i="19"/>
  <c r="M156" i="19" s="1"/>
  <c r="AJ146" i="14"/>
  <c r="AJ162" i="14"/>
  <c r="BF71" i="19"/>
  <c r="AM71" i="19"/>
  <c r="T71" i="19"/>
  <c r="W71" i="19" s="1"/>
  <c r="BF66" i="14"/>
  <c r="CR66" i="14" s="1"/>
  <c r="AM9" i="19" l="1"/>
  <c r="AM14" i="19"/>
  <c r="AM16" i="19"/>
  <c r="AM21" i="19"/>
  <c r="AM187" i="19" s="1"/>
  <c r="AM30" i="19"/>
  <c r="AM33" i="19"/>
  <c r="AM42" i="19"/>
  <c r="AM46" i="19"/>
  <c r="AM50" i="19"/>
  <c r="AM56" i="19"/>
  <c r="AM59" i="19"/>
  <c r="AM66" i="19"/>
  <c r="AM72" i="19"/>
  <c r="AM75" i="19"/>
  <c r="AM77" i="19"/>
  <c r="AM79" i="19"/>
  <c r="AM83" i="19"/>
  <c r="BF9" i="19"/>
  <c r="BF14" i="19"/>
  <c r="BF16" i="19"/>
  <c r="DK187" i="14"/>
  <c r="DK189" i="14" s="1"/>
  <c r="BF21" i="19"/>
  <c r="BF187" i="19" s="1"/>
  <c r="BF30" i="19"/>
  <c r="BF33" i="19"/>
  <c r="BF42" i="19"/>
  <c r="BF46" i="19"/>
  <c r="BF50" i="19"/>
  <c r="BF56" i="19"/>
  <c r="BF59" i="19"/>
  <c r="BF66" i="19"/>
  <c r="BF72" i="19"/>
  <c r="BF75" i="19"/>
  <c r="BF77" i="19"/>
  <c r="BF79" i="19"/>
  <c r="BF83" i="19"/>
  <c r="T7" i="19"/>
  <c r="W7" i="19" s="1"/>
  <c r="T10" i="19"/>
  <c r="W10" i="19" s="1"/>
  <c r="T15" i="19"/>
  <c r="W15" i="19" s="1"/>
  <c r="T17" i="19"/>
  <c r="W17" i="19" s="1"/>
  <c r="T24" i="19"/>
  <c r="W24" i="19" s="1"/>
  <c r="T32" i="19"/>
  <c r="W32" i="19" s="1"/>
  <c r="T41" i="19"/>
  <c r="W41" i="19" s="1"/>
  <c r="T43" i="19"/>
  <c r="W43" i="19" s="1"/>
  <c r="T48" i="19"/>
  <c r="W48" i="19" s="1"/>
  <c r="T51" i="19"/>
  <c r="W51" i="19" s="1"/>
  <c r="T58" i="19"/>
  <c r="W58" i="19" s="1"/>
  <c r="T65" i="19"/>
  <c r="W65" i="19" s="1"/>
  <c r="T73" i="19"/>
  <c r="W73" i="19" s="1"/>
  <c r="T76" i="19"/>
  <c r="W76" i="19" s="1"/>
  <c r="T78" i="19"/>
  <c r="W78" i="19" s="1"/>
  <c r="T80" i="19"/>
  <c r="W80" i="19" s="1"/>
  <c r="T86" i="19"/>
  <c r="W86" i="19" s="1"/>
  <c r="AM10" i="19"/>
  <c r="AM24" i="19"/>
  <c r="AM191" i="19" s="1"/>
  <c r="AM32" i="19"/>
  <c r="AM41" i="19"/>
  <c r="AM43" i="19"/>
  <c r="AM48" i="19"/>
  <c r="AM51" i="19"/>
  <c r="AM58" i="19"/>
  <c r="AM65" i="19"/>
  <c r="AM73" i="19"/>
  <c r="AM76" i="19"/>
  <c r="AM78" i="19"/>
  <c r="AM80" i="19"/>
  <c r="AM86" i="19"/>
  <c r="AM7" i="19"/>
  <c r="AM17" i="19"/>
  <c r="BF10" i="19"/>
  <c r="BF15" i="19"/>
  <c r="BF17" i="19"/>
  <c r="DK191" i="14"/>
  <c r="DK193" i="14" s="1"/>
  <c r="BF24" i="19"/>
  <c r="BF191" i="19" s="1"/>
  <c r="BF32" i="19"/>
  <c r="BF41" i="19"/>
  <c r="BF43" i="19"/>
  <c r="BF48" i="19"/>
  <c r="BF51" i="19"/>
  <c r="BF58" i="19"/>
  <c r="BF65" i="19"/>
  <c r="BF73" i="19"/>
  <c r="BF76" i="19"/>
  <c r="BF78" i="19"/>
  <c r="BF80" i="19"/>
  <c r="BF86" i="19"/>
  <c r="AM15" i="19"/>
  <c r="BF7" i="19"/>
  <c r="T9" i="19"/>
  <c r="W9" i="19" s="1"/>
  <c r="T14" i="19"/>
  <c r="W14" i="19" s="1"/>
  <c r="T16" i="19"/>
  <c r="W16" i="19" s="1"/>
  <c r="Q21" i="14"/>
  <c r="T21" i="19"/>
  <c r="W21" i="19" s="1"/>
  <c r="T30" i="19"/>
  <c r="W30" i="19" s="1"/>
  <c r="T33" i="19"/>
  <c r="W33" i="19" s="1"/>
  <c r="T42" i="19"/>
  <c r="W42" i="19" s="1"/>
  <c r="T46" i="19"/>
  <c r="W46" i="19" s="1"/>
  <c r="T50" i="19"/>
  <c r="W50" i="19" s="1"/>
  <c r="T56" i="19"/>
  <c r="W56" i="19" s="1"/>
  <c r="T59" i="19"/>
  <c r="W59" i="19" s="1"/>
  <c r="T66" i="19"/>
  <c r="W66" i="19" s="1"/>
  <c r="T72" i="19"/>
  <c r="W72" i="19" s="1"/>
  <c r="T75" i="19"/>
  <c r="W75" i="19" s="1"/>
  <c r="T77" i="19"/>
  <c r="W77" i="19" s="1"/>
  <c r="T79" i="19"/>
  <c r="W79" i="19" s="1"/>
  <c r="T83" i="19"/>
  <c r="W83" i="19" s="1"/>
  <c r="DL191" i="14"/>
  <c r="DL193" i="14" s="1"/>
  <c r="AK5" i="14"/>
  <c r="BE9" i="14"/>
  <c r="CQ9" i="14" s="1"/>
  <c r="BF9" i="14"/>
  <c r="CR9" i="14" s="1"/>
  <c r="BE14" i="14"/>
  <c r="CQ14" i="14" s="1"/>
  <c r="BE16" i="14"/>
  <c r="CQ16" i="14" s="1"/>
  <c r="BF16" i="14"/>
  <c r="CR16" i="14" s="1"/>
  <c r="BE21" i="14"/>
  <c r="BE30" i="14"/>
  <c r="CQ30" i="14" s="1"/>
  <c r="BF30" i="14"/>
  <c r="CR30" i="14" s="1"/>
  <c r="BE33" i="14"/>
  <c r="CQ33" i="14" s="1"/>
  <c r="BF33" i="14"/>
  <c r="CR33" i="14" s="1"/>
  <c r="BE42" i="14"/>
  <c r="CQ42" i="14" s="1"/>
  <c r="BF42" i="14"/>
  <c r="CR42" i="14" s="1"/>
  <c r="BF46" i="14"/>
  <c r="CR46" i="14" s="1"/>
  <c r="BE50" i="14"/>
  <c r="CQ50" i="14" s="1"/>
  <c r="BF50" i="14"/>
  <c r="CR50" i="14" s="1"/>
  <c r="BE56" i="14"/>
  <c r="CQ56" i="14" s="1"/>
  <c r="BF56" i="14"/>
  <c r="CR56" i="14" s="1"/>
  <c r="BE59" i="14"/>
  <c r="CQ59" i="14" s="1"/>
  <c r="BF59" i="14"/>
  <c r="CR59" i="14" s="1"/>
  <c r="BE72" i="14"/>
  <c r="CQ72" i="14" s="1"/>
  <c r="BF72" i="14"/>
  <c r="CR72" i="14" s="1"/>
  <c r="BE75" i="14"/>
  <c r="CQ75" i="14" s="1"/>
  <c r="BF75" i="14"/>
  <c r="CR75" i="14" s="1"/>
  <c r="BE77" i="14"/>
  <c r="CQ77" i="14" s="1"/>
  <c r="BF77" i="14"/>
  <c r="CR77" i="14" s="1"/>
  <c r="BE79" i="14"/>
  <c r="CQ79" i="14" s="1"/>
  <c r="BF79" i="14"/>
  <c r="CR79" i="14" s="1"/>
  <c r="BE83" i="14"/>
  <c r="CQ83" i="14" s="1"/>
  <c r="BF83" i="14"/>
  <c r="CR83" i="14" s="1"/>
  <c r="BF5" i="14"/>
  <c r="BX5" i="14"/>
  <c r="DL5" i="14"/>
  <c r="DL187" i="14"/>
  <c r="DL189" i="14" s="1"/>
  <c r="BE7" i="14"/>
  <c r="CQ7" i="14" s="1"/>
  <c r="BF7" i="14"/>
  <c r="CR7" i="14" s="1"/>
  <c r="BE10" i="14"/>
  <c r="CQ10" i="14" s="1"/>
  <c r="BF10" i="14"/>
  <c r="CR10" i="14" s="1"/>
  <c r="BE15" i="14"/>
  <c r="CQ15" i="14" s="1"/>
  <c r="BF15" i="14"/>
  <c r="CR15" i="14" s="1"/>
  <c r="BE17" i="14"/>
  <c r="CQ17" i="14" s="1"/>
  <c r="BF17" i="14"/>
  <c r="CR17" i="14" s="1"/>
  <c r="BE24" i="14"/>
  <c r="BF24" i="14"/>
  <c r="BE32" i="14"/>
  <c r="CQ32" i="14" s="1"/>
  <c r="BE41" i="14"/>
  <c r="CQ41" i="14" s="1"/>
  <c r="BE43" i="14"/>
  <c r="CQ43" i="14" s="1"/>
  <c r="BF43" i="14"/>
  <c r="CR43" i="14" s="1"/>
  <c r="BE48" i="14"/>
  <c r="CQ48" i="14" s="1"/>
  <c r="BF48" i="14"/>
  <c r="CR48" i="14" s="1"/>
  <c r="BE51" i="14"/>
  <c r="CQ51" i="14" s="1"/>
  <c r="BF51" i="14"/>
  <c r="CR51" i="14" s="1"/>
  <c r="BE58" i="14"/>
  <c r="CQ58" i="14" s="1"/>
  <c r="BE65" i="14"/>
  <c r="CQ65" i="14" s="1"/>
  <c r="BE71" i="14"/>
  <c r="CQ71" i="14" s="1"/>
  <c r="BE73" i="14"/>
  <c r="CQ73" i="14" s="1"/>
  <c r="BF73" i="14"/>
  <c r="CR73" i="14" s="1"/>
  <c r="BE76" i="14"/>
  <c r="CQ76" i="14" s="1"/>
  <c r="BF76" i="14"/>
  <c r="CR76" i="14" s="1"/>
  <c r="BE78" i="14"/>
  <c r="CQ78" i="14" s="1"/>
  <c r="BF78" i="14"/>
  <c r="CR78" i="14" s="1"/>
  <c r="BE80" i="14"/>
  <c r="CQ80" i="14" s="1"/>
  <c r="BF80" i="14"/>
  <c r="CR80" i="14" s="1"/>
  <c r="BE86" i="14"/>
  <c r="CQ86" i="14" s="1"/>
  <c r="BF86" i="14"/>
  <c r="CR86" i="14" s="1"/>
  <c r="AK8" i="14"/>
  <c r="BE5" i="14"/>
  <c r="BE46" i="14"/>
  <c r="CQ46" i="14" s="1"/>
  <c r="Q66" i="14"/>
  <c r="BE66" i="14"/>
  <c r="CQ66" i="14" s="1"/>
  <c r="DK5" i="14"/>
  <c r="AK191" i="14"/>
  <c r="AK25" i="14"/>
  <c r="Q5" i="14"/>
  <c r="Q14" i="14"/>
  <c r="Q30" i="14"/>
  <c r="Q33" i="14"/>
  <c r="Q42" i="14"/>
  <c r="Q46" i="14"/>
  <c r="Q56" i="14"/>
  <c r="Q72" i="14"/>
  <c r="Q83" i="14"/>
  <c r="Q75" i="14"/>
  <c r="Q10" i="14"/>
  <c r="Q15" i="14"/>
  <c r="Q17" i="14"/>
  <c r="Q24" i="14"/>
  <c r="Q43" i="14"/>
  <c r="Q48" i="14"/>
  <c r="Q51" i="14"/>
  <c r="Q65" i="14"/>
  <c r="Q73" i="14"/>
  <c r="Q76" i="14"/>
  <c r="Q78" i="14"/>
  <c r="Q80" i="14"/>
  <c r="Q86" i="14"/>
  <c r="T5" i="19"/>
  <c r="W5" i="19" s="1"/>
  <c r="AD7" i="19"/>
  <c r="AV7" i="19" s="1"/>
  <c r="AD10" i="19"/>
  <c r="AV10" i="19" s="1"/>
  <c r="AD15" i="19"/>
  <c r="AV15" i="19" s="1"/>
  <c r="AD17" i="19"/>
  <c r="AV17" i="19" s="1"/>
  <c r="AD24" i="19"/>
  <c r="AD32" i="19"/>
  <c r="AD41" i="19"/>
  <c r="AD43" i="19"/>
  <c r="AD48" i="19"/>
  <c r="AV48" i="19" s="1"/>
  <c r="AY48" i="19" s="1"/>
  <c r="AD51" i="19"/>
  <c r="AV51" i="19" s="1"/>
  <c r="AY51" i="19" s="1"/>
  <c r="AD58" i="19"/>
  <c r="AD65" i="19"/>
  <c r="AD71" i="19"/>
  <c r="AV71" i="19" s="1"/>
  <c r="AY71" i="19" s="1"/>
  <c r="AD73" i="19"/>
  <c r="AV73" i="19" s="1"/>
  <c r="AY73" i="19" s="1"/>
  <c r="AD76" i="19"/>
  <c r="AD78" i="19"/>
  <c r="AD80" i="19"/>
  <c r="AV80" i="19" s="1"/>
  <c r="AY80" i="19" s="1"/>
  <c r="AD86" i="19"/>
  <c r="AD5" i="19"/>
  <c r="AD9" i="19"/>
  <c r="AD14" i="19"/>
  <c r="AV14" i="19" s="1"/>
  <c r="AD16" i="19"/>
  <c r="AD21" i="19"/>
  <c r="AD30" i="19"/>
  <c r="AV30" i="19" s="1"/>
  <c r="AD33" i="19"/>
  <c r="AD42" i="19"/>
  <c r="AD46" i="19"/>
  <c r="AD50" i="19"/>
  <c r="AV50" i="19" s="1"/>
  <c r="AY50" i="19" s="1"/>
  <c r="AD56" i="19"/>
  <c r="AV56" i="19" s="1"/>
  <c r="AY56" i="19" s="1"/>
  <c r="AD59" i="19"/>
  <c r="AD66" i="19"/>
  <c r="AV66" i="19" s="1"/>
  <c r="AD72" i="19"/>
  <c r="AV72" i="19" s="1"/>
  <c r="AY72" i="19" s="1"/>
  <c r="AD75" i="19"/>
  <c r="AV75" i="19" s="1"/>
  <c r="AY75" i="19" s="1"/>
  <c r="AD77" i="19"/>
  <c r="AD79" i="19"/>
  <c r="AD83" i="19"/>
  <c r="BF5" i="19"/>
  <c r="AM5" i="19"/>
  <c r="J7" i="19"/>
  <c r="J10" i="19"/>
  <c r="M10" i="19" s="1"/>
  <c r="J15" i="19"/>
  <c r="M15" i="19" s="1"/>
  <c r="J17" i="19"/>
  <c r="M17" i="19" s="1"/>
  <c r="J32" i="19"/>
  <c r="J43" i="19"/>
  <c r="M43" i="19" s="1"/>
  <c r="J48" i="19"/>
  <c r="M48" i="19" s="1"/>
  <c r="J51" i="19"/>
  <c r="M51" i="19" s="1"/>
  <c r="J58" i="19"/>
  <c r="M58" i="19" s="1"/>
  <c r="J73" i="19"/>
  <c r="M73" i="19" s="1"/>
  <c r="J76" i="19"/>
  <c r="J78" i="19"/>
  <c r="M78" i="19" s="1"/>
  <c r="J80" i="19"/>
  <c r="M80" i="19" s="1"/>
  <c r="J86" i="19"/>
  <c r="M86" i="19" s="1"/>
  <c r="J130" i="19"/>
  <c r="J171" i="19"/>
  <c r="J162" i="19"/>
  <c r="M162" i="19" s="1"/>
  <c r="J146" i="19"/>
  <c r="M146" i="19" s="1"/>
  <c r="J172" i="19"/>
  <c r="J9" i="19"/>
  <c r="M9" i="19" s="1"/>
  <c r="J16" i="19"/>
  <c r="M16" i="19" s="1"/>
  <c r="J42" i="19"/>
  <c r="M42" i="19" s="1"/>
  <c r="J50" i="19"/>
  <c r="M50" i="19" s="1"/>
  <c r="J56" i="19"/>
  <c r="M56" i="19" s="1"/>
  <c r="J59" i="19"/>
  <c r="M59" i="19" s="1"/>
  <c r="J66" i="19"/>
  <c r="M66" i="19" s="1"/>
  <c r="J72" i="19"/>
  <c r="M72" i="19" s="1"/>
  <c r="J75" i="19"/>
  <c r="M75" i="19" s="1"/>
  <c r="J77" i="19"/>
  <c r="M77" i="19" s="1"/>
  <c r="J79" i="19"/>
  <c r="M79" i="19" s="1"/>
  <c r="J83" i="19"/>
  <c r="M83" i="19" s="1"/>
  <c r="J30" i="19"/>
  <c r="M30" i="19" s="1"/>
  <c r="J21" i="19"/>
  <c r="M21" i="19" s="1"/>
  <c r="J5" i="19"/>
  <c r="M5" i="19" s="1"/>
  <c r="J41" i="19"/>
  <c r="M41" i="19" s="1"/>
  <c r="J24" i="19"/>
  <c r="J14" i="19"/>
  <c r="M14" i="19" s="1"/>
  <c r="O99" i="14"/>
  <c r="F96" i="33" s="1"/>
  <c r="I96" i="33" s="1"/>
  <c r="AV76" i="19" l="1"/>
  <c r="AV32" i="19"/>
  <c r="AV79" i="19"/>
  <c r="AV46" i="19"/>
  <c r="AY46" i="19" s="1"/>
  <c r="BF191" i="14"/>
  <c r="BF193" i="14" s="1"/>
  <c r="CR24" i="14"/>
  <c r="BE191" i="14"/>
  <c r="BE193" i="14" s="1"/>
  <c r="CQ24" i="14"/>
  <c r="BE187" i="14"/>
  <c r="BE189" i="14" s="1"/>
  <c r="CQ21" i="14"/>
  <c r="BX67" i="14"/>
  <c r="DK25" i="14"/>
  <c r="BX187" i="14"/>
  <c r="BX189" i="14" s="1"/>
  <c r="AK6" i="14"/>
  <c r="Q25" i="14"/>
  <c r="Q79" i="14"/>
  <c r="BY187" i="14"/>
  <c r="BY189" i="14" s="1"/>
  <c r="DL18" i="14"/>
  <c r="Q7" i="14"/>
  <c r="Q8" i="14" s="1"/>
  <c r="Q59" i="14"/>
  <c r="Q50" i="14"/>
  <c r="Q9" i="14"/>
  <c r="AV59" i="19"/>
  <c r="AY59" i="19" s="1"/>
  <c r="AV16" i="19"/>
  <c r="Q77" i="14"/>
  <c r="BY60" i="14"/>
  <c r="BY61" i="14" s="1"/>
  <c r="AV58" i="19"/>
  <c r="AY58" i="19" s="1"/>
  <c r="AV77" i="19"/>
  <c r="AY77" i="19" s="1"/>
  <c r="Q16" i="14"/>
  <c r="Q18" i="14" s="1"/>
  <c r="AV78" i="19"/>
  <c r="AV41" i="19"/>
  <c r="AY41" i="19" s="1"/>
  <c r="AK67" i="14"/>
  <c r="J191" i="19"/>
  <c r="M24" i="19"/>
  <c r="J131" i="19"/>
  <c r="M130" i="19"/>
  <c r="AD191" i="19"/>
  <c r="AV24" i="19"/>
  <c r="AV42" i="19"/>
  <c r="AY42" i="19" s="1"/>
  <c r="AV86" i="19"/>
  <c r="AY86" i="19" s="1"/>
  <c r="AV33" i="19"/>
  <c r="AV65" i="19"/>
  <c r="AY65" i="19" s="1"/>
  <c r="AV43" i="19"/>
  <c r="AY43" i="19" s="1"/>
  <c r="AV83" i="19"/>
  <c r="AY83" i="19" s="1"/>
  <c r="AV9" i="19"/>
  <c r="J8" i="19"/>
  <c r="M7" i="19"/>
  <c r="AD187" i="19"/>
  <c r="AV21" i="19"/>
  <c r="AK81" i="14"/>
  <c r="DK81" i="14"/>
  <c r="BX81" i="14"/>
  <c r="BX11" i="14"/>
  <c r="BE34" i="14"/>
  <c r="BE81" i="14"/>
  <c r="T81" i="19"/>
  <c r="W81" i="19" s="1"/>
  <c r="J71" i="19"/>
  <c r="AM81" i="19"/>
  <c r="BF81" i="19"/>
  <c r="AD81" i="19"/>
  <c r="AK60" i="14"/>
  <c r="AK44" i="14"/>
  <c r="AK53" i="14" s="1"/>
  <c r="AK34" i="14"/>
  <c r="BX18" i="14"/>
  <c r="DK44" i="14"/>
  <c r="DK53" i="14" s="1"/>
  <c r="DK67" i="14"/>
  <c r="BE44" i="14"/>
  <c r="BE47" i="14" s="1"/>
  <c r="BE18" i="14"/>
  <c r="DK27" i="14"/>
  <c r="DK28" i="14" s="1"/>
  <c r="BE27" i="14"/>
  <c r="BE60" i="14"/>
  <c r="DK22" i="14"/>
  <c r="AK18" i="14"/>
  <c r="BE63" i="14"/>
  <c r="BF14" i="14"/>
  <c r="CR14" i="14" s="1"/>
  <c r="R59" i="14"/>
  <c r="W59" i="14" s="1"/>
  <c r="R42" i="14"/>
  <c r="W42" i="14" s="1"/>
  <c r="R16" i="14"/>
  <c r="W16" i="14" s="1"/>
  <c r="BY67" i="14"/>
  <c r="BF32" i="14"/>
  <c r="CR32" i="14" s="1"/>
  <c r="R43" i="14"/>
  <c r="W43" i="14" s="1"/>
  <c r="R17" i="14"/>
  <c r="W17" i="14" s="1"/>
  <c r="BF11" i="14"/>
  <c r="R75" i="14"/>
  <c r="W75" i="14" s="1"/>
  <c r="R56" i="14"/>
  <c r="W56" i="14" s="1"/>
  <c r="BF71" i="14"/>
  <c r="CR71" i="14" s="1"/>
  <c r="R76" i="14"/>
  <c r="W76" i="14" s="1"/>
  <c r="R15" i="14"/>
  <c r="W15" i="14" s="1"/>
  <c r="DL6" i="14"/>
  <c r="BF21" i="14"/>
  <c r="R83" i="14"/>
  <c r="W83" i="14" s="1"/>
  <c r="R72" i="14"/>
  <c r="W72" i="14" s="1"/>
  <c r="R50" i="14"/>
  <c r="W50" i="14" s="1"/>
  <c r="R30" i="14"/>
  <c r="W30" i="14" s="1"/>
  <c r="R9" i="14"/>
  <c r="W9" i="14" s="1"/>
  <c r="BY34" i="14"/>
  <c r="BF65" i="14"/>
  <c r="CR65" i="14" s="1"/>
  <c r="R86" i="14"/>
  <c r="W86" i="14" s="1"/>
  <c r="R73" i="14"/>
  <c r="W73" i="14" s="1"/>
  <c r="R51" i="14"/>
  <c r="W51" i="14" s="1"/>
  <c r="R10" i="14"/>
  <c r="W10" i="14" s="1"/>
  <c r="R79" i="14"/>
  <c r="W79" i="14" s="1"/>
  <c r="R66" i="14"/>
  <c r="W66" i="14" s="1"/>
  <c r="AL5" i="14"/>
  <c r="AQ5" i="14" s="1"/>
  <c r="DL60" i="14"/>
  <c r="BF58" i="14"/>
  <c r="CR58" i="14" s="1"/>
  <c r="BF41" i="14"/>
  <c r="CR41" i="14" s="1"/>
  <c r="R80" i="14"/>
  <c r="W80" i="14" s="1"/>
  <c r="R48" i="14"/>
  <c r="W48" i="14" s="1"/>
  <c r="R24" i="14"/>
  <c r="W24" i="14" s="1"/>
  <c r="R7" i="14"/>
  <c r="W7" i="14" s="1"/>
  <c r="BY5" i="14"/>
  <c r="BY11" i="14" s="1"/>
  <c r="J99" i="21"/>
  <c r="K99" i="8"/>
  <c r="K103" i="8" s="1"/>
  <c r="M103" i="8" s="1"/>
  <c r="Q27" i="14"/>
  <c r="CQ60" i="14"/>
  <c r="DK6" i="14"/>
  <c r="DK11" i="14"/>
  <c r="DK12" i="14" s="1"/>
  <c r="CQ5" i="14"/>
  <c r="BE11" i="14"/>
  <c r="Q32" i="14"/>
  <c r="Q22" i="14"/>
  <c r="Q187" i="14"/>
  <c r="Q189" i="14" s="1"/>
  <c r="Q23" i="14" s="1"/>
  <c r="DK60" i="14"/>
  <c r="BX60" i="14"/>
  <c r="BX61" i="14" s="1"/>
  <c r="Q58" i="14"/>
  <c r="Q191" i="14"/>
  <c r="Q193" i="14" s="1"/>
  <c r="Q26" i="14" s="1"/>
  <c r="DK63" i="14"/>
  <c r="BX63" i="14"/>
  <c r="BX44" i="14"/>
  <c r="BX53" i="14" s="1"/>
  <c r="Q6" i="14"/>
  <c r="DK18" i="14"/>
  <c r="Q41" i="14"/>
  <c r="BE67" i="14"/>
  <c r="DK34" i="14"/>
  <c r="BF18" i="19"/>
  <c r="J99" i="19"/>
  <c r="AM11" i="19"/>
  <c r="AM18" i="19"/>
  <c r="J6" i="19"/>
  <c r="J11" i="19"/>
  <c r="J27" i="19"/>
  <c r="J187" i="19"/>
  <c r="J60" i="19"/>
  <c r="M60" i="19" s="1"/>
  <c r="T191" i="19"/>
  <c r="J18" i="19"/>
  <c r="M18" i="19" s="1"/>
  <c r="T27" i="19"/>
  <c r="W27" i="19" s="1"/>
  <c r="T187" i="19"/>
  <c r="AD18" i="19"/>
  <c r="BF34" i="19"/>
  <c r="AM34" i="19"/>
  <c r="AD34" i="19"/>
  <c r="T44" i="19"/>
  <c r="J65" i="19"/>
  <c r="J25" i="19"/>
  <c r="T67" i="19"/>
  <c r="W67" i="19" s="1"/>
  <c r="T34" i="19"/>
  <c r="J22" i="19"/>
  <c r="J63" i="19"/>
  <c r="J44" i="19"/>
  <c r="M44" i="19" s="1"/>
  <c r="BF27" i="19"/>
  <c r="BF11" i="19"/>
  <c r="AD27" i="19"/>
  <c r="AV5" i="19"/>
  <c r="AD11" i="19"/>
  <c r="BF67" i="19"/>
  <c r="AM67" i="19"/>
  <c r="AD67" i="19"/>
  <c r="T60" i="19"/>
  <c r="W60" i="19" s="1"/>
  <c r="J46" i="19"/>
  <c r="M46" i="19" s="1"/>
  <c r="J33" i="19"/>
  <c r="J34" i="19" s="1"/>
  <c r="J169" i="19"/>
  <c r="AM27" i="19"/>
  <c r="BF60" i="19"/>
  <c r="BF44" i="19"/>
  <c r="BF53" i="19" s="1"/>
  <c r="BF63" i="19"/>
  <c r="AM60" i="19"/>
  <c r="AM63" i="19"/>
  <c r="AM44" i="19"/>
  <c r="AM53" i="19" s="1"/>
  <c r="T18" i="19"/>
  <c r="W18" i="19" s="1"/>
  <c r="AD60" i="19"/>
  <c r="AD63" i="19"/>
  <c r="AD44" i="19"/>
  <c r="T11" i="19"/>
  <c r="W11" i="19" s="1"/>
  <c r="J123" i="19"/>
  <c r="BF187" i="14" l="1"/>
  <c r="BF189" i="14" s="1"/>
  <c r="CR21" i="14"/>
  <c r="CR187" i="14" s="1"/>
  <c r="CR189" i="14" s="1"/>
  <c r="CQ191" i="14"/>
  <c r="CQ193" i="14" s="1"/>
  <c r="BX191" i="14"/>
  <c r="BX193" i="14" s="1"/>
  <c r="CQ11" i="14"/>
  <c r="Q11" i="14"/>
  <c r="DL11" i="14"/>
  <c r="DL12" i="14" s="1"/>
  <c r="DL81" i="14"/>
  <c r="CQ63" i="14"/>
  <c r="AK27" i="14"/>
  <c r="AK28" i="14" s="1"/>
  <c r="CQ34" i="14"/>
  <c r="BY18" i="14"/>
  <c r="CQ44" i="14"/>
  <c r="AK11" i="14"/>
  <c r="BX27" i="14"/>
  <c r="DL67" i="14"/>
  <c r="CQ187" i="14"/>
  <c r="CQ189" i="14" s="1"/>
  <c r="AK22" i="14"/>
  <c r="DL34" i="14"/>
  <c r="BX34" i="14"/>
  <c r="R33" i="14"/>
  <c r="R78" i="14"/>
  <c r="AK19" i="14"/>
  <c r="AK187" i="14"/>
  <c r="R77" i="14"/>
  <c r="W77" i="14" s="1"/>
  <c r="AV191" i="19"/>
  <c r="J81" i="19"/>
  <c r="M81" i="19" s="1"/>
  <c r="M71" i="19"/>
  <c r="AV187" i="19"/>
  <c r="T53" i="19"/>
  <c r="W53" i="19" s="1"/>
  <c r="W44" i="19"/>
  <c r="AM123" i="19"/>
  <c r="AM122" i="19" s="1"/>
  <c r="AM130" i="19" s="1"/>
  <c r="BF123" i="19"/>
  <c r="BF122" i="19" s="1"/>
  <c r="BF130" i="19" s="1"/>
  <c r="AD123" i="19"/>
  <c r="AD122" i="19" s="1"/>
  <c r="AD130" i="19" s="1"/>
  <c r="AV123" i="19"/>
  <c r="AV122" i="19" s="1"/>
  <c r="J12" i="19"/>
  <c r="M11" i="19"/>
  <c r="J28" i="19"/>
  <c r="M27" i="19"/>
  <c r="J67" i="19"/>
  <c r="M67" i="19" s="1"/>
  <c r="M65" i="19"/>
  <c r="BH38" i="19"/>
  <c r="U122" i="19"/>
  <c r="V122" i="19"/>
  <c r="R8" i="14"/>
  <c r="Q71" i="14"/>
  <c r="DL25" i="14"/>
  <c r="CQ81" i="14"/>
  <c r="BF81" i="14"/>
  <c r="BY81" i="14"/>
  <c r="BE35" i="14"/>
  <c r="CQ18" i="14"/>
  <c r="AK62" i="14"/>
  <c r="AV67" i="19"/>
  <c r="AY67" i="19" s="1"/>
  <c r="AV81" i="19"/>
  <c r="AY81" i="19" s="1"/>
  <c r="AL81" i="14"/>
  <c r="AQ81" i="14" s="1"/>
  <c r="BE52" i="14"/>
  <c r="BE53" i="14"/>
  <c r="BE62" i="14" s="1"/>
  <c r="BE49" i="14"/>
  <c r="BE45" i="14"/>
  <c r="AL8" i="14"/>
  <c r="R71" i="14"/>
  <c r="W71" i="14" s="1"/>
  <c r="R5" i="14"/>
  <c r="W5" i="14" s="1"/>
  <c r="BY63" i="14"/>
  <c r="BY44" i="14"/>
  <c r="BY53" i="14" s="1"/>
  <c r="BY62" i="14" s="1"/>
  <c r="AL67" i="14"/>
  <c r="AQ67" i="14" s="1"/>
  <c r="R191" i="14"/>
  <c r="R193" i="14" s="1"/>
  <c r="R26" i="14" s="1"/>
  <c r="R25" i="14"/>
  <c r="R58" i="14"/>
  <c r="W58" i="14" s="1"/>
  <c r="R14" i="14"/>
  <c r="W14" i="14" s="1"/>
  <c r="R65" i="14"/>
  <c r="W65" i="14" s="1"/>
  <c r="AL191" i="14"/>
  <c r="AL193" i="14" s="1"/>
  <c r="AL26" i="14" s="1"/>
  <c r="AL25" i="14"/>
  <c r="AL6" i="14"/>
  <c r="AL11" i="14"/>
  <c r="AQ11" i="14" s="1"/>
  <c r="AL18" i="14"/>
  <c r="AQ18" i="14" s="1"/>
  <c r="CR18" i="14"/>
  <c r="BF18" i="14"/>
  <c r="BF44" i="14"/>
  <c r="BF52" i="14" s="1"/>
  <c r="BF63" i="14"/>
  <c r="AL22" i="14"/>
  <c r="AL27" i="14"/>
  <c r="AQ27" i="14" s="1"/>
  <c r="AL187" i="14"/>
  <c r="AL189" i="14" s="1"/>
  <c r="AL23" i="14" s="1"/>
  <c r="DL63" i="14"/>
  <c r="DL44" i="14"/>
  <c r="DL53" i="14" s="1"/>
  <c r="DL62" i="14" s="1"/>
  <c r="BF27" i="14"/>
  <c r="AL44" i="14"/>
  <c r="AL53" i="14" s="1"/>
  <c r="CR34" i="14"/>
  <c r="BF34" i="14"/>
  <c r="BF67" i="14"/>
  <c r="CR67" i="14"/>
  <c r="CW67" i="14" s="1"/>
  <c r="R21" i="14"/>
  <c r="W21" i="14" s="1"/>
  <c r="CR60" i="14"/>
  <c r="CW60" i="14" s="1"/>
  <c r="BF60" i="14"/>
  <c r="AL34" i="14"/>
  <c r="R32" i="14"/>
  <c r="DL22" i="14"/>
  <c r="DL27" i="14"/>
  <c r="DL28" i="14" s="1"/>
  <c r="R41" i="14"/>
  <c r="W41" i="14" s="1"/>
  <c r="R46" i="14"/>
  <c r="W46" i="14" s="1"/>
  <c r="AL60" i="14"/>
  <c r="CR5" i="14"/>
  <c r="CR11" i="14" s="1"/>
  <c r="BX62" i="14"/>
  <c r="CQ67" i="14"/>
  <c r="DK62" i="14"/>
  <c r="Q19" i="14"/>
  <c r="Q28" i="14"/>
  <c r="Q34" i="14"/>
  <c r="Q35" i="14" s="1"/>
  <c r="DK35" i="14"/>
  <c r="Q60" i="14"/>
  <c r="Q67" i="14"/>
  <c r="Q12" i="14"/>
  <c r="Q63" i="14"/>
  <c r="Q169" i="14"/>
  <c r="Q44" i="14"/>
  <c r="BF35" i="19"/>
  <c r="T123" i="19"/>
  <c r="T122" i="19" s="1"/>
  <c r="T130" i="19" s="1"/>
  <c r="J122" i="19"/>
  <c r="M122" i="19" s="1"/>
  <c r="AM35" i="19"/>
  <c r="BF62" i="19"/>
  <c r="T35" i="19"/>
  <c r="AV60" i="19"/>
  <c r="AY60" i="19" s="1"/>
  <c r="J47" i="19"/>
  <c r="BF36" i="19"/>
  <c r="AV11" i="19"/>
  <c r="AD47" i="19"/>
  <c r="AD45" i="19"/>
  <c r="AD49" i="19"/>
  <c r="AD53" i="19"/>
  <c r="AD62" i="19" s="1"/>
  <c r="AD52" i="19"/>
  <c r="AM62" i="19"/>
  <c r="AV27" i="19"/>
  <c r="J45" i="19"/>
  <c r="J49" i="19"/>
  <c r="J53" i="19"/>
  <c r="AV34" i="19"/>
  <c r="AV44" i="19"/>
  <c r="AV63" i="19"/>
  <c r="AD35" i="19"/>
  <c r="AV18" i="19"/>
  <c r="J35" i="19"/>
  <c r="M35" i="19" s="1"/>
  <c r="T62" i="19" l="1"/>
  <c r="W62" i="19" s="1"/>
  <c r="AL28" i="14"/>
  <c r="AL12" i="14"/>
  <c r="CR191" i="14"/>
  <c r="CR193" i="14" s="1"/>
  <c r="BY191" i="14"/>
  <c r="BY193" i="14" s="1"/>
  <c r="AK35" i="14"/>
  <c r="AK36" i="14" s="1"/>
  <c r="CQ27" i="14"/>
  <c r="CQ35" i="14" s="1"/>
  <c r="BY27" i="14"/>
  <c r="BY35" i="14" s="1"/>
  <c r="BY82" i="14" s="1"/>
  <c r="R67" i="14"/>
  <c r="W67" i="14" s="1"/>
  <c r="R60" i="14"/>
  <c r="W60" i="14" s="1"/>
  <c r="CQ53" i="14"/>
  <c r="CQ47" i="14"/>
  <c r="CQ49" i="14"/>
  <c r="CQ45" i="14"/>
  <c r="R81" i="14"/>
  <c r="W81" i="14" s="1"/>
  <c r="R34" i="14"/>
  <c r="BX35" i="14"/>
  <c r="BX69" i="14" s="1"/>
  <c r="BX74" i="14" s="1"/>
  <c r="AK12" i="14"/>
  <c r="Q81" i="14"/>
  <c r="AY122" i="19"/>
  <c r="AV130" i="19"/>
  <c r="AY130" i="19" s="1"/>
  <c r="J62" i="19"/>
  <c r="M62" i="19" s="1"/>
  <c r="M53" i="19"/>
  <c r="AV49" i="19"/>
  <c r="AY44" i="19"/>
  <c r="T36" i="19"/>
  <c r="W35" i="19"/>
  <c r="V130" i="19"/>
  <c r="W130" i="19" s="1"/>
  <c r="W122" i="19"/>
  <c r="V19" i="19"/>
  <c r="U130" i="19"/>
  <c r="CR81" i="14"/>
  <c r="CW81" i="14" s="1"/>
  <c r="BE54" i="14"/>
  <c r="BE82" i="14"/>
  <c r="BE84" i="14" s="1"/>
  <c r="BE69" i="14"/>
  <c r="BE74" i="14" s="1"/>
  <c r="AL62" i="14"/>
  <c r="R63" i="14"/>
  <c r="DL35" i="14"/>
  <c r="DL69" i="14" s="1"/>
  <c r="R27" i="14"/>
  <c r="W27" i="14" s="1"/>
  <c r="R187" i="14"/>
  <c r="R189" i="14" s="1"/>
  <c r="R23" i="14" s="1"/>
  <c r="R22" i="14"/>
  <c r="BF35" i="14"/>
  <c r="AL35" i="14"/>
  <c r="AQ35" i="14" s="1"/>
  <c r="AL19" i="14"/>
  <c r="R18" i="14"/>
  <c r="W18" i="14" s="1"/>
  <c r="R44" i="14"/>
  <c r="W44" i="14" s="1"/>
  <c r="R169" i="14"/>
  <c r="W169" i="14" s="1"/>
  <c r="R11" i="14"/>
  <c r="W11" i="14" s="1"/>
  <c r="R6" i="14"/>
  <c r="CR27" i="14"/>
  <c r="CR35" i="14" s="1"/>
  <c r="BF53" i="14"/>
  <c r="BF62" i="14" s="1"/>
  <c r="BF45" i="14"/>
  <c r="BF49" i="14"/>
  <c r="BF47" i="14"/>
  <c r="CR44" i="14"/>
  <c r="CW44" i="14" s="1"/>
  <c r="CR63" i="14"/>
  <c r="Q36" i="14"/>
  <c r="Q45" i="14"/>
  <c r="Q53" i="14"/>
  <c r="Q49" i="14"/>
  <c r="Q47" i="14"/>
  <c r="DK36" i="14"/>
  <c r="DK69" i="14"/>
  <c r="DK82" i="14"/>
  <c r="AM69" i="19"/>
  <c r="AM74" i="19" s="1"/>
  <c r="BF69" i="19"/>
  <c r="BF82" i="19"/>
  <c r="BF84" i="19" s="1"/>
  <c r="AD69" i="19"/>
  <c r="AD74" i="19" s="1"/>
  <c r="AD54" i="19"/>
  <c r="T82" i="19"/>
  <c r="W82" i="19" s="1"/>
  <c r="J36" i="19"/>
  <c r="J37" i="19" s="1"/>
  <c r="AV35" i="19"/>
  <c r="AD82" i="19"/>
  <c r="AM82" i="19"/>
  <c r="AV45" i="19"/>
  <c r="AV53" i="19"/>
  <c r="AV47" i="19"/>
  <c r="T69" i="19" l="1"/>
  <c r="W69" i="19" s="1"/>
  <c r="J69" i="19"/>
  <c r="AK82" i="14"/>
  <c r="BY69" i="14"/>
  <c r="BY74" i="14" s="1"/>
  <c r="AK69" i="14"/>
  <c r="AK74" i="14" s="1"/>
  <c r="CQ62" i="14"/>
  <c r="CQ82" i="14" s="1"/>
  <c r="BX82" i="14"/>
  <c r="BX85" i="14" s="1"/>
  <c r="BX87" i="14" s="1"/>
  <c r="AK38" i="14"/>
  <c r="J82" i="19"/>
  <c r="M82" i="19" s="1"/>
  <c r="AK37" i="14"/>
  <c r="AK84" i="14"/>
  <c r="J74" i="19"/>
  <c r="M69" i="19"/>
  <c r="AV62" i="19"/>
  <c r="AY62" i="19" s="1"/>
  <c r="AY53" i="19"/>
  <c r="V38" i="19"/>
  <c r="R28" i="14"/>
  <c r="AK85" i="14"/>
  <c r="AK92" i="14" s="1"/>
  <c r="R12" i="14"/>
  <c r="BE85" i="14"/>
  <c r="BE87" i="14" s="1"/>
  <c r="DL82" i="14"/>
  <c r="DL85" i="14" s="1"/>
  <c r="DL36" i="14"/>
  <c r="DL37" i="14" s="1"/>
  <c r="BF54" i="14"/>
  <c r="R53" i="14"/>
  <c r="W53" i="14" s="1"/>
  <c r="R45" i="14"/>
  <c r="R49" i="14"/>
  <c r="AL82" i="14"/>
  <c r="AQ82" i="14" s="1"/>
  <c r="AL36" i="14"/>
  <c r="AQ36" i="14" s="1"/>
  <c r="AL69" i="14"/>
  <c r="BF82" i="14"/>
  <c r="BF69" i="14"/>
  <c r="BF74" i="14" s="1"/>
  <c r="BY85" i="14"/>
  <c r="BY84" i="14"/>
  <c r="R47" i="14"/>
  <c r="CR45" i="14"/>
  <c r="CR53" i="14"/>
  <c r="CW53" i="14" s="1"/>
  <c r="CR47" i="14"/>
  <c r="CR49" i="14"/>
  <c r="R35" i="14"/>
  <c r="W35" i="14" s="1"/>
  <c r="R19" i="14"/>
  <c r="DK37" i="14"/>
  <c r="DK38" i="14"/>
  <c r="DK85" i="14"/>
  <c r="DK84" i="14"/>
  <c r="Q62" i="14"/>
  <c r="Q37" i="14"/>
  <c r="Q38" i="14"/>
  <c r="BF85" i="19"/>
  <c r="BF87" i="19" s="1"/>
  <c r="AM85" i="19"/>
  <c r="AM84" i="19"/>
  <c r="AD85" i="19"/>
  <c r="AD84" i="19"/>
  <c r="T85" i="19"/>
  <c r="T84" i="19"/>
  <c r="T74" i="19" l="1"/>
  <c r="W85" i="19"/>
  <c r="T92" i="19"/>
  <c r="AV69" i="19"/>
  <c r="AV82" i="19"/>
  <c r="AY82" i="19" s="1"/>
  <c r="BX84" i="14"/>
  <c r="J84" i="19"/>
  <c r="J85" i="19"/>
  <c r="M85" i="19" s="1"/>
  <c r="BX88" i="14"/>
  <c r="BX89" i="14" s="1"/>
  <c r="AL74" i="14"/>
  <c r="AQ69" i="14"/>
  <c r="R62" i="14"/>
  <c r="CQ69" i="14"/>
  <c r="AK87" i="14"/>
  <c r="AK88" i="14"/>
  <c r="AK89" i="14" s="1"/>
  <c r="CQ85" i="14"/>
  <c r="CQ88" i="14" s="1"/>
  <c r="BE88" i="14"/>
  <c r="BE91" i="14" s="1"/>
  <c r="BE117" i="14" s="1"/>
  <c r="AV74" i="19"/>
  <c r="AY69" i="19"/>
  <c r="DL84" i="14"/>
  <c r="DL38" i="14"/>
  <c r="CR62" i="14"/>
  <c r="CQ84" i="14"/>
  <c r="DL88" i="14"/>
  <c r="DL89" i="14" s="1"/>
  <c r="DL87" i="14"/>
  <c r="BY88" i="14"/>
  <c r="BY87" i="14"/>
  <c r="BF85" i="14"/>
  <c r="BF84" i="14"/>
  <c r="AL37" i="14"/>
  <c r="AL38" i="14"/>
  <c r="R36" i="14"/>
  <c r="AL85" i="14"/>
  <c r="AL84" i="14"/>
  <c r="Q69" i="14"/>
  <c r="Q82" i="14"/>
  <c r="DK88" i="14"/>
  <c r="DK89" i="14" s="1"/>
  <c r="DK87" i="14"/>
  <c r="BF88" i="19"/>
  <c r="BF89" i="19" s="1"/>
  <c r="AM88" i="19"/>
  <c r="AM87" i="19"/>
  <c r="T87" i="19"/>
  <c r="T88" i="19"/>
  <c r="AD88" i="19"/>
  <c r="AD89" i="19" s="1"/>
  <c r="AD87" i="19"/>
  <c r="AV85" i="19"/>
  <c r="AY85" i="19" s="1"/>
  <c r="AV84" i="19"/>
  <c r="J87" i="19"/>
  <c r="J88" i="19"/>
  <c r="AI184" i="14"/>
  <c r="AI183" i="14"/>
  <c r="AI179" i="14"/>
  <c r="AI178" i="14"/>
  <c r="AI176" i="14"/>
  <c r="AI175" i="14"/>
  <c r="AI168" i="14"/>
  <c r="AI167" i="14"/>
  <c r="AI160" i="14"/>
  <c r="AI159" i="14"/>
  <c r="AI158" i="14"/>
  <c r="AI157" i="14"/>
  <c r="AI154" i="14"/>
  <c r="AI150" i="14"/>
  <c r="AI149" i="14"/>
  <c r="AI144" i="14"/>
  <c r="AI141" i="14"/>
  <c r="AI140" i="14"/>
  <c r="AI139" i="14"/>
  <c r="AI138" i="14"/>
  <c r="AI137" i="14"/>
  <c r="AI136" i="14"/>
  <c r="AI128" i="14"/>
  <c r="AI127" i="14"/>
  <c r="AI126" i="14"/>
  <c r="AI123" i="14"/>
  <c r="AI115" i="14"/>
  <c r="AI114" i="14"/>
  <c r="AI112" i="14"/>
  <c r="AI110" i="14"/>
  <c r="AI109" i="14"/>
  <c r="AI107" i="14"/>
  <c r="AQ85" i="14" l="1"/>
  <c r="AL92" i="14"/>
  <c r="R69" i="14"/>
  <c r="W69" i="14" s="1"/>
  <c r="W62" i="14"/>
  <c r="BX91" i="14"/>
  <c r="BX117" i="14" s="1"/>
  <c r="BX90" i="14"/>
  <c r="BX116" i="14" s="1"/>
  <c r="R82" i="14"/>
  <c r="AK90" i="14"/>
  <c r="AK116" i="14" s="1"/>
  <c r="AK91" i="14"/>
  <c r="AK117" i="14" s="1"/>
  <c r="CR82" i="14"/>
  <c r="CW82" i="14" s="1"/>
  <c r="CW62" i="14"/>
  <c r="CQ87" i="14"/>
  <c r="R74" i="14"/>
  <c r="CQ74" i="14"/>
  <c r="BE90" i="14"/>
  <c r="BE116" i="14" s="1"/>
  <c r="BE89" i="14"/>
  <c r="T89" i="19"/>
  <c r="W88" i="19"/>
  <c r="J95" i="19"/>
  <c r="M88" i="19"/>
  <c r="CR69" i="14"/>
  <c r="CW69" i="14" s="1"/>
  <c r="AL88" i="14"/>
  <c r="AQ88" i="14" s="1"/>
  <c r="AL87" i="14"/>
  <c r="R37" i="14"/>
  <c r="R38" i="14"/>
  <c r="BF88" i="14"/>
  <c r="BF87" i="14"/>
  <c r="BY90" i="14"/>
  <c r="BY116" i="14" s="1"/>
  <c r="BY89" i="14"/>
  <c r="BY91" i="14"/>
  <c r="BY117" i="14" s="1"/>
  <c r="J192" i="21"/>
  <c r="J188" i="21"/>
  <c r="AI148" i="14"/>
  <c r="CQ89" i="14"/>
  <c r="CQ90" i="14"/>
  <c r="CQ116" i="14" s="1"/>
  <c r="CQ91" i="14"/>
  <c r="CQ117" i="14" s="1"/>
  <c r="Q85" i="14"/>
  <c r="Q84" i="14"/>
  <c r="Q74" i="14"/>
  <c r="AI166" i="14"/>
  <c r="AM89" i="19"/>
  <c r="AM91" i="19"/>
  <c r="AM117" i="19" s="1"/>
  <c r="AM90" i="19"/>
  <c r="AM116" i="19" s="1"/>
  <c r="AI174" i="14"/>
  <c r="J90" i="19"/>
  <c r="J116" i="19" s="1"/>
  <c r="J91" i="19"/>
  <c r="J117" i="19" s="1"/>
  <c r="J89" i="19"/>
  <c r="AV87" i="19"/>
  <c r="AV88" i="19"/>
  <c r="AY88" i="19" s="1"/>
  <c r="J192" i="19"/>
  <c r="J188" i="19"/>
  <c r="AI188" i="14"/>
  <c r="AI192" i="14"/>
  <c r="O174" i="14"/>
  <c r="R85" i="14" l="1"/>
  <c r="W85" i="14" s="1"/>
  <c r="W82" i="14"/>
  <c r="R84" i="14"/>
  <c r="CR84" i="14"/>
  <c r="CR85" i="14"/>
  <c r="CW85" i="14" s="1"/>
  <c r="AV188" i="21"/>
  <c r="AM188" i="21"/>
  <c r="AD188" i="21"/>
  <c r="BG188" i="21"/>
  <c r="BG192" i="21"/>
  <c r="AM192" i="21"/>
  <c r="AD192" i="21"/>
  <c r="AV192" i="21"/>
  <c r="V189" i="21"/>
  <c r="V23" i="21" s="1"/>
  <c r="U189" i="21"/>
  <c r="U193" i="21"/>
  <c r="V193" i="21"/>
  <c r="V26" i="21" s="1"/>
  <c r="AV188" i="19"/>
  <c r="AV189" i="19" s="1"/>
  <c r="BF188" i="19"/>
  <c r="BF189" i="19" s="1"/>
  <c r="AM188" i="19"/>
  <c r="AM189" i="19" s="1"/>
  <c r="AD188" i="19"/>
  <c r="AD189" i="19" s="1"/>
  <c r="M95" i="19"/>
  <c r="J103" i="19"/>
  <c r="M103" i="19" s="1"/>
  <c r="BF192" i="19"/>
  <c r="BF193" i="19" s="1"/>
  <c r="AV192" i="19"/>
  <c r="AV193" i="19" s="1"/>
  <c r="AM192" i="19"/>
  <c r="AM193" i="19" s="1"/>
  <c r="AD192" i="19"/>
  <c r="AD193" i="19" s="1"/>
  <c r="V193" i="19"/>
  <c r="V26" i="19" s="1"/>
  <c r="V189" i="19"/>
  <c r="V23" i="19" s="1"/>
  <c r="CR74" i="14"/>
  <c r="BF90" i="14"/>
  <c r="BF116" i="14" s="1"/>
  <c r="BF91" i="14"/>
  <c r="BF117" i="14" s="1"/>
  <c r="BF89" i="14"/>
  <c r="AL89" i="14"/>
  <c r="AL91" i="14"/>
  <c r="AL117" i="14" s="1"/>
  <c r="AL90" i="14"/>
  <c r="AL116" i="14" s="1"/>
  <c r="T192" i="21"/>
  <c r="T188" i="21"/>
  <c r="Q88" i="14"/>
  <c r="Q87" i="14"/>
  <c r="AV89" i="19"/>
  <c r="AV90" i="19"/>
  <c r="AV116" i="19" s="1"/>
  <c r="AV91" i="19"/>
  <c r="AV117" i="19" s="1"/>
  <c r="T188" i="19"/>
  <c r="J189" i="19"/>
  <c r="J23" i="19" s="1"/>
  <c r="T192" i="19"/>
  <c r="J193" i="19"/>
  <c r="J26" i="19" s="1"/>
  <c r="R88" i="14" l="1"/>
  <c r="W88" i="14" s="1"/>
  <c r="CR87" i="14"/>
  <c r="R87" i="14"/>
  <c r="CR88" i="14"/>
  <c r="CW88" i="14" s="1"/>
  <c r="R90" i="14"/>
  <c r="CR91" i="14"/>
  <c r="CR117" i="14" s="1"/>
  <c r="Q91" i="14"/>
  <c r="Q117" i="14" s="1"/>
  <c r="Q89" i="14"/>
  <c r="Q95" i="14"/>
  <c r="Q90" i="14"/>
  <c r="Q116" i="14" s="1"/>
  <c r="F120" i="14"/>
  <c r="G120" i="14"/>
  <c r="H120" i="14"/>
  <c r="I120" i="14"/>
  <c r="J120" i="14"/>
  <c r="K120" i="14"/>
  <c r="L120" i="14"/>
  <c r="M120" i="14"/>
  <c r="N120" i="14"/>
  <c r="O120" i="14"/>
  <c r="E120" i="14"/>
  <c r="R91" i="14" l="1"/>
  <c r="R117" i="14" s="1"/>
  <c r="R89" i="14"/>
  <c r="CR90" i="14"/>
  <c r="CR116" i="14" s="1"/>
  <c r="R95" i="14"/>
  <c r="W95" i="14" s="1"/>
  <c r="CR89" i="14"/>
  <c r="R116" i="14"/>
  <c r="R103" i="14"/>
  <c r="W103" i="14" s="1"/>
  <c r="Q103" i="14"/>
  <c r="G165" i="14"/>
  <c r="H165" i="14"/>
  <c r="I165" i="14"/>
  <c r="J165" i="14"/>
  <c r="K165" i="14"/>
  <c r="L165" i="14"/>
  <c r="M165" i="14"/>
  <c r="N165" i="14"/>
  <c r="O165" i="14"/>
  <c r="F165" i="14"/>
  <c r="BD86" i="14" l="1"/>
  <c r="CP86" i="14" s="1"/>
  <c r="BD80" i="14"/>
  <c r="CP80" i="14" s="1"/>
  <c r="BD78" i="14"/>
  <c r="CP78" i="14" s="1"/>
  <c r="BD76" i="14"/>
  <c r="CP76" i="14" s="1"/>
  <c r="BD73" i="14"/>
  <c r="CP73" i="14" s="1"/>
  <c r="BD72" i="14"/>
  <c r="CP72" i="14" s="1"/>
  <c r="BD59" i="14"/>
  <c r="CP59" i="14" s="1"/>
  <c r="BD56" i="14"/>
  <c r="CP56" i="14" s="1"/>
  <c r="BD51" i="14"/>
  <c r="CP51" i="14" s="1"/>
  <c r="BD50" i="14"/>
  <c r="CP50" i="14" s="1"/>
  <c r="BD48" i="14"/>
  <c r="CP48" i="14" s="1"/>
  <c r="BD43" i="14"/>
  <c r="CP43" i="14" s="1"/>
  <c r="BD33" i="14"/>
  <c r="CP33" i="14" s="1"/>
  <c r="DI191" i="14"/>
  <c r="DI193" i="14" s="1"/>
  <c r="BD24" i="14"/>
  <c r="DI187" i="14"/>
  <c r="DI189" i="14" s="1"/>
  <c r="BD17" i="14"/>
  <c r="CP17" i="14" s="1"/>
  <c r="BD15" i="14"/>
  <c r="CP15" i="14" s="1"/>
  <c r="BD10" i="14"/>
  <c r="CP10" i="14" s="1"/>
  <c r="AI153" i="14"/>
  <c r="AI143" i="14"/>
  <c r="AI125" i="14"/>
  <c r="AI122" i="14"/>
  <c r="O166" i="14"/>
  <c r="O156" i="14"/>
  <c r="O153" i="14"/>
  <c r="O152" i="14"/>
  <c r="O148" i="14"/>
  <c r="O143" i="14"/>
  <c r="O135" i="14"/>
  <c r="O125" i="14"/>
  <c r="O122" i="14"/>
  <c r="O113" i="14"/>
  <c r="O108" i="14"/>
  <c r="BC86" i="14"/>
  <c r="CO86" i="14" s="1"/>
  <c r="BC72" i="14"/>
  <c r="CO72" i="14" s="1"/>
  <c r="BC59" i="14"/>
  <c r="CO59" i="14" s="1"/>
  <c r="BC50" i="14"/>
  <c r="CO50" i="14" s="1"/>
  <c r="BD191" i="14" l="1"/>
  <c r="BD193" i="14" s="1"/>
  <c r="CP24" i="14"/>
  <c r="DI108" i="14"/>
  <c r="CO108" i="14"/>
  <c r="BC108" i="14"/>
  <c r="BV108" i="14"/>
  <c r="DI113" i="14"/>
  <c r="CO113" i="14"/>
  <c r="BC113" i="14"/>
  <c r="BV113" i="14"/>
  <c r="BV187" i="14"/>
  <c r="BV189" i="14" s="1"/>
  <c r="BV191" i="14"/>
  <c r="BV193" i="14" s="1"/>
  <c r="AD59" i="21"/>
  <c r="AD72" i="21"/>
  <c r="AD86" i="21"/>
  <c r="AD50" i="21"/>
  <c r="DI81" i="14"/>
  <c r="AI81" i="14"/>
  <c r="BD71" i="14"/>
  <c r="CP71" i="14" s="1"/>
  <c r="BV81" i="14"/>
  <c r="AI27" i="14"/>
  <c r="BC73" i="14"/>
  <c r="CO73" i="14" s="1"/>
  <c r="BC76" i="14"/>
  <c r="CO76" i="14" s="1"/>
  <c r="BC78" i="14"/>
  <c r="CO78" i="14" s="1"/>
  <c r="BC80" i="14"/>
  <c r="CO80" i="14" s="1"/>
  <c r="BC15" i="14"/>
  <c r="CO15" i="14" s="1"/>
  <c r="BC48" i="14"/>
  <c r="CO48" i="14" s="1"/>
  <c r="BC71" i="14"/>
  <c r="CO71" i="14" s="1"/>
  <c r="BC41" i="14"/>
  <c r="CO41" i="14" s="1"/>
  <c r="BC43" i="14"/>
  <c r="CO43" i="14" s="1"/>
  <c r="T9" i="21"/>
  <c r="T14" i="21"/>
  <c r="W14" i="21" s="1"/>
  <c r="T16" i="21"/>
  <c r="T21" i="21"/>
  <c r="T30" i="21"/>
  <c r="W30" i="21" s="1"/>
  <c r="T33" i="21"/>
  <c r="W33" i="21" s="1"/>
  <c r="T42" i="21"/>
  <c r="W42" i="21" s="1"/>
  <c r="T46" i="21"/>
  <c r="T50" i="21"/>
  <c r="W50" i="21" s="1"/>
  <c r="T56" i="21"/>
  <c r="T59" i="21"/>
  <c r="T66" i="21"/>
  <c r="T72" i="21"/>
  <c r="T75" i="21"/>
  <c r="T77" i="21"/>
  <c r="T79" i="21"/>
  <c r="T83" i="21"/>
  <c r="BC5" i="14"/>
  <c r="BC9" i="14"/>
  <c r="CO9" i="14" s="1"/>
  <c r="BD9" i="14"/>
  <c r="CP9" i="14" s="1"/>
  <c r="BC14" i="14"/>
  <c r="CO14" i="14" s="1"/>
  <c r="BC16" i="14"/>
  <c r="CO16" i="14" s="1"/>
  <c r="BD16" i="14"/>
  <c r="CP16" i="14" s="1"/>
  <c r="BC21" i="14"/>
  <c r="BC30" i="14"/>
  <c r="CO30" i="14" s="1"/>
  <c r="BD30" i="14"/>
  <c r="CP30" i="14" s="1"/>
  <c r="BC42" i="14"/>
  <c r="CO42" i="14" s="1"/>
  <c r="BD42" i="14"/>
  <c r="CP42" i="14" s="1"/>
  <c r="BD46" i="14"/>
  <c r="CP46" i="14" s="1"/>
  <c r="BC66" i="14"/>
  <c r="CO66" i="14" s="1"/>
  <c r="BD66" i="14"/>
  <c r="CP66" i="14" s="1"/>
  <c r="BC75" i="14"/>
  <c r="CO75" i="14" s="1"/>
  <c r="BD75" i="14"/>
  <c r="CP75" i="14" s="1"/>
  <c r="BC77" i="14"/>
  <c r="CO77" i="14" s="1"/>
  <c r="BD77" i="14"/>
  <c r="CP77" i="14" s="1"/>
  <c r="BC79" i="14"/>
  <c r="CO79" i="14" s="1"/>
  <c r="BD79" i="14"/>
  <c r="CP79" i="14" s="1"/>
  <c r="BC83" i="14"/>
  <c r="CO83" i="14" s="1"/>
  <c r="BD83" i="14"/>
  <c r="CP83" i="14" s="1"/>
  <c r="AM9" i="21"/>
  <c r="AM14" i="21"/>
  <c r="AM16" i="21"/>
  <c r="AM42" i="21"/>
  <c r="AM46" i="21"/>
  <c r="AM50" i="21"/>
  <c r="AM56" i="21"/>
  <c r="AM66" i="21"/>
  <c r="AM75" i="21"/>
  <c r="AM77" i="21"/>
  <c r="AM79" i="21"/>
  <c r="AM83" i="21"/>
  <c r="BC51" i="14"/>
  <c r="CO51" i="14" s="1"/>
  <c r="AI5" i="14"/>
  <c r="BG9" i="21"/>
  <c r="BG14" i="21"/>
  <c r="BG16" i="21"/>
  <c r="BG30" i="21"/>
  <c r="BG33" i="21"/>
  <c r="BG42" i="21"/>
  <c r="BG46" i="21"/>
  <c r="BG50" i="21"/>
  <c r="BG56" i="21"/>
  <c r="BG59" i="21"/>
  <c r="BG66" i="21"/>
  <c r="BG72" i="21"/>
  <c r="BG75" i="21"/>
  <c r="BG77" i="21"/>
  <c r="BG79" i="21"/>
  <c r="BG83" i="21"/>
  <c r="BV5" i="14"/>
  <c r="BC58" i="14"/>
  <c r="CO58" i="14" s="1"/>
  <c r="T7" i="21"/>
  <c r="T10" i="21"/>
  <c r="T15" i="21"/>
  <c r="W15" i="21" s="1"/>
  <c r="T17" i="21"/>
  <c r="AI191" i="14"/>
  <c r="T24" i="21"/>
  <c r="T32" i="21"/>
  <c r="W32" i="21" s="1"/>
  <c r="T41" i="21"/>
  <c r="W41" i="21" s="1"/>
  <c r="T43" i="21"/>
  <c r="T48" i="21"/>
  <c r="T51" i="21"/>
  <c r="T58" i="21"/>
  <c r="T65" i="21"/>
  <c r="W65" i="21" s="1"/>
  <c r="T71" i="21"/>
  <c r="T73" i="21"/>
  <c r="W73" i="21" s="1"/>
  <c r="T76" i="21"/>
  <c r="T78" i="21"/>
  <c r="T80" i="21"/>
  <c r="T86" i="21"/>
  <c r="BC32" i="14"/>
  <c r="CO32" i="14" s="1"/>
  <c r="BD41" i="14"/>
  <c r="CP41" i="14" s="1"/>
  <c r="BD58" i="14"/>
  <c r="CP58" i="14" s="1"/>
  <c r="BD65" i="14"/>
  <c r="CP65" i="14" s="1"/>
  <c r="BC7" i="14"/>
  <c r="CO7" i="14" s="1"/>
  <c r="BD7" i="14"/>
  <c r="CP7" i="14" s="1"/>
  <c r="BC17" i="14"/>
  <c r="CO17" i="14" s="1"/>
  <c r="BC65" i="14"/>
  <c r="CO65" i="14" s="1"/>
  <c r="AM7" i="21"/>
  <c r="AM17" i="21"/>
  <c r="AM32" i="21"/>
  <c r="AM51" i="21"/>
  <c r="BV60" i="14"/>
  <c r="BV61" i="14" s="1"/>
  <c r="AM58" i="21"/>
  <c r="AM65" i="21"/>
  <c r="AM71" i="21"/>
  <c r="AM80" i="21"/>
  <c r="AM86" i="21"/>
  <c r="BG7" i="21"/>
  <c r="BG10" i="21"/>
  <c r="BG15" i="21"/>
  <c r="BG17" i="21"/>
  <c r="BG32" i="21"/>
  <c r="BG41" i="21"/>
  <c r="BG43" i="21"/>
  <c r="BG48" i="21"/>
  <c r="BG51" i="21"/>
  <c r="BG58" i="21"/>
  <c r="BG65" i="21"/>
  <c r="BG71" i="21"/>
  <c r="BG73" i="21"/>
  <c r="BG76" i="21"/>
  <c r="BG78" i="21"/>
  <c r="BG80" i="21"/>
  <c r="BG86" i="21"/>
  <c r="AI113" i="14"/>
  <c r="AI108" i="14"/>
  <c r="O171" i="14"/>
  <c r="O172" i="14"/>
  <c r="AI156" i="14"/>
  <c r="AI135" i="14"/>
  <c r="AI130" i="14"/>
  <c r="O146" i="14"/>
  <c r="O130" i="14"/>
  <c r="O162" i="14"/>
  <c r="BC10" i="14"/>
  <c r="CO10" i="14" s="1"/>
  <c r="BC24" i="14"/>
  <c r="BC33" i="14"/>
  <c r="BC46" i="14"/>
  <c r="CO46" i="14" s="1"/>
  <c r="BC56" i="14"/>
  <c r="CO56" i="14" s="1"/>
  <c r="O9" i="14"/>
  <c r="O16" i="14"/>
  <c r="O21" i="14"/>
  <c r="O30" i="14"/>
  <c r="O42" i="14"/>
  <c r="O46" i="14"/>
  <c r="O50" i="14"/>
  <c r="O59" i="14"/>
  <c r="O66" i="14"/>
  <c r="O72" i="14"/>
  <c r="O77" i="14"/>
  <c r="O79" i="14"/>
  <c r="O83" i="14"/>
  <c r="O80" i="14"/>
  <c r="O75" i="14"/>
  <c r="O7" i="14"/>
  <c r="O15" i="14"/>
  <c r="O17" i="14"/>
  <c r="O43" i="14"/>
  <c r="O51" i="14"/>
  <c r="O58" i="14"/>
  <c r="O65" i="14"/>
  <c r="O73" i="14"/>
  <c r="O76" i="14"/>
  <c r="O78" i="14"/>
  <c r="O86" i="14"/>
  <c r="O14" i="14"/>
  <c r="O115" i="8"/>
  <c r="P115" i="8"/>
  <c r="Q115" i="8"/>
  <c r="R115" i="8"/>
  <c r="S115" i="8"/>
  <c r="O110" i="8"/>
  <c r="P110" i="8"/>
  <c r="Q110" i="8"/>
  <c r="R110" i="8"/>
  <c r="S110" i="8"/>
  <c r="Y192" i="14"/>
  <c r="Y188" i="14"/>
  <c r="AH184" i="14"/>
  <c r="AG184" i="14"/>
  <c r="AF184" i="14"/>
  <c r="AE184" i="14"/>
  <c r="AD184" i="14"/>
  <c r="AC184" i="14"/>
  <c r="AB184" i="14"/>
  <c r="AA184" i="14"/>
  <c r="Z184" i="14"/>
  <c r="Y184" i="14"/>
  <c r="AH183" i="14"/>
  <c r="AG183" i="14"/>
  <c r="AF183" i="14"/>
  <c r="AE183" i="14"/>
  <c r="AD183" i="14"/>
  <c r="AC183" i="14"/>
  <c r="AB183" i="14"/>
  <c r="AA183" i="14"/>
  <c r="Z183" i="14"/>
  <c r="Y183" i="14"/>
  <c r="AH179" i="14"/>
  <c r="AG179" i="14"/>
  <c r="AF179" i="14"/>
  <c r="AE179" i="14"/>
  <c r="AD179" i="14"/>
  <c r="AC179" i="14"/>
  <c r="AB179" i="14"/>
  <c r="AA179" i="14"/>
  <c r="Z179" i="14"/>
  <c r="Y179" i="14"/>
  <c r="AH178" i="14"/>
  <c r="AG178" i="14"/>
  <c r="AF178" i="14"/>
  <c r="AE178" i="14"/>
  <c r="AD178" i="14"/>
  <c r="AC178" i="14"/>
  <c r="AB178" i="14"/>
  <c r="AA178" i="14"/>
  <c r="Z178" i="14"/>
  <c r="Y178" i="14"/>
  <c r="AH176" i="14"/>
  <c r="AG176" i="14"/>
  <c r="AF176" i="14"/>
  <c r="AE176" i="14"/>
  <c r="AD176" i="14"/>
  <c r="AC176" i="14"/>
  <c r="AB176" i="14"/>
  <c r="AA176" i="14"/>
  <c r="Z176" i="14"/>
  <c r="Y176" i="14"/>
  <c r="AH175" i="14"/>
  <c r="AG175" i="14"/>
  <c r="AF175" i="14"/>
  <c r="AE175" i="14"/>
  <c r="AD175" i="14"/>
  <c r="AC175" i="14"/>
  <c r="AB175" i="14"/>
  <c r="AA175" i="14"/>
  <c r="Z175" i="14"/>
  <c r="Y175" i="14"/>
  <c r="AH168" i="14"/>
  <c r="AG168" i="14"/>
  <c r="AF168" i="14"/>
  <c r="AE168" i="14"/>
  <c r="AD168" i="14"/>
  <c r="AC168" i="14"/>
  <c r="AB168" i="14"/>
  <c r="AA168" i="14"/>
  <c r="Z168" i="14"/>
  <c r="Y168" i="14"/>
  <c r="AH167" i="14"/>
  <c r="AG167" i="14"/>
  <c r="AF167" i="14"/>
  <c r="AE167" i="14"/>
  <c r="AD167" i="14"/>
  <c r="AC167" i="14"/>
  <c r="AB167" i="14"/>
  <c r="AA167" i="14"/>
  <c r="Z167" i="14"/>
  <c r="Y167" i="14"/>
  <c r="AH160" i="14"/>
  <c r="AG160" i="14"/>
  <c r="AF160" i="14"/>
  <c r="AE160" i="14"/>
  <c r="AD160" i="14"/>
  <c r="AC160" i="14"/>
  <c r="AB160" i="14"/>
  <c r="AA160" i="14"/>
  <c r="Z160" i="14"/>
  <c r="Y160" i="14"/>
  <c r="AH159" i="14"/>
  <c r="AG159" i="14"/>
  <c r="AF159" i="14"/>
  <c r="AE159" i="14"/>
  <c r="AD159" i="14"/>
  <c r="AC159" i="14"/>
  <c r="AB159" i="14"/>
  <c r="AA159" i="14"/>
  <c r="Z159" i="14"/>
  <c r="Y159" i="14"/>
  <c r="AH158" i="14"/>
  <c r="AG158" i="14"/>
  <c r="AF158" i="14"/>
  <c r="AE158" i="14"/>
  <c r="AD158" i="14"/>
  <c r="AC158" i="14"/>
  <c r="AB158" i="14"/>
  <c r="AA158" i="14"/>
  <c r="Z158" i="14"/>
  <c r="Y158" i="14"/>
  <c r="AH157" i="14"/>
  <c r="AG157" i="14"/>
  <c r="AF157" i="14"/>
  <c r="AE157" i="14"/>
  <c r="AD157" i="14"/>
  <c r="AC157" i="14"/>
  <c r="AB157" i="14"/>
  <c r="AA157" i="14"/>
  <c r="Z157" i="14"/>
  <c r="Y157" i="14"/>
  <c r="AH154" i="14"/>
  <c r="AG154" i="14"/>
  <c r="AF154" i="14"/>
  <c r="AE154" i="14"/>
  <c r="AD154" i="14"/>
  <c r="AC154" i="14"/>
  <c r="AB154" i="14"/>
  <c r="AA154" i="14"/>
  <c r="Z154" i="14"/>
  <c r="Y154" i="14"/>
  <c r="AH150" i="14"/>
  <c r="AG150" i="14"/>
  <c r="AF150" i="14"/>
  <c r="AE150" i="14"/>
  <c r="AD150" i="14"/>
  <c r="AC150" i="14"/>
  <c r="AB150" i="14"/>
  <c r="AA150" i="14"/>
  <c r="Z150" i="14"/>
  <c r="Y150" i="14"/>
  <c r="AH149" i="14"/>
  <c r="AG149" i="14"/>
  <c r="AF149" i="14"/>
  <c r="AE149" i="14"/>
  <c r="AD149" i="14"/>
  <c r="AC149" i="14"/>
  <c r="AB149" i="14"/>
  <c r="AA149" i="14"/>
  <c r="Z149" i="14"/>
  <c r="Y149" i="14"/>
  <c r="AH144" i="14"/>
  <c r="AG144" i="14"/>
  <c r="AF144" i="14"/>
  <c r="AE144" i="14"/>
  <c r="AD144" i="14"/>
  <c r="AC144" i="14"/>
  <c r="AB144" i="14"/>
  <c r="AA144" i="14"/>
  <c r="Z144" i="14"/>
  <c r="Y144" i="14"/>
  <c r="AH141" i="14"/>
  <c r="AG141" i="14"/>
  <c r="AF141" i="14"/>
  <c r="AE141" i="14"/>
  <c r="AD141" i="14"/>
  <c r="AC141" i="14"/>
  <c r="AB141" i="14"/>
  <c r="AA141" i="14"/>
  <c r="Z141" i="14"/>
  <c r="Y141" i="14"/>
  <c r="AH140" i="14"/>
  <c r="AG140" i="14"/>
  <c r="AF140" i="14"/>
  <c r="AE140" i="14"/>
  <c r="AD140" i="14"/>
  <c r="AC140" i="14"/>
  <c r="AB140" i="14"/>
  <c r="AA140" i="14"/>
  <c r="Z140" i="14"/>
  <c r="Y140" i="14"/>
  <c r="AH139" i="14"/>
  <c r="AG139" i="14"/>
  <c r="AF139" i="14"/>
  <c r="AE139" i="14"/>
  <c r="AD139" i="14"/>
  <c r="AC139" i="14"/>
  <c r="AB139" i="14"/>
  <c r="AA139" i="14"/>
  <c r="Z139" i="14"/>
  <c r="Y139" i="14"/>
  <c r="AH138" i="14"/>
  <c r="AG138" i="14"/>
  <c r="AF138" i="14"/>
  <c r="AE138" i="14"/>
  <c r="AD138" i="14"/>
  <c r="AC138" i="14"/>
  <c r="AB138" i="14"/>
  <c r="AA138" i="14"/>
  <c r="Z138" i="14"/>
  <c r="Y138" i="14"/>
  <c r="AH137" i="14"/>
  <c r="AG137" i="14"/>
  <c r="AF137" i="14"/>
  <c r="AE137" i="14"/>
  <c r="AD137" i="14"/>
  <c r="AC137" i="14"/>
  <c r="AB137" i="14"/>
  <c r="AA137" i="14"/>
  <c r="Z137" i="14"/>
  <c r="Y137" i="14"/>
  <c r="AH136" i="14"/>
  <c r="AG136" i="14"/>
  <c r="AF136" i="14"/>
  <c r="AE136" i="14"/>
  <c r="AD136" i="14"/>
  <c r="AC136" i="14"/>
  <c r="AB136" i="14"/>
  <c r="AA136" i="14"/>
  <c r="Z136" i="14"/>
  <c r="Y136" i="14"/>
  <c r="AH128" i="14"/>
  <c r="AG128" i="14"/>
  <c r="AF128" i="14"/>
  <c r="AE128" i="14"/>
  <c r="AD128" i="14"/>
  <c r="AC128" i="14"/>
  <c r="AB128" i="14"/>
  <c r="AA128" i="14"/>
  <c r="Z128" i="14"/>
  <c r="Y128" i="14"/>
  <c r="AH127" i="14"/>
  <c r="AG127" i="14"/>
  <c r="AF127" i="14"/>
  <c r="AE127" i="14"/>
  <c r="AD127" i="14"/>
  <c r="AC127" i="14"/>
  <c r="AB127" i="14"/>
  <c r="AA127" i="14"/>
  <c r="Z127" i="14"/>
  <c r="Y127" i="14"/>
  <c r="AH126" i="14"/>
  <c r="AG126" i="14"/>
  <c r="AF126" i="14"/>
  <c r="AE126" i="14"/>
  <c r="AD126" i="14"/>
  <c r="AC126" i="14"/>
  <c r="AB126" i="14"/>
  <c r="AA126" i="14"/>
  <c r="Z126" i="14"/>
  <c r="Y126" i="14"/>
  <c r="AH123" i="14"/>
  <c r="Z123" i="14"/>
  <c r="Y123" i="14"/>
  <c r="AH115" i="14"/>
  <c r="AG115" i="14"/>
  <c r="AF115" i="14"/>
  <c r="AE115" i="14"/>
  <c r="Z115" i="14"/>
  <c r="Y115" i="14"/>
  <c r="AH114" i="14"/>
  <c r="AG114" i="14"/>
  <c r="AF114" i="14"/>
  <c r="AE114" i="14"/>
  <c r="AD114" i="14"/>
  <c r="AC114" i="14"/>
  <c r="AB114" i="14"/>
  <c r="AA114" i="14"/>
  <c r="Z114" i="14"/>
  <c r="Y114" i="14"/>
  <c r="AH112" i="14"/>
  <c r="AG112" i="14"/>
  <c r="AF112" i="14"/>
  <c r="AE112" i="14"/>
  <c r="AD112" i="14"/>
  <c r="AC112" i="14"/>
  <c r="AB112" i="14"/>
  <c r="AA112" i="14"/>
  <c r="Z112" i="14"/>
  <c r="Y112" i="14"/>
  <c r="Y109" i="14"/>
  <c r="Z109" i="14"/>
  <c r="AA109" i="14"/>
  <c r="AB109" i="14"/>
  <c r="AC109" i="14"/>
  <c r="AD109" i="14"/>
  <c r="AE109" i="14"/>
  <c r="AF109" i="14"/>
  <c r="AG109" i="14"/>
  <c r="AH109" i="14"/>
  <c r="Y110" i="14"/>
  <c r="Z110" i="14"/>
  <c r="AA110" i="14"/>
  <c r="AB110" i="14"/>
  <c r="AC110" i="14"/>
  <c r="AD110" i="14"/>
  <c r="AE110" i="14"/>
  <c r="AF110" i="14"/>
  <c r="AG110" i="14"/>
  <c r="AH110" i="14"/>
  <c r="AH107" i="14"/>
  <c r="AG107" i="14"/>
  <c r="AC107" i="14"/>
  <c r="J115" i="8"/>
  <c r="J110" i="8"/>
  <c r="I115" i="14"/>
  <c r="H115" i="14"/>
  <c r="G115" i="14"/>
  <c r="J115" i="14"/>
  <c r="N113" i="14"/>
  <c r="M113" i="14"/>
  <c r="L113" i="14"/>
  <c r="K113" i="14"/>
  <c r="F113" i="14"/>
  <c r="E113" i="14"/>
  <c r="F108" i="14"/>
  <c r="G108" i="14"/>
  <c r="H108" i="14"/>
  <c r="I108" i="14"/>
  <c r="J108" i="14"/>
  <c r="K108" i="14"/>
  <c r="L108" i="14"/>
  <c r="M108" i="14"/>
  <c r="N108" i="14"/>
  <c r="E108" i="14"/>
  <c r="BC187" i="14" l="1"/>
  <c r="BC189" i="14" s="1"/>
  <c r="CO21" i="14"/>
  <c r="AD33" i="21"/>
  <c r="CO33" i="14"/>
  <c r="BC191" i="14"/>
  <c r="BC193" i="14" s="1"/>
  <c r="CO24" i="14"/>
  <c r="CO191" i="14" s="1"/>
  <c r="CO193" i="14" s="1"/>
  <c r="DF113" i="14"/>
  <c r="CL113" i="14"/>
  <c r="BS113" i="14"/>
  <c r="AZ113" i="14"/>
  <c r="DG113" i="14"/>
  <c r="CM113" i="14"/>
  <c r="BA113" i="14"/>
  <c r="BT113" i="14"/>
  <c r="CH108" i="14"/>
  <c r="DB108" i="14"/>
  <c r="BO108" i="14"/>
  <c r="AV108" i="14"/>
  <c r="BG24" i="21"/>
  <c r="BG191" i="21" s="1"/>
  <c r="BG193" i="21" s="1"/>
  <c r="DJ191" i="14"/>
  <c r="DJ193" i="14" s="1"/>
  <c r="DH113" i="14"/>
  <c r="CN113" i="14"/>
  <c r="BU113" i="14"/>
  <c r="BB113" i="14"/>
  <c r="BG21" i="21"/>
  <c r="BG187" i="21" s="1"/>
  <c r="BG189" i="21" s="1"/>
  <c r="DJ187" i="14"/>
  <c r="DJ189" i="14" s="1"/>
  <c r="DA108" i="14"/>
  <c r="CG108" i="14"/>
  <c r="AU108" i="14"/>
  <c r="BN108" i="14"/>
  <c r="CJ108" i="14"/>
  <c r="AX108" i="14"/>
  <c r="DD108" i="14"/>
  <c r="BQ108" i="14"/>
  <c r="DC108" i="14"/>
  <c r="CI108" i="14"/>
  <c r="BP108" i="14"/>
  <c r="AW108" i="14"/>
  <c r="CY108" i="14"/>
  <c r="CE108" i="14"/>
  <c r="AS108" i="14"/>
  <c r="BL108" i="14"/>
  <c r="DH108" i="14"/>
  <c r="CN108" i="14"/>
  <c r="BU108" i="14"/>
  <c r="BB108" i="14"/>
  <c r="CY113" i="14"/>
  <c r="CE113" i="14"/>
  <c r="AS113" i="14"/>
  <c r="BL113" i="14"/>
  <c r="DB115" i="14"/>
  <c r="CH115" i="14"/>
  <c r="BO115" i="14"/>
  <c r="AV115" i="14"/>
  <c r="DD115" i="14"/>
  <c r="CJ115" i="14"/>
  <c r="BQ115" i="14"/>
  <c r="AX115" i="14"/>
  <c r="CZ108" i="14"/>
  <c r="CF108" i="14"/>
  <c r="BM108" i="14"/>
  <c r="AT108" i="14"/>
  <c r="DG108" i="14"/>
  <c r="CM108" i="14"/>
  <c r="BA108" i="14"/>
  <c r="BT108" i="14"/>
  <c r="DF108" i="14"/>
  <c r="CL108" i="14"/>
  <c r="BS108" i="14"/>
  <c r="AZ108" i="14"/>
  <c r="CZ113" i="14"/>
  <c r="CF113" i="14"/>
  <c r="BM113" i="14"/>
  <c r="AT113" i="14"/>
  <c r="DC115" i="14"/>
  <c r="CI115" i="14"/>
  <c r="AW115" i="14"/>
  <c r="BP115" i="14"/>
  <c r="DA115" i="14"/>
  <c r="CG115" i="14"/>
  <c r="BN115" i="14"/>
  <c r="AU115" i="14"/>
  <c r="DE108" i="14"/>
  <c r="CK108" i="14"/>
  <c r="BR108" i="14"/>
  <c r="AY108" i="14"/>
  <c r="DE113" i="14"/>
  <c r="CK113" i="14"/>
  <c r="BR113" i="14"/>
  <c r="AY113" i="14"/>
  <c r="AD110" i="8"/>
  <c r="BF110" i="8"/>
  <c r="AV110" i="8"/>
  <c r="AM110" i="8"/>
  <c r="AN90" i="8" s="1"/>
  <c r="AD115" i="8"/>
  <c r="AM115" i="8"/>
  <c r="BF115" i="8"/>
  <c r="AV115" i="8"/>
  <c r="AD41" i="21"/>
  <c r="AM78" i="21"/>
  <c r="AM43" i="21"/>
  <c r="AM15" i="21"/>
  <c r="AM33" i="21"/>
  <c r="AV33" i="21" s="1"/>
  <c r="AZ33" i="21" s="1"/>
  <c r="W80" i="21"/>
  <c r="W48" i="21"/>
  <c r="W10" i="21"/>
  <c r="W72" i="21"/>
  <c r="W78" i="21"/>
  <c r="W43" i="21"/>
  <c r="W7" i="21"/>
  <c r="W21" i="21"/>
  <c r="W76" i="21"/>
  <c r="W59" i="21"/>
  <c r="W16" i="21"/>
  <c r="W56" i="21"/>
  <c r="W9" i="21"/>
  <c r="W24" i="21"/>
  <c r="W79" i="21"/>
  <c r="W46" i="21"/>
  <c r="W58" i="21"/>
  <c r="W17" i="21"/>
  <c r="W77" i="21"/>
  <c r="W71" i="21"/>
  <c r="W83" i="21"/>
  <c r="W86" i="21"/>
  <c r="W51" i="21"/>
  <c r="W75" i="21"/>
  <c r="AD17" i="21"/>
  <c r="AV17" i="21" s="1"/>
  <c r="AZ17" i="21" s="1"/>
  <c r="AD16" i="21"/>
  <c r="AV16" i="21" s="1"/>
  <c r="AZ16" i="21" s="1"/>
  <c r="AV50" i="21"/>
  <c r="AZ50" i="21" s="1"/>
  <c r="AM48" i="21"/>
  <c r="AD7" i="21"/>
  <c r="AV7" i="21" s="1"/>
  <c r="AZ7" i="21" s="1"/>
  <c r="AD42" i="21"/>
  <c r="AV42" i="21" s="1"/>
  <c r="AZ42" i="21" s="1"/>
  <c r="AV86" i="21"/>
  <c r="AZ86" i="21" s="1"/>
  <c r="AM76" i="21"/>
  <c r="AM41" i="21"/>
  <c r="AM10" i="21"/>
  <c r="AM72" i="21"/>
  <c r="AV72" i="21" s="1"/>
  <c r="AZ72" i="21" s="1"/>
  <c r="AM73" i="21"/>
  <c r="AM30" i="21"/>
  <c r="W66" i="21"/>
  <c r="AD30" i="21"/>
  <c r="AD9" i="21"/>
  <c r="AV9" i="21" s="1"/>
  <c r="AZ9" i="21" s="1"/>
  <c r="AD15" i="21"/>
  <c r="AM59" i="21"/>
  <c r="AV59" i="21" s="1"/>
  <c r="AZ59" i="21" s="1"/>
  <c r="AD24" i="21"/>
  <c r="AD10" i="21"/>
  <c r="CO187" i="14"/>
  <c r="CO189" i="14" s="1"/>
  <c r="AD43" i="21"/>
  <c r="AD79" i="21"/>
  <c r="AV79" i="21" s="1"/>
  <c r="AZ79" i="21" s="1"/>
  <c r="AD56" i="21"/>
  <c r="AV56" i="21" s="1"/>
  <c r="AZ56" i="21" s="1"/>
  <c r="AD80" i="21"/>
  <c r="AV80" i="21" s="1"/>
  <c r="AZ80" i="21" s="1"/>
  <c r="AD65" i="21"/>
  <c r="AV65" i="21" s="1"/>
  <c r="AZ65" i="21" s="1"/>
  <c r="AD46" i="21"/>
  <c r="AV46" i="21" s="1"/>
  <c r="AZ46" i="21" s="1"/>
  <c r="AD77" i="21"/>
  <c r="AV77" i="21" s="1"/>
  <c r="AZ77" i="21" s="1"/>
  <c r="AD71" i="21"/>
  <c r="AV71" i="21" s="1"/>
  <c r="AZ71" i="21" s="1"/>
  <c r="AD51" i="21"/>
  <c r="AV51" i="21" s="1"/>
  <c r="AZ51" i="21" s="1"/>
  <c r="AD48" i="21"/>
  <c r="AD78" i="21"/>
  <c r="AD75" i="21"/>
  <c r="AV75" i="21" s="1"/>
  <c r="AZ75" i="21" s="1"/>
  <c r="AD76" i="21"/>
  <c r="AD58" i="21"/>
  <c r="AV58" i="21" s="1"/>
  <c r="AZ58" i="21" s="1"/>
  <c r="CO60" i="14"/>
  <c r="AD73" i="21"/>
  <c r="AD83" i="21"/>
  <c r="AV83" i="21" s="1"/>
  <c r="AZ83" i="21" s="1"/>
  <c r="AD66" i="21"/>
  <c r="AV66" i="21" s="1"/>
  <c r="AZ66" i="21" s="1"/>
  <c r="AI162" i="14"/>
  <c r="BD81" i="14"/>
  <c r="BC81" i="14"/>
  <c r="O71" i="14"/>
  <c r="AJ187" i="14"/>
  <c r="DJ60" i="14"/>
  <c r="AJ191" i="14"/>
  <c r="AN91" i="8"/>
  <c r="T115" i="8"/>
  <c r="F115" i="21"/>
  <c r="AD148" i="14"/>
  <c r="DJ25" i="14"/>
  <c r="AE148" i="14"/>
  <c r="AH148" i="14"/>
  <c r="Z148" i="14"/>
  <c r="AA148" i="14"/>
  <c r="AF148" i="14"/>
  <c r="G115" i="21"/>
  <c r="Y148" i="14"/>
  <c r="AG148" i="14"/>
  <c r="AI6" i="14"/>
  <c r="I113" i="14"/>
  <c r="AB148" i="14"/>
  <c r="BC60" i="14"/>
  <c r="AC148" i="14"/>
  <c r="J147" i="19"/>
  <c r="J147" i="21"/>
  <c r="AI25" i="14"/>
  <c r="BV63" i="14"/>
  <c r="BV34" i="14"/>
  <c r="BC44" i="14"/>
  <c r="BC53" i="14" s="1"/>
  <c r="DI22" i="14"/>
  <c r="DI67" i="14"/>
  <c r="DI25" i="14"/>
  <c r="O5" i="14"/>
  <c r="BV27" i="14"/>
  <c r="BV44" i="14"/>
  <c r="BV53" i="14" s="1"/>
  <c r="BV62" i="14" s="1"/>
  <c r="BV18" i="14"/>
  <c r="DI60" i="14"/>
  <c r="DI44" i="14"/>
  <c r="DI53" i="14" s="1"/>
  <c r="BV11" i="14"/>
  <c r="DI63" i="14"/>
  <c r="DI18" i="14"/>
  <c r="BV67" i="14"/>
  <c r="CO5" i="14"/>
  <c r="DI27" i="14"/>
  <c r="DI28" i="14" s="1"/>
  <c r="DI34" i="14"/>
  <c r="P56" i="14"/>
  <c r="BC18" i="14"/>
  <c r="BD60" i="14"/>
  <c r="BD14" i="14"/>
  <c r="CP14" i="14" s="1"/>
  <c r="P75" i="14"/>
  <c r="BC67" i="14"/>
  <c r="P76" i="14"/>
  <c r="J76" i="21" s="1"/>
  <c r="M76" i="21" s="1"/>
  <c r="P15" i="14"/>
  <c r="BW5" i="14"/>
  <c r="P83" i="14"/>
  <c r="P72" i="14"/>
  <c r="P50" i="14"/>
  <c r="P30" i="14"/>
  <c r="P9" i="14"/>
  <c r="P14" i="14"/>
  <c r="BD67" i="14"/>
  <c r="P33" i="14"/>
  <c r="P86" i="14"/>
  <c r="P73" i="14"/>
  <c r="P51" i="14"/>
  <c r="P10" i="14"/>
  <c r="P79" i="14"/>
  <c r="P66" i="14"/>
  <c r="BD32" i="14"/>
  <c r="CP32" i="14" s="1"/>
  <c r="P78" i="14"/>
  <c r="J78" i="21" s="1"/>
  <c r="M78" i="21" s="1"/>
  <c r="P43" i="14"/>
  <c r="P17" i="14"/>
  <c r="DI5" i="14"/>
  <c r="BD21" i="14"/>
  <c r="BD5" i="14"/>
  <c r="AD5" i="21" s="1"/>
  <c r="P80" i="14"/>
  <c r="P48" i="14"/>
  <c r="P24" i="14"/>
  <c r="P7" i="14"/>
  <c r="AJ5" i="14"/>
  <c r="P77" i="14"/>
  <c r="P59" i="14"/>
  <c r="P42" i="14"/>
  <c r="P16" i="14"/>
  <c r="BD44" i="14"/>
  <c r="BD63" i="14"/>
  <c r="AF166" i="14"/>
  <c r="AB174" i="14"/>
  <c r="AB166" i="14"/>
  <c r="AF174" i="14"/>
  <c r="AC166" i="14"/>
  <c r="Y174" i="14"/>
  <c r="AG174" i="14"/>
  <c r="Z174" i="14"/>
  <c r="AD166" i="14"/>
  <c r="AH174" i="14"/>
  <c r="AE166" i="14"/>
  <c r="AA174" i="14"/>
  <c r="AB115" i="14"/>
  <c r="BC34" i="14"/>
  <c r="AG113" i="14"/>
  <c r="Y166" i="14"/>
  <c r="AG166" i="14"/>
  <c r="AC174" i="14"/>
  <c r="Z166" i="14"/>
  <c r="AH166" i="14"/>
  <c r="AD174" i="14"/>
  <c r="AA108" i="14"/>
  <c r="AA166" i="14"/>
  <c r="AE174" i="14"/>
  <c r="BC27" i="14"/>
  <c r="AI146" i="14"/>
  <c r="AI22" i="14"/>
  <c r="O22" i="14"/>
  <c r="O67" i="14"/>
  <c r="AI187" i="14"/>
  <c r="O60" i="14"/>
  <c r="O187" i="14"/>
  <c r="O189" i="14" s="1"/>
  <c r="O23" i="14" s="1"/>
  <c r="BC63" i="14"/>
  <c r="O33" i="14"/>
  <c r="AI11" i="14"/>
  <c r="O56" i="14"/>
  <c r="AI34" i="14"/>
  <c r="O18" i="14"/>
  <c r="O10" i="14"/>
  <c r="BC11" i="14"/>
  <c r="O48" i="14"/>
  <c r="AI67" i="14"/>
  <c r="O41" i="14"/>
  <c r="O32" i="14"/>
  <c r="AI28" i="14"/>
  <c r="AI60" i="14"/>
  <c r="O24" i="14"/>
  <c r="AI44" i="14"/>
  <c r="AI53" i="14" s="1"/>
  <c r="AI18" i="14"/>
  <c r="AC115" i="14"/>
  <c r="AD115" i="14"/>
  <c r="AD108" i="14"/>
  <c r="AC108" i="14"/>
  <c r="AA115" i="14"/>
  <c r="Y113" i="14"/>
  <c r="Z113" i="14"/>
  <c r="AH113" i="14"/>
  <c r="AB108" i="14"/>
  <c r="Z108" i="14"/>
  <c r="AH108" i="14"/>
  <c r="H113" i="14"/>
  <c r="G113" i="14"/>
  <c r="AG108" i="14"/>
  <c r="Y108" i="14"/>
  <c r="AE113" i="14"/>
  <c r="AF108" i="14"/>
  <c r="J113" i="14"/>
  <c r="AE108" i="14"/>
  <c r="AF113" i="14"/>
  <c r="T110" i="8"/>
  <c r="BD187" i="14" l="1"/>
  <c r="BD189" i="14" s="1"/>
  <c r="CP21" i="14"/>
  <c r="AM21" i="21"/>
  <c r="AM187" i="21" s="1"/>
  <c r="AM189" i="21" s="1"/>
  <c r="BW187" i="14"/>
  <c r="BW189" i="14" s="1"/>
  <c r="DA113" i="14"/>
  <c r="CG113" i="14"/>
  <c r="AU113" i="14"/>
  <c r="BN113" i="14"/>
  <c r="DD113" i="14"/>
  <c r="AX113" i="14"/>
  <c r="BQ113" i="14"/>
  <c r="CJ113" i="14"/>
  <c r="CH113" i="14"/>
  <c r="DB113" i="14"/>
  <c r="BO113" i="14"/>
  <c r="AV113" i="14"/>
  <c r="DC113" i="14"/>
  <c r="CI113" i="14"/>
  <c r="BP113" i="14"/>
  <c r="AW113" i="14"/>
  <c r="CP191" i="14"/>
  <c r="CP193" i="14" s="1"/>
  <c r="BW191" i="14"/>
  <c r="BW193" i="14" s="1"/>
  <c r="AV48" i="21"/>
  <c r="AZ48" i="21" s="1"/>
  <c r="CP187" i="14"/>
  <c r="CP189" i="14" s="1"/>
  <c r="AV15" i="21"/>
  <c r="AZ15" i="21" s="1"/>
  <c r="AV41" i="21"/>
  <c r="AZ41" i="21" s="1"/>
  <c r="AV78" i="21"/>
  <c r="AZ78" i="21" s="1"/>
  <c r="AV30" i="21"/>
  <c r="AZ30" i="21" s="1"/>
  <c r="AV76" i="21"/>
  <c r="AZ76" i="21" s="1"/>
  <c r="AV43" i="21"/>
  <c r="AZ43" i="21" s="1"/>
  <c r="AM24" i="21"/>
  <c r="AM191" i="21" s="1"/>
  <c r="AM193" i="21" s="1"/>
  <c r="AV10" i="21"/>
  <c r="AZ10" i="21" s="1"/>
  <c r="AD32" i="21"/>
  <c r="AV32" i="21" s="1"/>
  <c r="AZ32" i="21" s="1"/>
  <c r="AD14" i="21"/>
  <c r="AV14" i="21" s="1"/>
  <c r="AZ14" i="21" s="1"/>
  <c r="AV73" i="21"/>
  <c r="AZ73" i="21" s="1"/>
  <c r="AD191" i="21"/>
  <c r="AD193" i="21" s="1"/>
  <c r="AD21" i="21"/>
  <c r="AS115" i="21"/>
  <c r="BD115" i="21"/>
  <c r="AJ115" i="21"/>
  <c r="AA115" i="21"/>
  <c r="P115" i="21"/>
  <c r="AR115" i="21"/>
  <c r="BC115" i="21"/>
  <c r="AI115" i="21"/>
  <c r="Z115" i="21"/>
  <c r="T5" i="21"/>
  <c r="W5" i="21" s="1"/>
  <c r="J50" i="21"/>
  <c r="M50" i="21" s="1"/>
  <c r="J75" i="21"/>
  <c r="M75" i="21" s="1"/>
  <c r="J30" i="21"/>
  <c r="M30" i="21" s="1"/>
  <c r="J72" i="21"/>
  <c r="M72" i="21" s="1"/>
  <c r="J83" i="21"/>
  <c r="M83" i="21" s="1"/>
  <c r="J79" i="21"/>
  <c r="M79" i="21" s="1"/>
  <c r="J16" i="21"/>
  <c r="M16" i="21" s="1"/>
  <c r="P8" i="14"/>
  <c r="J17" i="21"/>
  <c r="M17" i="21" s="1"/>
  <c r="J51" i="21"/>
  <c r="M51" i="21" s="1"/>
  <c r="J80" i="21"/>
  <c r="M80" i="21" s="1"/>
  <c r="J43" i="21"/>
  <c r="M43" i="21" s="1"/>
  <c r="J59" i="21"/>
  <c r="M59" i="21" s="1"/>
  <c r="J86" i="21"/>
  <c r="M86" i="21" s="1"/>
  <c r="AC113" i="14"/>
  <c r="J77" i="21"/>
  <c r="M77" i="21" s="1"/>
  <c r="J66" i="21"/>
  <c r="M66" i="21" s="1"/>
  <c r="J9" i="21"/>
  <c r="M9" i="21" s="1"/>
  <c r="J15" i="21"/>
  <c r="M15" i="21" s="1"/>
  <c r="J14" i="21"/>
  <c r="M14" i="21" s="1"/>
  <c r="O81" i="14"/>
  <c r="BW27" i="14"/>
  <c r="BW18" i="14"/>
  <c r="AD81" i="21"/>
  <c r="T81" i="21"/>
  <c r="W81" i="21" s="1"/>
  <c r="AJ81" i="14"/>
  <c r="BW81" i="14"/>
  <c r="BG81" i="21"/>
  <c r="DJ81" i="14"/>
  <c r="CO81" i="14"/>
  <c r="DJ34" i="14"/>
  <c r="BW34" i="14"/>
  <c r="BG67" i="21"/>
  <c r="T27" i="21"/>
  <c r="W27" i="21" s="1"/>
  <c r="AJ25" i="14"/>
  <c r="BW11" i="14"/>
  <c r="BG63" i="21"/>
  <c r="J24" i="21"/>
  <c r="BG34" i="21"/>
  <c r="CP81" i="14"/>
  <c r="DJ18" i="14"/>
  <c r="CP60" i="14"/>
  <c r="T18" i="21"/>
  <c r="W18" i="21" s="1"/>
  <c r="T67" i="21"/>
  <c r="W67" i="21" s="1"/>
  <c r="AM67" i="21"/>
  <c r="T44" i="21"/>
  <c r="T53" i="21" s="1"/>
  <c r="BG44" i="21"/>
  <c r="BG53" i="21" s="1"/>
  <c r="T60" i="21"/>
  <c r="T34" i="21"/>
  <c r="BG18" i="21"/>
  <c r="AJ27" i="14"/>
  <c r="DJ67" i="14"/>
  <c r="BG60" i="21"/>
  <c r="CP67" i="14"/>
  <c r="AM34" i="21"/>
  <c r="F113" i="21"/>
  <c r="AM18" i="21"/>
  <c r="J48" i="21"/>
  <c r="M48" i="21" s="1"/>
  <c r="J10" i="21"/>
  <c r="M10" i="21" s="1"/>
  <c r="J33" i="21"/>
  <c r="M33" i="21" s="1"/>
  <c r="J56" i="21"/>
  <c r="M56" i="21" s="1"/>
  <c r="G113" i="21"/>
  <c r="Q115" i="21"/>
  <c r="J7" i="21"/>
  <c r="T187" i="21"/>
  <c r="BC62" i="14"/>
  <c r="AD11" i="21"/>
  <c r="DI6" i="14"/>
  <c r="AM5" i="21"/>
  <c r="O6" i="14"/>
  <c r="J73" i="21"/>
  <c r="M73" i="21" s="1"/>
  <c r="AD60" i="21"/>
  <c r="AD44" i="21"/>
  <c r="AD49" i="21" s="1"/>
  <c r="AD63" i="21"/>
  <c r="AD67" i="21"/>
  <c r="J42" i="21"/>
  <c r="M42" i="21" s="1"/>
  <c r="BC45" i="14"/>
  <c r="BC52" i="14"/>
  <c r="BC47" i="14"/>
  <c r="BC49" i="14"/>
  <c r="DI11" i="14"/>
  <c r="DI12" i="14" s="1"/>
  <c r="BV35" i="14"/>
  <c r="BV69" i="14" s="1"/>
  <c r="BV74" i="14" s="1"/>
  <c r="CO67" i="14"/>
  <c r="CO34" i="14"/>
  <c r="DI62" i="14"/>
  <c r="BW67" i="14"/>
  <c r="BW60" i="14"/>
  <c r="BW61" i="14" s="1"/>
  <c r="CO63" i="14"/>
  <c r="CO11" i="14"/>
  <c r="CO44" i="14"/>
  <c r="CO18" i="14"/>
  <c r="AJ67" i="14"/>
  <c r="P71" i="14"/>
  <c r="P65" i="14"/>
  <c r="AJ22" i="14"/>
  <c r="P32" i="14"/>
  <c r="P34" i="14" s="1"/>
  <c r="DJ5" i="14"/>
  <c r="BG5" i="21" s="1"/>
  <c r="BG11" i="21" s="1"/>
  <c r="P21" i="14"/>
  <c r="AJ60" i="14"/>
  <c r="BD53" i="14"/>
  <c r="BD62" i="14" s="1"/>
  <c r="BD45" i="14"/>
  <c r="BD52" i="14"/>
  <c r="BD49" i="14"/>
  <c r="AJ6" i="14"/>
  <c r="AJ11" i="14"/>
  <c r="AJ8" i="14"/>
  <c r="CP5" i="14"/>
  <c r="BD11" i="14"/>
  <c r="AJ34" i="14"/>
  <c r="AJ18" i="14"/>
  <c r="BD18" i="14"/>
  <c r="CP44" i="14"/>
  <c r="P5" i="14"/>
  <c r="P191" i="14"/>
  <c r="P25" i="14"/>
  <c r="P46" i="14"/>
  <c r="P58" i="14"/>
  <c r="DJ27" i="14"/>
  <c r="DJ28" i="14" s="1"/>
  <c r="DJ22" i="14"/>
  <c r="BD27" i="14"/>
  <c r="BD34" i="14"/>
  <c r="CP34" i="14"/>
  <c r="DJ63" i="14"/>
  <c r="DJ44" i="14"/>
  <c r="DJ53" i="14" s="1"/>
  <c r="DJ62" i="14" s="1"/>
  <c r="AJ44" i="14"/>
  <c r="AJ53" i="14" s="1"/>
  <c r="BW44" i="14"/>
  <c r="BW53" i="14" s="1"/>
  <c r="BW63" i="14"/>
  <c r="BD47" i="14"/>
  <c r="P41" i="14"/>
  <c r="BC35" i="14"/>
  <c r="AI12" i="14"/>
  <c r="CO27" i="14"/>
  <c r="O11" i="14"/>
  <c r="O34" i="14"/>
  <c r="AI35" i="14"/>
  <c r="O169" i="14"/>
  <c r="O44" i="14"/>
  <c r="O63" i="14"/>
  <c r="AI62" i="14"/>
  <c r="O191" i="14"/>
  <c r="O193" i="14" s="1"/>
  <c r="O26" i="14" s="1"/>
  <c r="O27" i="14"/>
  <c r="O25" i="14"/>
  <c r="AA113" i="14"/>
  <c r="AD113" i="14"/>
  <c r="AB113" i="14"/>
  <c r="AV24" i="21" l="1"/>
  <c r="AZ24" i="21" s="1"/>
  <c r="AD18" i="21"/>
  <c r="J8" i="21"/>
  <c r="M7" i="21"/>
  <c r="AD187" i="21"/>
  <c r="AD189" i="21" s="1"/>
  <c r="AV21" i="21"/>
  <c r="J25" i="21"/>
  <c r="M24" i="21"/>
  <c r="AV191" i="21"/>
  <c r="AV193" i="21" s="1"/>
  <c r="BD113" i="21"/>
  <c r="AS113" i="21"/>
  <c r="AJ113" i="21"/>
  <c r="AA113" i="21"/>
  <c r="BC113" i="21"/>
  <c r="AR113" i="21"/>
  <c r="AI113" i="21"/>
  <c r="Z113" i="21"/>
  <c r="J18" i="21"/>
  <c r="M18" i="21" s="1"/>
  <c r="J41" i="21"/>
  <c r="J169" i="21" s="1"/>
  <c r="J46" i="21"/>
  <c r="M46" i="21" s="1"/>
  <c r="P81" i="14"/>
  <c r="AJ12" i="14"/>
  <c r="J21" i="21"/>
  <c r="AJ28" i="14"/>
  <c r="J5" i="21"/>
  <c r="BW35" i="14"/>
  <c r="CO45" i="14"/>
  <c r="CP18" i="14"/>
  <c r="T11" i="21"/>
  <c r="T191" i="21"/>
  <c r="AM81" i="21"/>
  <c r="AV81" i="21"/>
  <c r="AZ81" i="21" s="1"/>
  <c r="AM27" i="21"/>
  <c r="CP11" i="14"/>
  <c r="J191" i="21"/>
  <c r="J193" i="21" s="1"/>
  <c r="J26" i="21" s="1"/>
  <c r="T62" i="21"/>
  <c r="BG62" i="21"/>
  <c r="AM63" i="21"/>
  <c r="AM11" i="21"/>
  <c r="AD27" i="21"/>
  <c r="AM44" i="21"/>
  <c r="AM53" i="21" s="1"/>
  <c r="AM60" i="21"/>
  <c r="DI35" i="14"/>
  <c r="DI36" i="14" s="1"/>
  <c r="DI38" i="14" s="1"/>
  <c r="CP27" i="14"/>
  <c r="BG27" i="21"/>
  <c r="BG35" i="21" s="1"/>
  <c r="BC54" i="14"/>
  <c r="BC82" i="14"/>
  <c r="BC84" i="14" s="1"/>
  <c r="BV82" i="14"/>
  <c r="BV84" i="14" s="1"/>
  <c r="P60" i="14"/>
  <c r="J58" i="21"/>
  <c r="AV63" i="21"/>
  <c r="AV44" i="21"/>
  <c r="AZ44" i="21" s="1"/>
  <c r="AD53" i="21"/>
  <c r="AD62" i="21" s="1"/>
  <c r="AD45" i="21"/>
  <c r="AD52" i="21"/>
  <c r="AV67" i="21"/>
  <c r="AZ67" i="21" s="1"/>
  <c r="AV5" i="21"/>
  <c r="P67" i="14"/>
  <c r="J65" i="21"/>
  <c r="AV60" i="21"/>
  <c r="AZ60" i="21" s="1"/>
  <c r="AD47" i="21"/>
  <c r="J32" i="21"/>
  <c r="J71" i="21"/>
  <c r="AD34" i="21"/>
  <c r="CO47" i="14"/>
  <c r="AK193" i="14"/>
  <c r="AK26" i="14" s="1"/>
  <c r="BW62" i="14"/>
  <c r="CO35" i="14"/>
  <c r="CP63" i="14"/>
  <c r="CO49" i="14"/>
  <c r="CO53" i="14"/>
  <c r="AJ62" i="14"/>
  <c r="P44" i="14"/>
  <c r="P169" i="14"/>
  <c r="P63" i="14"/>
  <c r="P22" i="14"/>
  <c r="P187" i="14"/>
  <c r="CP53" i="14"/>
  <c r="CP45" i="14"/>
  <c r="CP49" i="14"/>
  <c r="BD54" i="14"/>
  <c r="DJ6" i="14"/>
  <c r="DJ11" i="14"/>
  <c r="AJ35" i="14"/>
  <c r="AJ19" i="14"/>
  <c r="P11" i="14"/>
  <c r="P6" i="14"/>
  <c r="BD35" i="14"/>
  <c r="AJ193" i="14"/>
  <c r="AJ26" i="14" s="1"/>
  <c r="P193" i="14"/>
  <c r="P26" i="14" s="1"/>
  <c r="P18" i="14"/>
  <c r="P27" i="14"/>
  <c r="CP47" i="14"/>
  <c r="BC69" i="14"/>
  <c r="BC74" i="14" s="1"/>
  <c r="AI36" i="14"/>
  <c r="O12" i="14"/>
  <c r="O49" i="14"/>
  <c r="AI82" i="14"/>
  <c r="AI69" i="14"/>
  <c r="O28" i="14"/>
  <c r="O35" i="14"/>
  <c r="O45" i="14"/>
  <c r="O47" i="14"/>
  <c r="O53" i="14"/>
  <c r="I100" i="8"/>
  <c r="J100" i="8"/>
  <c r="J19" i="21" l="1"/>
  <c r="J44" i="21"/>
  <c r="M44" i="21" s="1"/>
  <c r="M41" i="21"/>
  <c r="J11" i="21"/>
  <c r="M11" i="21" s="1"/>
  <c r="M5" i="21"/>
  <c r="AV11" i="21"/>
  <c r="AZ5" i="21"/>
  <c r="J187" i="21"/>
  <c r="J189" i="21" s="1"/>
  <c r="J23" i="21" s="1"/>
  <c r="M21" i="21"/>
  <c r="AV187" i="21"/>
  <c r="AV189" i="21" s="1"/>
  <c r="AZ21" i="21"/>
  <c r="J34" i="21"/>
  <c r="M32" i="21"/>
  <c r="J60" i="21"/>
  <c r="M60" i="21" s="1"/>
  <c r="M58" i="21"/>
  <c r="J67" i="21"/>
  <c r="M67" i="21" s="1"/>
  <c r="M65" i="21"/>
  <c r="J81" i="21"/>
  <c r="M81" i="21" s="1"/>
  <c r="M71" i="21"/>
  <c r="T35" i="21"/>
  <c r="W35" i="21" s="1"/>
  <c r="W11" i="21"/>
  <c r="J22" i="21"/>
  <c r="J27" i="21"/>
  <c r="M27" i="21" s="1"/>
  <c r="J6" i="21"/>
  <c r="P28" i="14"/>
  <c r="P47" i="14"/>
  <c r="P12" i="14"/>
  <c r="BW82" i="14"/>
  <c r="BW85" i="14" s="1"/>
  <c r="AM62" i="21"/>
  <c r="CO62" i="14"/>
  <c r="CO69" i="14" s="1"/>
  <c r="AI37" i="14"/>
  <c r="AI85" i="14"/>
  <c r="AM35" i="21"/>
  <c r="CP35" i="14"/>
  <c r="AV27" i="21"/>
  <c r="DI82" i="14"/>
  <c r="DI84" i="14" s="1"/>
  <c r="DI37" i="14"/>
  <c r="DI69" i="14"/>
  <c r="AD35" i="21"/>
  <c r="AD69" i="21" s="1"/>
  <c r="AD74" i="21" s="1"/>
  <c r="BC85" i="14"/>
  <c r="BC88" i="14" s="1"/>
  <c r="AV47" i="21"/>
  <c r="AV18" i="21"/>
  <c r="BG36" i="21"/>
  <c r="BG82" i="21"/>
  <c r="BG84" i="21" s="1"/>
  <c r="BG69" i="21"/>
  <c r="BV85" i="14"/>
  <c r="BV88" i="14" s="1"/>
  <c r="BV89" i="14" s="1"/>
  <c r="AD54" i="21"/>
  <c r="AI74" i="14"/>
  <c r="AV49" i="21"/>
  <c r="AV34" i="21"/>
  <c r="AV53" i="21"/>
  <c r="AZ53" i="21" s="1"/>
  <c r="AV45" i="21"/>
  <c r="J63" i="21"/>
  <c r="BW69" i="14"/>
  <c r="BW74" i="14" s="1"/>
  <c r="AK189" i="14"/>
  <c r="AK23" i="14" s="1"/>
  <c r="CP62" i="14"/>
  <c r="AJ82" i="14"/>
  <c r="AJ69" i="14"/>
  <c r="AJ36" i="14"/>
  <c r="P35" i="14"/>
  <c r="P19" i="14"/>
  <c r="DJ12" i="14"/>
  <c r="DJ35" i="14"/>
  <c r="BD69" i="14"/>
  <c r="BD74" i="14" s="1"/>
  <c r="BD82" i="14"/>
  <c r="AJ189" i="14"/>
  <c r="AJ23" i="14" s="1"/>
  <c r="P189" i="14"/>
  <c r="P23" i="14" s="1"/>
  <c r="P53" i="14"/>
  <c r="P45" i="14"/>
  <c r="P49" i="14"/>
  <c r="O62" i="14"/>
  <c r="AI84" i="14"/>
  <c r="O36" i="14"/>
  <c r="AI87" i="14" l="1"/>
  <c r="AI92" i="14"/>
  <c r="J49" i="21"/>
  <c r="T69" i="21"/>
  <c r="W69" i="21" s="1"/>
  <c r="J47" i="21"/>
  <c r="BW84" i="14"/>
  <c r="T82" i="21"/>
  <c r="W82" i="21" s="1"/>
  <c r="T36" i="21"/>
  <c r="J12" i="21"/>
  <c r="J35" i="21"/>
  <c r="M35" i="21" s="1"/>
  <c r="J28" i="21"/>
  <c r="J53" i="21"/>
  <c r="M53" i="21" s="1"/>
  <c r="J45" i="21"/>
  <c r="CO82" i="14"/>
  <c r="CO85" i="14" s="1"/>
  <c r="CO87" i="14" s="1"/>
  <c r="P62" i="14"/>
  <c r="AM69" i="21"/>
  <c r="AM74" i="21" s="1"/>
  <c r="AI88" i="14"/>
  <c r="AI89" i="14" s="1"/>
  <c r="AM82" i="21"/>
  <c r="AM84" i="21" s="1"/>
  <c r="CO74" i="14"/>
  <c r="O82" i="14"/>
  <c r="DI85" i="14"/>
  <c r="DI87" i="14" s="1"/>
  <c r="BC87" i="14"/>
  <c r="AD82" i="21"/>
  <c r="AD84" i="21" s="1"/>
  <c r="U190" i="8"/>
  <c r="U194" i="8"/>
  <c r="AV35" i="21"/>
  <c r="AV62" i="21"/>
  <c r="AZ62" i="21" s="1"/>
  <c r="BG85" i="21"/>
  <c r="BG87" i="21" s="1"/>
  <c r="BV91" i="14"/>
  <c r="BV117" i="14" s="1"/>
  <c r="BV87" i="14"/>
  <c r="BV90" i="14"/>
  <c r="BV116" i="14" s="1"/>
  <c r="AJ74" i="14"/>
  <c r="CP69" i="14"/>
  <c r="CP82" i="14"/>
  <c r="AJ85" i="14"/>
  <c r="AJ92" i="14" s="1"/>
  <c r="AJ84" i="14"/>
  <c r="BW88" i="14"/>
  <c r="BW87" i="14"/>
  <c r="DJ36" i="14"/>
  <c r="DJ82" i="14"/>
  <c r="DJ69" i="14"/>
  <c r="BD85" i="14"/>
  <c r="BD84" i="14"/>
  <c r="P36" i="14"/>
  <c r="AJ37" i="14"/>
  <c r="AJ38" i="14"/>
  <c r="O69" i="14"/>
  <c r="AI189" i="14"/>
  <c r="AI23" i="14" s="1"/>
  <c r="BC89" i="14"/>
  <c r="O37" i="14"/>
  <c r="BC91" i="14"/>
  <c r="BC117" i="14" s="1"/>
  <c r="BC90" i="14"/>
  <c r="BC116" i="14" s="1"/>
  <c r="AH188" i="14"/>
  <c r="CO84" i="14" l="1"/>
  <c r="T74" i="21"/>
  <c r="J36" i="21"/>
  <c r="J38" i="21" s="1"/>
  <c r="T84" i="21"/>
  <c r="T85" i="21"/>
  <c r="J62" i="21"/>
  <c r="J82" i="21" s="1"/>
  <c r="M82" i="21" s="1"/>
  <c r="AI91" i="14"/>
  <c r="AI117" i="14" s="1"/>
  <c r="P82" i="14"/>
  <c r="P85" i="14" s="1"/>
  <c r="AI90" i="14"/>
  <c r="AI116" i="14" s="1"/>
  <c r="P69" i="14"/>
  <c r="P74" i="14" s="1"/>
  <c r="CP84" i="14"/>
  <c r="AM85" i="21"/>
  <c r="AD85" i="21"/>
  <c r="AD88" i="21" s="1"/>
  <c r="O84" i="14"/>
  <c r="O85" i="14"/>
  <c r="O88" i="14" s="1"/>
  <c r="DI88" i="14"/>
  <c r="DI89" i="14" s="1"/>
  <c r="CO88" i="14"/>
  <c r="AV82" i="21"/>
  <c r="AV69" i="21"/>
  <c r="BG88" i="21"/>
  <c r="CP85" i="14"/>
  <c r="CP74" i="14"/>
  <c r="DJ37" i="14"/>
  <c r="DJ38" i="14"/>
  <c r="P37" i="14"/>
  <c r="P38" i="14"/>
  <c r="BW89" i="14"/>
  <c r="BW90" i="14"/>
  <c r="BW116" i="14" s="1"/>
  <c r="BW91" i="14"/>
  <c r="BW117" i="14" s="1"/>
  <c r="BD88" i="14"/>
  <c r="BD87" i="14"/>
  <c r="DJ85" i="14"/>
  <c r="DJ84" i="14"/>
  <c r="AJ88" i="14"/>
  <c r="AJ87" i="14"/>
  <c r="AH192" i="14"/>
  <c r="O74" i="14"/>
  <c r="AI193" i="14"/>
  <c r="AI26" i="14" s="1"/>
  <c r="J114" i="8"/>
  <c r="J112" i="8"/>
  <c r="J150" i="8"/>
  <c r="J149" i="8"/>
  <c r="J144" i="8"/>
  <c r="J141" i="8"/>
  <c r="J140" i="8"/>
  <c r="J139" i="8"/>
  <c r="J138" i="8"/>
  <c r="J137" i="8"/>
  <c r="J136" i="8"/>
  <c r="J109" i="8"/>
  <c r="J107" i="8"/>
  <c r="J128" i="8"/>
  <c r="J127" i="8"/>
  <c r="J126" i="8"/>
  <c r="J123" i="8"/>
  <c r="J161" i="8"/>
  <c r="J160" i="8"/>
  <c r="J159" i="8"/>
  <c r="J158" i="8"/>
  <c r="J155" i="8"/>
  <c r="J185" i="8"/>
  <c r="J184" i="8"/>
  <c r="J177" i="8"/>
  <c r="J176" i="8"/>
  <c r="J169" i="8"/>
  <c r="J168" i="8"/>
  <c r="J179" i="8"/>
  <c r="J180" i="8"/>
  <c r="W85" i="21" l="1"/>
  <c r="T92" i="21"/>
  <c r="T88" i="21"/>
  <c r="W88" i="21" s="1"/>
  <c r="J37" i="21"/>
  <c r="T87" i="21"/>
  <c r="AD127" i="8"/>
  <c r="AM127" i="8"/>
  <c r="AV127" i="8"/>
  <c r="BF127" i="8"/>
  <c r="AD140" i="8"/>
  <c r="BF140" i="8"/>
  <c r="AM140" i="8"/>
  <c r="AV140" i="8"/>
  <c r="AD141" i="8"/>
  <c r="BF141" i="8"/>
  <c r="AM141" i="8"/>
  <c r="AV141" i="8"/>
  <c r="AD185" i="8"/>
  <c r="AM185" i="8"/>
  <c r="AV185" i="8"/>
  <c r="BF185" i="8"/>
  <c r="AD158" i="8"/>
  <c r="AV158" i="8"/>
  <c r="AM158" i="8"/>
  <c r="BF158" i="8"/>
  <c r="AD107" i="8"/>
  <c r="AV107" i="8"/>
  <c r="AM107" i="8"/>
  <c r="BF107" i="8"/>
  <c r="AD155" i="8"/>
  <c r="AD154" i="8" s="1"/>
  <c r="BF155" i="8"/>
  <c r="BF154" i="8" s="1"/>
  <c r="AV155" i="8"/>
  <c r="AV154" i="8" s="1"/>
  <c r="AM155" i="8"/>
  <c r="AM154" i="8" s="1"/>
  <c r="AD168" i="8"/>
  <c r="AV168" i="8"/>
  <c r="AM168" i="8"/>
  <c r="BF168" i="8"/>
  <c r="AD159" i="8"/>
  <c r="AV159" i="8"/>
  <c r="AM159" i="8"/>
  <c r="BF159" i="8"/>
  <c r="AD109" i="8"/>
  <c r="AV109" i="8"/>
  <c r="AM109" i="8"/>
  <c r="BF109" i="8"/>
  <c r="AD144" i="8"/>
  <c r="AD143" i="8" s="1"/>
  <c r="AM144" i="8"/>
  <c r="AM143" i="8" s="1"/>
  <c r="BF144" i="8"/>
  <c r="BF143" i="8" s="1"/>
  <c r="AV144" i="8"/>
  <c r="AV143" i="8" s="1"/>
  <c r="AD169" i="8"/>
  <c r="AV169" i="8"/>
  <c r="AM169" i="8"/>
  <c r="BF169" i="8"/>
  <c r="AD160" i="8"/>
  <c r="AV160" i="8"/>
  <c r="AM160" i="8"/>
  <c r="BF160" i="8"/>
  <c r="AD136" i="8"/>
  <c r="AV136" i="8"/>
  <c r="BF136" i="8"/>
  <c r="AM136" i="8"/>
  <c r="AD149" i="8"/>
  <c r="AV149" i="8"/>
  <c r="BF149" i="8"/>
  <c r="AM149" i="8"/>
  <c r="AD128" i="8"/>
  <c r="AM128" i="8"/>
  <c r="AV128" i="8"/>
  <c r="BF128" i="8"/>
  <c r="AD176" i="8"/>
  <c r="BF176" i="8"/>
  <c r="AV176" i="8"/>
  <c r="AM176" i="8"/>
  <c r="AD161" i="8"/>
  <c r="BF161" i="8"/>
  <c r="AV161" i="8"/>
  <c r="AM161" i="8"/>
  <c r="AD137" i="8"/>
  <c r="AV137" i="8"/>
  <c r="BF137" i="8"/>
  <c r="AM137" i="8"/>
  <c r="AD150" i="8"/>
  <c r="BF150" i="8"/>
  <c r="AM150" i="8"/>
  <c r="AV150" i="8"/>
  <c r="AD180" i="8"/>
  <c r="BF180" i="8"/>
  <c r="AV180" i="8"/>
  <c r="AM180" i="8"/>
  <c r="BF177" i="8"/>
  <c r="AD177" i="8"/>
  <c r="AV177" i="8"/>
  <c r="AM177" i="8"/>
  <c r="AD123" i="8"/>
  <c r="AD122" i="8" s="1"/>
  <c r="BF123" i="8"/>
  <c r="BF122" i="8" s="1"/>
  <c r="AV123" i="8"/>
  <c r="AV122" i="8" s="1"/>
  <c r="AM123" i="8"/>
  <c r="AM122" i="8" s="1"/>
  <c r="AD138" i="8"/>
  <c r="AV138" i="8"/>
  <c r="BF138" i="8"/>
  <c r="AM138" i="8"/>
  <c r="AD112" i="8"/>
  <c r="BF112" i="8"/>
  <c r="AV112" i="8"/>
  <c r="AM112" i="8"/>
  <c r="AD179" i="8"/>
  <c r="BF179" i="8"/>
  <c r="AV179" i="8"/>
  <c r="AM179" i="8"/>
  <c r="AD184" i="8"/>
  <c r="AM184" i="8"/>
  <c r="AV184" i="8"/>
  <c r="BF184" i="8"/>
  <c r="AD126" i="8"/>
  <c r="AV126" i="8"/>
  <c r="BF126" i="8"/>
  <c r="AM126" i="8"/>
  <c r="AD139" i="8"/>
  <c r="BF139" i="8"/>
  <c r="AV139" i="8"/>
  <c r="AM139" i="8"/>
  <c r="AD114" i="8"/>
  <c r="AM114" i="8"/>
  <c r="BF114" i="8"/>
  <c r="AV114" i="8"/>
  <c r="P84" i="14"/>
  <c r="J69" i="21"/>
  <c r="M62" i="21"/>
  <c r="AV85" i="21"/>
  <c r="AZ85" i="21" s="1"/>
  <c r="AZ82" i="21"/>
  <c r="AV74" i="21"/>
  <c r="AZ69" i="21"/>
  <c r="O87" i="14"/>
  <c r="P88" i="14"/>
  <c r="P89" i="14" s="1"/>
  <c r="P87" i="14"/>
  <c r="AD87" i="21"/>
  <c r="T89" i="21"/>
  <c r="CP87" i="14"/>
  <c r="AM88" i="21"/>
  <c r="AM87" i="21"/>
  <c r="CO91" i="14"/>
  <c r="CO117" i="14" s="1"/>
  <c r="CO90" i="14"/>
  <c r="CO116" i="14" s="1"/>
  <c r="CO89" i="14"/>
  <c r="J113" i="8"/>
  <c r="J108" i="8"/>
  <c r="T180" i="8"/>
  <c r="AW91" i="8"/>
  <c r="AE91" i="8"/>
  <c r="AE117" i="8" s="1"/>
  <c r="AN61" i="8"/>
  <c r="U122" i="8"/>
  <c r="U143" i="8"/>
  <c r="W143" i="8" s="1"/>
  <c r="U154" i="8"/>
  <c r="W154" i="8" s="1"/>
  <c r="U6" i="8"/>
  <c r="U12" i="8"/>
  <c r="K90" i="8"/>
  <c r="K116" i="8" s="1"/>
  <c r="AV84" i="21"/>
  <c r="AD89" i="21"/>
  <c r="J85" i="21"/>
  <c r="M85" i="21" s="1"/>
  <c r="J84" i="21"/>
  <c r="CP88" i="14"/>
  <c r="BD91" i="14"/>
  <c r="BD117" i="14" s="1"/>
  <c r="BD90" i="14"/>
  <c r="BD116" i="14" s="1"/>
  <c r="BD89" i="14"/>
  <c r="AJ89" i="14"/>
  <c r="AJ91" i="14"/>
  <c r="AJ117" i="14" s="1"/>
  <c r="AJ90" i="14"/>
  <c r="AJ116" i="14" s="1"/>
  <c r="DJ88" i="14"/>
  <c r="DJ87" i="14"/>
  <c r="O89" i="14"/>
  <c r="O95" i="14"/>
  <c r="O90" i="14"/>
  <c r="O116" i="14" s="1"/>
  <c r="O91" i="14"/>
  <c r="J157" i="8"/>
  <c r="AM125" i="8" l="1"/>
  <c r="AM130" i="8" s="1"/>
  <c r="AV125" i="8"/>
  <c r="AV130" i="8" s="1"/>
  <c r="BF125" i="8"/>
  <c r="BF130" i="8" s="1"/>
  <c r="AV175" i="8"/>
  <c r="AM175" i="8"/>
  <c r="BF167" i="8"/>
  <c r="AD157" i="8"/>
  <c r="AD163" i="8" s="1"/>
  <c r="AM157" i="8"/>
  <c r="AM163" i="8" s="1"/>
  <c r="AD108" i="8"/>
  <c r="AV108" i="8"/>
  <c r="AM108" i="8"/>
  <c r="BF108" i="8"/>
  <c r="AD125" i="8"/>
  <c r="AD130" i="8" s="1"/>
  <c r="BF175" i="8"/>
  <c r="AM135" i="8"/>
  <c r="AM146" i="8" s="1"/>
  <c r="AM167" i="8"/>
  <c r="AD113" i="8"/>
  <c r="BF113" i="8"/>
  <c r="AV113" i="8"/>
  <c r="AM113" i="8"/>
  <c r="AD175" i="8"/>
  <c r="AV167" i="8"/>
  <c r="V19" i="8"/>
  <c r="W122" i="8"/>
  <c r="BF135" i="8"/>
  <c r="BF146" i="8" s="1"/>
  <c r="AV135" i="8"/>
  <c r="AV146" i="8" s="1"/>
  <c r="AD167" i="8"/>
  <c r="BF157" i="8"/>
  <c r="BF163" i="8" s="1"/>
  <c r="AD135" i="8"/>
  <c r="AD146" i="8" s="1"/>
  <c r="AV157" i="8"/>
  <c r="AV163" i="8" s="1"/>
  <c r="P95" i="14"/>
  <c r="P103" i="14" s="1"/>
  <c r="P91" i="14"/>
  <c r="P117" i="14" s="1"/>
  <c r="P90" i="14"/>
  <c r="P116" i="14" s="1"/>
  <c r="M69" i="21"/>
  <c r="J74" i="21"/>
  <c r="AV88" i="21"/>
  <c r="AZ88" i="21" s="1"/>
  <c r="AV87" i="21"/>
  <c r="CP90" i="14"/>
  <c r="CP116" i="14" s="1"/>
  <c r="AM89" i="21"/>
  <c r="AM91" i="21"/>
  <c r="AM117" i="21" s="1"/>
  <c r="AM90" i="21"/>
  <c r="AM116" i="21" s="1"/>
  <c r="O103" i="14"/>
  <c r="BG25" i="8"/>
  <c r="BG6" i="8"/>
  <c r="BG12" i="8"/>
  <c r="BG22" i="8"/>
  <c r="BG37" i="8"/>
  <c r="BG28" i="8"/>
  <c r="U125" i="8"/>
  <c r="U157" i="8"/>
  <c r="W157" i="8" s="1"/>
  <c r="U135" i="8"/>
  <c r="W135" i="8" s="1"/>
  <c r="J88" i="21"/>
  <c r="M88" i="21" s="1"/>
  <c r="J87" i="21"/>
  <c r="DJ89" i="14"/>
  <c r="BG89" i="21"/>
  <c r="CP91" i="14"/>
  <c r="CP117" i="14" s="1"/>
  <c r="CP89" i="14"/>
  <c r="O117" i="14"/>
  <c r="J98" i="8"/>
  <c r="J101" i="8"/>
  <c r="J102" i="8"/>
  <c r="J96" i="8"/>
  <c r="I98" i="8"/>
  <c r="I101" i="8"/>
  <c r="I102" i="8"/>
  <c r="I96" i="8"/>
  <c r="U130" i="8" l="1"/>
  <c r="W125" i="8"/>
  <c r="V8" i="8"/>
  <c r="AV90" i="21"/>
  <c r="AV116" i="21" s="1"/>
  <c r="AV91" i="21"/>
  <c r="AV117" i="21" s="1"/>
  <c r="AV89" i="21"/>
  <c r="U163" i="8"/>
  <c r="W163" i="8" s="1"/>
  <c r="U146" i="8"/>
  <c r="W146" i="8" s="1"/>
  <c r="U22" i="8"/>
  <c r="U25" i="8"/>
  <c r="U28" i="8"/>
  <c r="U23" i="8"/>
  <c r="U26" i="8"/>
  <c r="J89" i="21"/>
  <c r="J95" i="21"/>
  <c r="J103" i="21" s="1"/>
  <c r="J90" i="21"/>
  <c r="J116" i="21" s="1"/>
  <c r="J91" i="21"/>
  <c r="J117" i="21" s="1"/>
  <c r="AE90" i="8"/>
  <c r="AE116" i="8" s="1"/>
  <c r="T185" i="8"/>
  <c r="T184" i="8"/>
  <c r="T179" i="8"/>
  <c r="T177" i="8"/>
  <c r="T176" i="8"/>
  <c r="T169" i="8"/>
  <c r="T168" i="8"/>
  <c r="T161" i="8"/>
  <c r="T160" i="8"/>
  <c r="T159" i="8"/>
  <c r="T158" i="8"/>
  <c r="T155" i="8"/>
  <c r="T154" i="8" s="1"/>
  <c r="T150" i="8"/>
  <c r="T149" i="8"/>
  <c r="T144" i="8"/>
  <c r="T143" i="8" s="1"/>
  <c r="T141" i="8"/>
  <c r="T140" i="8"/>
  <c r="T139" i="8"/>
  <c r="T138" i="8"/>
  <c r="T137" i="8"/>
  <c r="T136" i="8"/>
  <c r="T128" i="8"/>
  <c r="T127" i="8"/>
  <c r="T126" i="8"/>
  <c r="T123" i="8"/>
  <c r="T122" i="8" s="1"/>
  <c r="T114" i="8"/>
  <c r="T112" i="8"/>
  <c r="T109" i="8"/>
  <c r="T107" i="8"/>
  <c r="J175" i="8"/>
  <c r="J167" i="8"/>
  <c r="J154" i="8"/>
  <c r="J148" i="8"/>
  <c r="J143" i="8"/>
  <c r="J135" i="8"/>
  <c r="J125" i="8"/>
  <c r="J122" i="8"/>
  <c r="AH153" i="14"/>
  <c r="AH143" i="14"/>
  <c r="N174" i="14"/>
  <c r="N166" i="14"/>
  <c r="N156" i="14"/>
  <c r="N153" i="14"/>
  <c r="N152" i="14"/>
  <c r="N148" i="14"/>
  <c r="N143" i="14"/>
  <c r="N135" i="14"/>
  <c r="N125" i="14"/>
  <c r="N122" i="14"/>
  <c r="BF86" i="8"/>
  <c r="AM86" i="8"/>
  <c r="AD86" i="8"/>
  <c r="T86" i="8"/>
  <c r="BF83" i="8"/>
  <c r="AM83" i="8"/>
  <c r="AD83" i="8"/>
  <c r="T83" i="8"/>
  <c r="BF80" i="8"/>
  <c r="AM80" i="8"/>
  <c r="AD80" i="8"/>
  <c r="T80" i="8"/>
  <c r="BF79" i="8"/>
  <c r="AM79" i="8"/>
  <c r="AD79" i="8"/>
  <c r="T79" i="8"/>
  <c r="BF78" i="8"/>
  <c r="AM78" i="8"/>
  <c r="AD78" i="8"/>
  <c r="T78" i="8"/>
  <c r="BF77" i="8"/>
  <c r="AM77" i="8"/>
  <c r="T77" i="8"/>
  <c r="BF76" i="8"/>
  <c r="AM76" i="8"/>
  <c r="AD76" i="8"/>
  <c r="T76" i="8"/>
  <c r="BF75" i="8"/>
  <c r="AM75" i="8"/>
  <c r="T75" i="8"/>
  <c r="BF73" i="8"/>
  <c r="AM73" i="8"/>
  <c r="AD73" i="8"/>
  <c r="T73" i="8"/>
  <c r="BF72" i="8"/>
  <c r="AM72" i="8"/>
  <c r="T72" i="8"/>
  <c r="BF71" i="8"/>
  <c r="AM71" i="8"/>
  <c r="AD71" i="8"/>
  <c r="T71" i="8"/>
  <c r="BF66" i="8"/>
  <c r="AM66" i="8"/>
  <c r="AD66" i="8"/>
  <c r="T66" i="8"/>
  <c r="BF65" i="8"/>
  <c r="AM65" i="8"/>
  <c r="AD65" i="8"/>
  <c r="T65" i="8"/>
  <c r="BF59" i="8"/>
  <c r="AM59" i="8"/>
  <c r="AD59" i="8"/>
  <c r="T59" i="8"/>
  <c r="BF58" i="8"/>
  <c r="AM58" i="8"/>
  <c r="T58" i="8"/>
  <c r="BF56" i="8"/>
  <c r="AM56" i="8"/>
  <c r="T56" i="8"/>
  <c r="BF51" i="8"/>
  <c r="AM51" i="8"/>
  <c r="AD51" i="8"/>
  <c r="T51" i="8"/>
  <c r="BF50" i="8"/>
  <c r="AM50" i="8"/>
  <c r="AD50" i="8"/>
  <c r="T50" i="8"/>
  <c r="BF48" i="8"/>
  <c r="AM48" i="8"/>
  <c r="AD48" i="8"/>
  <c r="T48" i="8"/>
  <c r="BF46" i="8"/>
  <c r="AM46" i="8"/>
  <c r="T46" i="8"/>
  <c r="BF43" i="8"/>
  <c r="AM43" i="8"/>
  <c r="AD43" i="8"/>
  <c r="T43" i="8"/>
  <c r="BF42" i="8"/>
  <c r="AM42" i="8"/>
  <c r="AD42" i="8"/>
  <c r="T42" i="8"/>
  <c r="BF41" i="8"/>
  <c r="AM41" i="8"/>
  <c r="AD41" i="8"/>
  <c r="T41" i="8"/>
  <c r="BF33" i="8"/>
  <c r="AM33" i="8"/>
  <c r="AD33" i="8"/>
  <c r="T33" i="8"/>
  <c r="BF32" i="8"/>
  <c r="AM32" i="8"/>
  <c r="T32" i="8"/>
  <c r="BF30" i="8"/>
  <c r="AM30" i="8"/>
  <c r="AD30" i="8"/>
  <c r="T30" i="8"/>
  <c r="BF24" i="8"/>
  <c r="BF192" i="8" s="1"/>
  <c r="BF194" i="8" s="1"/>
  <c r="AD24" i="8"/>
  <c r="AD192" i="8" s="1"/>
  <c r="AD194" i="8" s="1"/>
  <c r="T24" i="8"/>
  <c r="BF21" i="8"/>
  <c r="BF188" i="8" s="1"/>
  <c r="BF190" i="8" s="1"/>
  <c r="AD21" i="8"/>
  <c r="AD188" i="8" s="1"/>
  <c r="AD190" i="8" s="1"/>
  <c r="T21" i="8"/>
  <c r="BF17" i="8"/>
  <c r="AM17" i="8"/>
  <c r="AD17" i="8"/>
  <c r="T17" i="8"/>
  <c r="BF16" i="8"/>
  <c r="AM16" i="8"/>
  <c r="AD16" i="8"/>
  <c r="T16" i="8"/>
  <c r="BF15" i="8"/>
  <c r="AM15" i="8"/>
  <c r="AD15" i="8"/>
  <c r="T15" i="8"/>
  <c r="BF14" i="8"/>
  <c r="AM14" i="8"/>
  <c r="AD14" i="8"/>
  <c r="T14" i="8"/>
  <c r="BF10" i="8"/>
  <c r="AM10" i="8"/>
  <c r="T10" i="8"/>
  <c r="BF9" i="8"/>
  <c r="AM9" i="8"/>
  <c r="AD9" i="8"/>
  <c r="T9" i="8"/>
  <c r="BF7" i="8"/>
  <c r="AM7" i="8"/>
  <c r="T7" i="8"/>
  <c r="AM5" i="8"/>
  <c r="T175" i="8" l="1"/>
  <c r="T167" i="8"/>
  <c r="AD148" i="8"/>
  <c r="BF148" i="8"/>
  <c r="AM148" i="8"/>
  <c r="AV148" i="8"/>
  <c r="W130" i="8"/>
  <c r="V38" i="8"/>
  <c r="BF81" i="8"/>
  <c r="AM81" i="8"/>
  <c r="T81" i="8"/>
  <c r="AV80" i="8"/>
  <c r="AV86" i="8"/>
  <c r="AV83" i="8"/>
  <c r="AV65" i="8"/>
  <c r="AV71" i="8"/>
  <c r="AV73" i="8"/>
  <c r="AV76" i="8"/>
  <c r="AV78" i="8"/>
  <c r="AV17" i="8"/>
  <c r="AV41" i="8"/>
  <c r="AV9" i="8"/>
  <c r="AV14" i="8"/>
  <c r="AV16" i="8"/>
  <c r="AV30" i="8"/>
  <c r="AV33" i="8"/>
  <c r="AV42" i="8"/>
  <c r="AV50" i="8"/>
  <c r="AV59" i="8"/>
  <c r="AV66" i="8"/>
  <c r="AV79" i="8"/>
  <c r="AM21" i="8"/>
  <c r="AV15" i="8"/>
  <c r="AV43" i="8"/>
  <c r="AV48" i="8"/>
  <c r="AV51" i="8"/>
  <c r="AM24" i="8"/>
  <c r="AM192" i="8" s="1"/>
  <c r="AM194" i="8" s="1"/>
  <c r="K8" i="8"/>
  <c r="AW90" i="8"/>
  <c r="U37" i="8"/>
  <c r="U91" i="8"/>
  <c r="U117" i="8" s="1"/>
  <c r="U19" i="8"/>
  <c r="K19" i="8"/>
  <c r="O8" i="14"/>
  <c r="AM67" i="8"/>
  <c r="O19" i="14"/>
  <c r="AM34" i="8"/>
  <c r="AH125" i="14"/>
  <c r="N171" i="14"/>
  <c r="AH156" i="14"/>
  <c r="N130" i="14"/>
  <c r="AH135" i="14"/>
  <c r="J16" i="8"/>
  <c r="BF34" i="8"/>
  <c r="T5" i="8"/>
  <c r="T27" i="8"/>
  <c r="T44" i="8"/>
  <c r="AD7" i="8"/>
  <c r="AV7" i="8" s="1"/>
  <c r="AD10" i="8"/>
  <c r="AV10" i="8" s="1"/>
  <c r="AD32" i="8"/>
  <c r="AD58" i="8"/>
  <c r="AV58" i="8" s="1"/>
  <c r="AD5" i="8"/>
  <c r="BF44" i="8"/>
  <c r="T34" i="8"/>
  <c r="BF5" i="8"/>
  <c r="BF6" i="8" s="1"/>
  <c r="AD56" i="8"/>
  <c r="AV56" i="8" s="1"/>
  <c r="BF60" i="8"/>
  <c r="J56" i="8"/>
  <c r="J59" i="8"/>
  <c r="J66" i="8"/>
  <c r="J72" i="8"/>
  <c r="J75" i="8"/>
  <c r="J77" i="8"/>
  <c r="J79" i="8"/>
  <c r="J83" i="8"/>
  <c r="AD46" i="8"/>
  <c r="AV46" i="8" s="1"/>
  <c r="AD72" i="8"/>
  <c r="AV72" i="8" s="1"/>
  <c r="AD77" i="8"/>
  <c r="AV77" i="8" s="1"/>
  <c r="AD75" i="8"/>
  <c r="AV75" i="8" s="1"/>
  <c r="BF67" i="8"/>
  <c r="AM63" i="8"/>
  <c r="T125" i="8"/>
  <c r="J146" i="8"/>
  <c r="AD67" i="8"/>
  <c r="J163" i="8"/>
  <c r="J173" i="8"/>
  <c r="J172" i="8"/>
  <c r="J130" i="8"/>
  <c r="T189" i="8"/>
  <c r="T193" i="8"/>
  <c r="T148" i="8"/>
  <c r="T157" i="8"/>
  <c r="T135" i="8"/>
  <c r="BG38" i="8"/>
  <c r="T113" i="8"/>
  <c r="T108" i="8"/>
  <c r="N162" i="14"/>
  <c r="N172" i="14"/>
  <c r="N146" i="14"/>
  <c r="AD18" i="8"/>
  <c r="AD44" i="8"/>
  <c r="AD27" i="8"/>
  <c r="J9" i="8"/>
  <c r="J21" i="8"/>
  <c r="J30" i="8"/>
  <c r="J33" i="8"/>
  <c r="J42" i="8"/>
  <c r="J50" i="8"/>
  <c r="J10" i="8"/>
  <c r="J7" i="8"/>
  <c r="J15" i="8"/>
  <c r="J17" i="8"/>
  <c r="J43" i="8"/>
  <c r="J48" i="8"/>
  <c r="J51" i="8"/>
  <c r="J71" i="8"/>
  <c r="J73" i="8"/>
  <c r="J76" i="8"/>
  <c r="J78" i="8"/>
  <c r="J80" i="8"/>
  <c r="J86" i="8"/>
  <c r="J41" i="8"/>
  <c r="J14" i="8"/>
  <c r="J46" i="8"/>
  <c r="K131" i="8" l="1"/>
  <c r="AV21" i="8"/>
  <c r="AV188" i="8" s="1"/>
  <c r="AV190" i="8" s="1"/>
  <c r="AM188" i="8"/>
  <c r="AM190" i="8" s="1"/>
  <c r="AM27" i="8"/>
  <c r="AD81" i="8"/>
  <c r="J81" i="8"/>
  <c r="AV81" i="8"/>
  <c r="AV24" i="8"/>
  <c r="AV192" i="8" s="1"/>
  <c r="AV194" i="8" s="1"/>
  <c r="K38" i="8"/>
  <c r="AD34" i="8"/>
  <c r="AV32" i="8"/>
  <c r="AV34" i="8" s="1"/>
  <c r="AD60" i="8"/>
  <c r="U90" i="8"/>
  <c r="U116" i="8" s="1"/>
  <c r="U8" i="8"/>
  <c r="AM18" i="8"/>
  <c r="AH162" i="14"/>
  <c r="AI8" i="14"/>
  <c r="AH146" i="14"/>
  <c r="AM11" i="8"/>
  <c r="I130" i="19"/>
  <c r="J38" i="19" s="1"/>
  <c r="I131" i="21"/>
  <c r="BF53" i="8"/>
  <c r="BF62" i="8" s="1"/>
  <c r="AV67" i="8"/>
  <c r="T18" i="8"/>
  <c r="AD63" i="8"/>
  <c r="AD11" i="8"/>
  <c r="BF18" i="8"/>
  <c r="O38" i="14"/>
  <c r="T6" i="8"/>
  <c r="T130" i="8"/>
  <c r="T192" i="8"/>
  <c r="T194" i="8" s="1"/>
  <c r="T26" i="8" s="1"/>
  <c r="T163" i="8"/>
  <c r="T146" i="8"/>
  <c r="J22" i="8"/>
  <c r="T188" i="8"/>
  <c r="T190" i="8" s="1"/>
  <c r="T23" i="8" s="1"/>
  <c r="BF25" i="8"/>
  <c r="T11" i="8"/>
  <c r="BF11" i="8"/>
  <c r="BF12" i="8" s="1"/>
  <c r="AV5" i="8"/>
  <c r="BF27" i="8"/>
  <c r="BF28" i="8" s="1"/>
  <c r="BF22" i="8"/>
  <c r="BF63" i="8"/>
  <c r="J18" i="8"/>
  <c r="AM60" i="8"/>
  <c r="T67" i="8"/>
  <c r="AD52" i="8"/>
  <c r="AM44" i="8"/>
  <c r="AM53" i="8" s="1"/>
  <c r="J44" i="8"/>
  <c r="J188" i="8"/>
  <c r="J190" i="8" s="1"/>
  <c r="J23" i="8" s="1"/>
  <c r="J58" i="8"/>
  <c r="J5" i="8"/>
  <c r="J170" i="8"/>
  <c r="J32" i="8"/>
  <c r="J24" i="8"/>
  <c r="T60" i="8"/>
  <c r="J65" i="8"/>
  <c r="T53" i="8"/>
  <c r="T25" i="8"/>
  <c r="T22" i="8"/>
  <c r="AV44" i="8"/>
  <c r="AD47" i="8"/>
  <c r="T28" i="8"/>
  <c r="AD49" i="8"/>
  <c r="AD53" i="8"/>
  <c r="AD45" i="8"/>
  <c r="F152" i="14"/>
  <c r="G152" i="14"/>
  <c r="H152" i="14"/>
  <c r="I152" i="14"/>
  <c r="J152" i="14"/>
  <c r="K152" i="14"/>
  <c r="L152" i="14"/>
  <c r="M152" i="14"/>
  <c r="E152" i="14"/>
  <c r="AM61" i="8" l="1"/>
  <c r="AM64" i="8"/>
  <c r="AD62" i="8"/>
  <c r="AD35" i="8"/>
  <c r="AV27" i="8"/>
  <c r="J67" i="8"/>
  <c r="J34" i="8"/>
  <c r="J60" i="8"/>
  <c r="AM35" i="8"/>
  <c r="U38" i="8"/>
  <c r="I123" i="19"/>
  <c r="AM62" i="8"/>
  <c r="AV11" i="8"/>
  <c r="BF35" i="8"/>
  <c r="BF36" i="8" s="1"/>
  <c r="BF37" i="8" s="1"/>
  <c r="AV18" i="8"/>
  <c r="T12" i="8"/>
  <c r="J47" i="8"/>
  <c r="T35" i="8"/>
  <c r="AD54" i="8"/>
  <c r="J6" i="8"/>
  <c r="J11" i="8"/>
  <c r="T62" i="8"/>
  <c r="J63" i="8"/>
  <c r="AV60" i="8"/>
  <c r="J192" i="8"/>
  <c r="J194" i="8" s="1"/>
  <c r="J26" i="8" s="1"/>
  <c r="J25" i="8"/>
  <c r="J53" i="8"/>
  <c r="J45" i="8"/>
  <c r="AV63" i="8"/>
  <c r="J27" i="8"/>
  <c r="J49" i="8"/>
  <c r="AV47" i="8"/>
  <c r="AV45" i="8"/>
  <c r="AV49" i="8"/>
  <c r="AV53" i="8"/>
  <c r="I125" i="14"/>
  <c r="H184" i="21"/>
  <c r="H183" i="21"/>
  <c r="F184" i="21"/>
  <c r="F183" i="21"/>
  <c r="F178" i="21"/>
  <c r="H178" i="21"/>
  <c r="F179" i="21"/>
  <c r="H179" i="21"/>
  <c r="H176" i="21"/>
  <c r="F176" i="21"/>
  <c r="H175" i="21"/>
  <c r="F175" i="21"/>
  <c r="F168" i="21"/>
  <c r="H168" i="21"/>
  <c r="H167" i="21"/>
  <c r="F167" i="21"/>
  <c r="H160" i="21"/>
  <c r="F160" i="21"/>
  <c r="H159" i="21"/>
  <c r="F159" i="21"/>
  <c r="H158" i="21"/>
  <c r="F158" i="21"/>
  <c r="H157" i="21"/>
  <c r="F157" i="21"/>
  <c r="H154" i="21"/>
  <c r="F154" i="21"/>
  <c r="H150" i="21"/>
  <c r="F150" i="21"/>
  <c r="H149" i="21"/>
  <c r="F149" i="21"/>
  <c r="H144" i="21"/>
  <c r="F144" i="21"/>
  <c r="H137" i="21"/>
  <c r="H138" i="21"/>
  <c r="H139" i="21"/>
  <c r="H140" i="21"/>
  <c r="H141" i="21"/>
  <c r="H136" i="21"/>
  <c r="F137" i="21"/>
  <c r="F138" i="21"/>
  <c r="F139" i="21"/>
  <c r="F140" i="21"/>
  <c r="F141" i="21"/>
  <c r="F136" i="21"/>
  <c r="AD69" i="8" l="1"/>
  <c r="AD74" i="8" s="1"/>
  <c r="AT176" i="21"/>
  <c r="AK176" i="21"/>
  <c r="BE176" i="21"/>
  <c r="AB176" i="21"/>
  <c r="AR167" i="21"/>
  <c r="BC167" i="21"/>
  <c r="AI167" i="21"/>
  <c r="Z167" i="21"/>
  <c r="BE183" i="21"/>
  <c r="AT183" i="21"/>
  <c r="AK183" i="21"/>
  <c r="AB183" i="21"/>
  <c r="AI184" i="21"/>
  <c r="BC184" i="21"/>
  <c r="Z184" i="21"/>
  <c r="AR184" i="21"/>
  <c r="AK167" i="21"/>
  <c r="BE167" i="21"/>
  <c r="AB167" i="21"/>
  <c r="AT167" i="21"/>
  <c r="BE184" i="21"/>
  <c r="AT184" i="21"/>
  <c r="AK184" i="21"/>
  <c r="AB184" i="21"/>
  <c r="AT168" i="21"/>
  <c r="BE168" i="21"/>
  <c r="AB168" i="21"/>
  <c r="AK168" i="21"/>
  <c r="AI168" i="21"/>
  <c r="Z168" i="21"/>
  <c r="AR168" i="21"/>
  <c r="BC168" i="21"/>
  <c r="BC175" i="21"/>
  <c r="AI175" i="21"/>
  <c r="Z175" i="21"/>
  <c r="AR175" i="21"/>
  <c r="BE178" i="21"/>
  <c r="AT178" i="21"/>
  <c r="AK178" i="21"/>
  <c r="AB178" i="21"/>
  <c r="BC179" i="21"/>
  <c r="AR179" i="21"/>
  <c r="Z179" i="21"/>
  <c r="AI179" i="21"/>
  <c r="AT175" i="21"/>
  <c r="AT174" i="21" s="1"/>
  <c r="AK175" i="21"/>
  <c r="BE175" i="21"/>
  <c r="AB175" i="21"/>
  <c r="AI178" i="21"/>
  <c r="Z178" i="21"/>
  <c r="BC178" i="21"/>
  <c r="AR178" i="21"/>
  <c r="BE179" i="21"/>
  <c r="AT179" i="21"/>
  <c r="AB179" i="21"/>
  <c r="AK179" i="21"/>
  <c r="AI176" i="21"/>
  <c r="Z176" i="21"/>
  <c r="AR176" i="21"/>
  <c r="BC176" i="21"/>
  <c r="BC183" i="21"/>
  <c r="AR183" i="21"/>
  <c r="AI183" i="21"/>
  <c r="Z183" i="21"/>
  <c r="AI138" i="21"/>
  <c r="AR138" i="21"/>
  <c r="BC138" i="21"/>
  <c r="Z138" i="21"/>
  <c r="AT137" i="21"/>
  <c r="BE137" i="21"/>
  <c r="AB137" i="21"/>
  <c r="AK137" i="21"/>
  <c r="AT154" i="21"/>
  <c r="AT153" i="21" s="1"/>
  <c r="AK154" i="21"/>
  <c r="AK153" i="21" s="1"/>
  <c r="BE154" i="21"/>
  <c r="BE153" i="21" s="1"/>
  <c r="AB154" i="21"/>
  <c r="AB153" i="21" s="1"/>
  <c r="AT160" i="21"/>
  <c r="AK160" i="21"/>
  <c r="AB160" i="21"/>
  <c r="BE160" i="21"/>
  <c r="AI137" i="21"/>
  <c r="AR137" i="21"/>
  <c r="BC137" i="21"/>
  <c r="Z137" i="21"/>
  <c r="AI144" i="21"/>
  <c r="AI143" i="21" s="1"/>
  <c r="AR144" i="21"/>
  <c r="AR143" i="21" s="1"/>
  <c r="BC144" i="21"/>
  <c r="BC143" i="21" s="1"/>
  <c r="Z144" i="21"/>
  <c r="Z143" i="21" s="1"/>
  <c r="BC157" i="21"/>
  <c r="AR157" i="21"/>
  <c r="AI157" i="21"/>
  <c r="Z157" i="21"/>
  <c r="AT136" i="21"/>
  <c r="BE136" i="21"/>
  <c r="AK136" i="21"/>
  <c r="AB136" i="21"/>
  <c r="AK144" i="21"/>
  <c r="AK143" i="21" s="1"/>
  <c r="AT144" i="21"/>
  <c r="AT143" i="21" s="1"/>
  <c r="BE144" i="21"/>
  <c r="BE143" i="21" s="1"/>
  <c r="AB144" i="21"/>
  <c r="AB143" i="21" s="1"/>
  <c r="AT157" i="21"/>
  <c r="AK157" i="21"/>
  <c r="AB157" i="21"/>
  <c r="BE157" i="21"/>
  <c r="BC149" i="21"/>
  <c r="AI149" i="21"/>
  <c r="AR149" i="21"/>
  <c r="Z149" i="21"/>
  <c r="BC158" i="21"/>
  <c r="AR158" i="21"/>
  <c r="AI158" i="21"/>
  <c r="Z158" i="21"/>
  <c r="AK141" i="21"/>
  <c r="AT141" i="21"/>
  <c r="BE141" i="21"/>
  <c r="AB141" i="21"/>
  <c r="AK149" i="21"/>
  <c r="AT149" i="21"/>
  <c r="BE149" i="21"/>
  <c r="AB149" i="21"/>
  <c r="AT158" i="21"/>
  <c r="AK158" i="21"/>
  <c r="BE158" i="21"/>
  <c r="AB158" i="21"/>
  <c r="AT140" i="21"/>
  <c r="BE140" i="21"/>
  <c r="AB140" i="21"/>
  <c r="AK140" i="21"/>
  <c r="BC150" i="21"/>
  <c r="AI150" i="21"/>
  <c r="AR150" i="21"/>
  <c r="Z150" i="21"/>
  <c r="BC159" i="21"/>
  <c r="AR159" i="21"/>
  <c r="AI159" i="21"/>
  <c r="Z159" i="21"/>
  <c r="AI140" i="21"/>
  <c r="AR140" i="21"/>
  <c r="BC140" i="21"/>
  <c r="Z140" i="21"/>
  <c r="AT139" i="21"/>
  <c r="BE139" i="21"/>
  <c r="AB139" i="21"/>
  <c r="AK139" i="21"/>
  <c r="AK150" i="21"/>
  <c r="AT150" i="21"/>
  <c r="AB150" i="21"/>
  <c r="BE150" i="21"/>
  <c r="AT159" i="21"/>
  <c r="AK159" i="21"/>
  <c r="BE159" i="21"/>
  <c r="AB159" i="21"/>
  <c r="AI136" i="21"/>
  <c r="AR136" i="21"/>
  <c r="BC136" i="21"/>
  <c r="Z136" i="21"/>
  <c r="AI141" i="21"/>
  <c r="AR141" i="21"/>
  <c r="BC141" i="21"/>
  <c r="Z141" i="21"/>
  <c r="AI139" i="21"/>
  <c r="AR139" i="21"/>
  <c r="BC139" i="21"/>
  <c r="Z139" i="21"/>
  <c r="AT138" i="21"/>
  <c r="BE138" i="21"/>
  <c r="AB138" i="21"/>
  <c r="AK138" i="21"/>
  <c r="BC154" i="21"/>
  <c r="BC153" i="21" s="1"/>
  <c r="AR154" i="21"/>
  <c r="AR153" i="21" s="1"/>
  <c r="AI154" i="21"/>
  <c r="AI153" i="21" s="1"/>
  <c r="Z154" i="21"/>
  <c r="Z153" i="21" s="1"/>
  <c r="BC160" i="21"/>
  <c r="AR160" i="21"/>
  <c r="AI160" i="21"/>
  <c r="Z160" i="21"/>
  <c r="AD82" i="8"/>
  <c r="AD84" i="8" s="1"/>
  <c r="BE123" i="19"/>
  <c r="BE122" i="19" s="1"/>
  <c r="BE130" i="19" s="1"/>
  <c r="AL123" i="19"/>
  <c r="AL122" i="19" s="1"/>
  <c r="AL130" i="19" s="1"/>
  <c r="AC123" i="19"/>
  <c r="AC122" i="19" s="1"/>
  <c r="AC130" i="19" s="1"/>
  <c r="AU123" i="19"/>
  <c r="AU122" i="19" s="1"/>
  <c r="AU130" i="19" s="1"/>
  <c r="AM69" i="8"/>
  <c r="AM74" i="8" s="1"/>
  <c r="S123" i="19"/>
  <c r="S122" i="19" s="1"/>
  <c r="S130" i="19" s="1"/>
  <c r="I122" i="19"/>
  <c r="AV35" i="8"/>
  <c r="AM61" i="21"/>
  <c r="T143" i="21"/>
  <c r="W143" i="21" s="1"/>
  <c r="T153" i="21"/>
  <c r="W153" i="21" s="1"/>
  <c r="T156" i="21"/>
  <c r="W156" i="21" s="1"/>
  <c r="AM82" i="8"/>
  <c r="AM85" i="8" s="1"/>
  <c r="AM88" i="8" s="1"/>
  <c r="AM89" i="8" s="1"/>
  <c r="BF82" i="8"/>
  <c r="BF85" i="8" s="1"/>
  <c r="BF87" i="8" s="1"/>
  <c r="BF38" i="8"/>
  <c r="BF69" i="8"/>
  <c r="T36" i="8"/>
  <c r="J12" i="8"/>
  <c r="J62" i="8"/>
  <c r="T82" i="8"/>
  <c r="AV62" i="8"/>
  <c r="T69" i="8"/>
  <c r="J28" i="8"/>
  <c r="J35" i="8"/>
  <c r="AD85" i="8"/>
  <c r="H109" i="21"/>
  <c r="F109" i="21"/>
  <c r="H107" i="21"/>
  <c r="F107" i="21"/>
  <c r="H98" i="21"/>
  <c r="H101" i="21"/>
  <c r="H102" i="21"/>
  <c r="H96" i="21"/>
  <c r="F98" i="21"/>
  <c r="F101" i="21"/>
  <c r="F102" i="21"/>
  <c r="F96" i="21"/>
  <c r="BE166" i="21" l="1"/>
  <c r="AI166" i="21"/>
  <c r="Z174" i="21"/>
  <c r="BC166" i="21"/>
  <c r="AI174" i="21"/>
  <c r="AT166" i="21"/>
  <c r="AK174" i="21"/>
  <c r="AK166" i="21"/>
  <c r="AB174" i="21"/>
  <c r="BE174" i="21"/>
  <c r="AR174" i="21"/>
  <c r="BC174" i="21"/>
  <c r="AB166" i="21"/>
  <c r="AR166" i="21"/>
  <c r="Z166" i="21"/>
  <c r="AR148" i="21"/>
  <c r="AB156" i="21"/>
  <c r="AB162" i="21" s="1"/>
  <c r="BC107" i="21"/>
  <c r="AR107" i="21"/>
  <c r="AI107" i="21"/>
  <c r="Z107" i="21"/>
  <c r="AK148" i="21"/>
  <c r="Z148" i="21"/>
  <c r="BE156" i="21"/>
  <c r="BE162" i="21" s="1"/>
  <c r="AT135" i="21"/>
  <c r="AT146" i="21" s="1"/>
  <c r="BC156" i="21"/>
  <c r="BC162" i="21" s="1"/>
  <c r="BE107" i="21"/>
  <c r="AT107" i="21"/>
  <c r="AK107" i="21"/>
  <c r="AB107" i="21"/>
  <c r="BC109" i="21"/>
  <c r="AR109" i="21"/>
  <c r="AI109" i="21"/>
  <c r="Z109" i="21"/>
  <c r="BE109" i="21"/>
  <c r="AT109" i="21"/>
  <c r="AK109" i="21"/>
  <c r="AB109" i="21"/>
  <c r="Z135" i="21"/>
  <c r="Z146" i="21" s="1"/>
  <c r="Z156" i="21"/>
  <c r="Z162" i="21" s="1"/>
  <c r="AB148" i="21"/>
  <c r="AI148" i="21"/>
  <c r="AK156" i="21"/>
  <c r="AK162" i="21" s="1"/>
  <c r="AB135" i="21"/>
  <c r="AB146" i="21" s="1"/>
  <c r="BC135" i="21"/>
  <c r="BC146" i="21" s="1"/>
  <c r="BE148" i="21"/>
  <c r="BC148" i="21"/>
  <c r="AT156" i="21"/>
  <c r="AT162" i="21" s="1"/>
  <c r="AK135" i="21"/>
  <c r="AK146" i="21" s="1"/>
  <c r="AR135" i="21"/>
  <c r="AR146" i="21" s="1"/>
  <c r="AI156" i="21"/>
  <c r="AI162" i="21" s="1"/>
  <c r="AI135" i="21"/>
  <c r="AI146" i="21" s="1"/>
  <c r="AT148" i="21"/>
  <c r="BE135" i="21"/>
  <c r="BE146" i="21" s="1"/>
  <c r="AR156" i="21"/>
  <c r="AR162" i="21" s="1"/>
  <c r="J19" i="19"/>
  <c r="T84" i="8"/>
  <c r="AM84" i="8"/>
  <c r="AM87" i="8"/>
  <c r="AM91" i="8"/>
  <c r="AM90" i="8"/>
  <c r="F108" i="21"/>
  <c r="H108" i="21"/>
  <c r="T162" i="21"/>
  <c r="W162" i="21" s="1"/>
  <c r="T125" i="21"/>
  <c r="W125" i="21" s="1"/>
  <c r="BG22" i="21"/>
  <c r="BG37" i="21"/>
  <c r="BG25" i="21"/>
  <c r="BG28" i="21"/>
  <c r="AD90" i="21"/>
  <c r="AD116" i="21" s="1"/>
  <c r="T6" i="21"/>
  <c r="T12" i="21"/>
  <c r="BG6" i="21"/>
  <c r="BG12" i="21"/>
  <c r="T135" i="21"/>
  <c r="W135" i="21" s="1"/>
  <c r="R114" i="21"/>
  <c r="AD91" i="21"/>
  <c r="AD117" i="21" s="1"/>
  <c r="BF84" i="8"/>
  <c r="BF88" i="8"/>
  <c r="BF89" i="8" s="1"/>
  <c r="AV82" i="8"/>
  <c r="T74" i="8"/>
  <c r="T85" i="8"/>
  <c r="T92" i="8" s="1"/>
  <c r="T37" i="8"/>
  <c r="AV69" i="8"/>
  <c r="J82" i="8"/>
  <c r="J36" i="8"/>
  <c r="J69" i="8"/>
  <c r="AD88" i="8"/>
  <c r="AD87" i="8"/>
  <c r="BC108" i="21" l="1"/>
  <c r="AR108" i="21"/>
  <c r="AI108" i="21"/>
  <c r="Z108" i="21"/>
  <c r="BE108" i="21"/>
  <c r="AT108" i="21"/>
  <c r="AK108" i="21"/>
  <c r="AB108" i="21"/>
  <c r="T88" i="8"/>
  <c r="AV84" i="8"/>
  <c r="T8" i="21"/>
  <c r="T25" i="21"/>
  <c r="T28" i="21"/>
  <c r="T146" i="21"/>
  <c r="W146" i="21" s="1"/>
  <c r="T22" i="21"/>
  <c r="AV74" i="8"/>
  <c r="AV85" i="8"/>
  <c r="T87" i="8"/>
  <c r="J37" i="8"/>
  <c r="J74" i="8"/>
  <c r="J85" i="8"/>
  <c r="J84" i="8"/>
  <c r="AD89" i="8"/>
  <c r="AD91" i="8"/>
  <c r="AD117" i="8" s="1"/>
  <c r="AD90" i="8"/>
  <c r="AD116" i="8" s="1"/>
  <c r="T89" i="8" l="1"/>
  <c r="T91" i="8"/>
  <c r="T117" i="8" s="1"/>
  <c r="T37" i="21"/>
  <c r="AV88" i="8"/>
  <c r="AV87" i="8"/>
  <c r="J88" i="8"/>
  <c r="J87" i="8"/>
  <c r="AV89" i="8" l="1"/>
  <c r="AV90" i="8"/>
  <c r="AV91" i="8"/>
  <c r="J91" i="8"/>
  <c r="J117" i="8" s="1"/>
  <c r="J90" i="8"/>
  <c r="J116" i="8" s="1"/>
  <c r="J89" i="8"/>
  <c r="J95" i="8"/>
  <c r="J104" i="8" s="1"/>
  <c r="J103" i="8" l="1"/>
  <c r="Q191" i="21"/>
  <c r="O191" i="21"/>
  <c r="Q187" i="21"/>
  <c r="O187" i="21"/>
  <c r="Q184" i="21"/>
  <c r="O184" i="21"/>
  <c r="Q183" i="21"/>
  <c r="O183" i="21"/>
  <c r="Q179" i="21"/>
  <c r="P179" i="21"/>
  <c r="O179" i="21"/>
  <c r="Q178" i="21"/>
  <c r="O178" i="21"/>
  <c r="R177" i="21"/>
  <c r="Q176" i="21"/>
  <c r="O176" i="21"/>
  <c r="Q175" i="21"/>
  <c r="O175" i="21"/>
  <c r="G174" i="21"/>
  <c r="E174" i="21"/>
  <c r="Q168" i="21"/>
  <c r="O168" i="21"/>
  <c r="Q167" i="21"/>
  <c r="P167" i="21"/>
  <c r="O167" i="21"/>
  <c r="G166" i="21"/>
  <c r="E166" i="21"/>
  <c r="Q160" i="21"/>
  <c r="P160" i="21"/>
  <c r="O160" i="21"/>
  <c r="Q159" i="21"/>
  <c r="O159" i="21"/>
  <c r="Q158" i="21"/>
  <c r="O158" i="21"/>
  <c r="R158" i="21"/>
  <c r="Q157" i="21"/>
  <c r="O157" i="21"/>
  <c r="P157" i="21"/>
  <c r="G156" i="21"/>
  <c r="E156" i="21"/>
  <c r="R154" i="21"/>
  <c r="R153" i="21" s="1"/>
  <c r="Q154" i="21"/>
  <c r="Q153" i="21" s="1"/>
  <c r="P154" i="21"/>
  <c r="P153" i="21" s="1"/>
  <c r="O154" i="21"/>
  <c r="O153" i="21" s="1"/>
  <c r="H153" i="21"/>
  <c r="G153" i="21"/>
  <c r="E153" i="21"/>
  <c r="Q150" i="21"/>
  <c r="O150" i="21"/>
  <c r="Q149" i="21"/>
  <c r="O149" i="21"/>
  <c r="G148" i="21"/>
  <c r="E148" i="21"/>
  <c r="R144" i="21"/>
  <c r="R143" i="21" s="1"/>
  <c r="Q144" i="21"/>
  <c r="Q143" i="21" s="1"/>
  <c r="O144" i="21"/>
  <c r="O143" i="21" s="1"/>
  <c r="H143" i="21"/>
  <c r="G143" i="21"/>
  <c r="E143" i="21"/>
  <c r="Q141" i="21"/>
  <c r="P141" i="21"/>
  <c r="O141" i="21"/>
  <c r="R140" i="21"/>
  <c r="Q140" i="21"/>
  <c r="O140" i="21"/>
  <c r="Q139" i="21"/>
  <c r="O139" i="21"/>
  <c r="Q138" i="21"/>
  <c r="O138" i="21"/>
  <c r="Q137" i="21"/>
  <c r="O137" i="21"/>
  <c r="R137" i="21"/>
  <c r="Q136" i="21"/>
  <c r="O136" i="21"/>
  <c r="R136" i="21"/>
  <c r="G135" i="21"/>
  <c r="E135" i="21"/>
  <c r="Q128" i="21"/>
  <c r="O128" i="21"/>
  <c r="Q127" i="21"/>
  <c r="P127" i="21"/>
  <c r="O127" i="21"/>
  <c r="Q126" i="21"/>
  <c r="O126" i="21"/>
  <c r="G125" i="21"/>
  <c r="E125" i="21"/>
  <c r="O123" i="21"/>
  <c r="O122" i="21" s="1"/>
  <c r="E122" i="21"/>
  <c r="Q117" i="21"/>
  <c r="O117" i="21"/>
  <c r="Q116" i="21"/>
  <c r="O116" i="21"/>
  <c r="Q114" i="21"/>
  <c r="O114" i="21"/>
  <c r="Q112" i="21"/>
  <c r="O112" i="21"/>
  <c r="Q109" i="21"/>
  <c r="O109" i="21"/>
  <c r="R107" i="21"/>
  <c r="Q107" i="21"/>
  <c r="P107" i="21"/>
  <c r="O107" i="21"/>
  <c r="G95" i="21"/>
  <c r="G103" i="21" s="1"/>
  <c r="E95" i="21"/>
  <c r="E103" i="21" s="1"/>
  <c r="AH2" i="21"/>
  <c r="Y2" i="21"/>
  <c r="Q148" i="21" l="1"/>
  <c r="O166" i="21"/>
  <c r="O174" i="21"/>
  <c r="Q174" i="21"/>
  <c r="Q166" i="21"/>
  <c r="O148" i="21"/>
  <c r="E130" i="21"/>
  <c r="T91" i="21"/>
  <c r="T117" i="21" s="1"/>
  <c r="O156" i="21"/>
  <c r="O162" i="21" s="1"/>
  <c r="G146" i="21"/>
  <c r="G162" i="21"/>
  <c r="E146" i="21"/>
  <c r="E162" i="21"/>
  <c r="O113" i="21"/>
  <c r="Q156" i="21"/>
  <c r="Q162" i="21" s="1"/>
  <c r="P175" i="21"/>
  <c r="F148" i="21"/>
  <c r="P149" i="21"/>
  <c r="P159" i="21"/>
  <c r="P184" i="21"/>
  <c r="P136" i="21"/>
  <c r="R139" i="21"/>
  <c r="H135" i="21"/>
  <c r="P168" i="21"/>
  <c r="P166" i="21" s="1"/>
  <c r="Q108" i="21"/>
  <c r="P112" i="21"/>
  <c r="F156" i="21"/>
  <c r="R112" i="21"/>
  <c r="Q125" i="21"/>
  <c r="H166" i="21"/>
  <c r="R168" i="21"/>
  <c r="O125" i="21"/>
  <c r="O130" i="21" s="1"/>
  <c r="P128" i="21"/>
  <c r="P150" i="21"/>
  <c r="R176" i="21"/>
  <c r="R160" i="21"/>
  <c r="P178" i="21"/>
  <c r="Q135" i="21"/>
  <c r="Q146" i="21" s="1"/>
  <c r="R138" i="21"/>
  <c r="R179" i="21"/>
  <c r="H174" i="21"/>
  <c r="P126" i="21"/>
  <c r="F125" i="21"/>
  <c r="O108" i="21"/>
  <c r="R109" i="21"/>
  <c r="Q113" i="21"/>
  <c r="P137" i="21"/>
  <c r="F135" i="21"/>
  <c r="P139" i="21"/>
  <c r="R126" i="21"/>
  <c r="F174" i="21"/>
  <c r="P176" i="21"/>
  <c r="H156" i="21"/>
  <c r="R157" i="21"/>
  <c r="R141" i="21"/>
  <c r="P109" i="21"/>
  <c r="P113" i="21"/>
  <c r="R127" i="21"/>
  <c r="O135" i="21"/>
  <c r="O146" i="21" s="1"/>
  <c r="P144" i="21"/>
  <c r="P143" i="21" s="1"/>
  <c r="F143" i="21"/>
  <c r="H125" i="21"/>
  <c r="R128" i="21"/>
  <c r="R113" i="21"/>
  <c r="P114" i="21"/>
  <c r="P138" i="21"/>
  <c r="R159" i="21"/>
  <c r="P140" i="21"/>
  <c r="H148" i="21"/>
  <c r="R149" i="21"/>
  <c r="F153" i="21"/>
  <c r="R150" i="21"/>
  <c r="P158" i="21"/>
  <c r="R175" i="21"/>
  <c r="R184" i="21"/>
  <c r="R167" i="21"/>
  <c r="R178" i="21"/>
  <c r="P183" i="21"/>
  <c r="R183" i="21"/>
  <c r="F166" i="21"/>
  <c r="F172" i="21" s="1"/>
  <c r="P174" i="21" l="1"/>
  <c r="P148" i="21"/>
  <c r="H146" i="21"/>
  <c r="R148" i="21"/>
  <c r="R166" i="21"/>
  <c r="H162" i="21"/>
  <c r="R174" i="21"/>
  <c r="T90" i="21"/>
  <c r="T116" i="21" s="1"/>
  <c r="H172" i="21"/>
  <c r="H171" i="21"/>
  <c r="F162" i="21"/>
  <c r="P125" i="21"/>
  <c r="P108" i="21"/>
  <c r="R125" i="21"/>
  <c r="R108" i="21"/>
  <c r="P156" i="21"/>
  <c r="P162" i="21" s="1"/>
  <c r="F146" i="21"/>
  <c r="P135" i="21"/>
  <c r="F171" i="21"/>
  <c r="R156" i="21"/>
  <c r="R135" i="21"/>
  <c r="R162" i="21" l="1"/>
  <c r="R146" i="21"/>
  <c r="P146" i="21"/>
  <c r="AG153" i="14" l="1"/>
  <c r="AG143" i="14"/>
  <c r="AC143" i="14"/>
  <c r="AC153" i="14"/>
  <c r="I123" i="14"/>
  <c r="I135" i="14"/>
  <c r="I143" i="14"/>
  <c r="I148" i="14"/>
  <c r="I153" i="14"/>
  <c r="I156" i="14"/>
  <c r="I166" i="14"/>
  <c r="I174" i="14"/>
  <c r="M174" i="14"/>
  <c r="M166" i="14"/>
  <c r="M156" i="14"/>
  <c r="M153" i="14"/>
  <c r="M148" i="14"/>
  <c r="M143" i="14"/>
  <c r="M135" i="14"/>
  <c r="M125" i="14"/>
  <c r="H102" i="19"/>
  <c r="H101" i="19"/>
  <c r="F102" i="19"/>
  <c r="F101" i="19"/>
  <c r="F98" i="19"/>
  <c r="CI123" i="14" l="1"/>
  <c r="CI122" i="14" s="1"/>
  <c r="CI130" i="14" s="1"/>
  <c r="DC123" i="14"/>
  <c r="DC122" i="14" s="1"/>
  <c r="DC130" i="14" s="1"/>
  <c r="BP123" i="14"/>
  <c r="BP122" i="14" s="1"/>
  <c r="BP130" i="14" s="1"/>
  <c r="AW123" i="14"/>
  <c r="AW122" i="14" s="1"/>
  <c r="AW130" i="14" s="1"/>
  <c r="F123" i="21"/>
  <c r="M123" i="14"/>
  <c r="M172" i="14"/>
  <c r="I122" i="14"/>
  <c r="AC123" i="14"/>
  <c r="AG125" i="14"/>
  <c r="AC156" i="14"/>
  <c r="AC162" i="14" s="1"/>
  <c r="AG135" i="14"/>
  <c r="AG156" i="14"/>
  <c r="AC135" i="14"/>
  <c r="AC125" i="14"/>
  <c r="I146" i="14"/>
  <c r="M162" i="14"/>
  <c r="I162" i="14"/>
  <c r="I172" i="14"/>
  <c r="I171" i="14"/>
  <c r="M171" i="14"/>
  <c r="M146" i="14"/>
  <c r="H114" i="19"/>
  <c r="H112" i="19"/>
  <c r="F114" i="19"/>
  <c r="F112" i="19"/>
  <c r="CM123" i="14" l="1"/>
  <c r="CM122" i="14" s="1"/>
  <c r="CM130" i="14" s="1"/>
  <c r="DG123" i="14"/>
  <c r="DG122" i="14" s="1"/>
  <c r="DG130" i="14" s="1"/>
  <c r="BT123" i="14"/>
  <c r="BT122" i="14" s="1"/>
  <c r="BT130" i="14" s="1"/>
  <c r="BA123" i="14"/>
  <c r="BA122" i="14" s="1"/>
  <c r="BA130" i="14" s="1"/>
  <c r="BC123" i="21"/>
  <c r="BC122" i="21" s="1"/>
  <c r="BC130" i="21" s="1"/>
  <c r="AR123" i="21"/>
  <c r="AR122" i="21" s="1"/>
  <c r="AR130" i="21" s="1"/>
  <c r="Z123" i="21"/>
  <c r="Z122" i="21" s="1"/>
  <c r="Z130" i="21" s="1"/>
  <c r="AI123" i="21"/>
  <c r="AI122" i="21" s="1"/>
  <c r="AI130" i="21" s="1"/>
  <c r="BB112" i="19"/>
  <c r="Z112" i="19"/>
  <c r="AR112" i="19"/>
  <c r="AI112" i="19"/>
  <c r="BB114" i="19"/>
  <c r="Z114" i="19"/>
  <c r="AR114" i="19"/>
  <c r="AI114" i="19"/>
  <c r="BD114" i="19"/>
  <c r="AT114" i="19"/>
  <c r="AK114" i="19"/>
  <c r="AB114" i="19"/>
  <c r="BD112" i="19"/>
  <c r="AT112" i="19"/>
  <c r="AK112" i="19"/>
  <c r="AB112" i="19"/>
  <c r="AG123" i="14"/>
  <c r="M122" i="14"/>
  <c r="AG162" i="14"/>
  <c r="AG146" i="14"/>
  <c r="H123" i="21"/>
  <c r="P123" i="21"/>
  <c r="P122" i="21" s="1"/>
  <c r="P130" i="21" s="1"/>
  <c r="F122" i="21"/>
  <c r="F130" i="21" s="1"/>
  <c r="F131" i="21" s="1"/>
  <c r="H113" i="19"/>
  <c r="AD91" i="19"/>
  <c r="AD117" i="19" s="1"/>
  <c r="AC146" i="14"/>
  <c r="BE123" i="21" l="1"/>
  <c r="BE122" i="21" s="1"/>
  <c r="BE130" i="21" s="1"/>
  <c r="AT123" i="21"/>
  <c r="AT122" i="21" s="1"/>
  <c r="AT130" i="21" s="1"/>
  <c r="AK123" i="21"/>
  <c r="AK122" i="21" s="1"/>
  <c r="AK130" i="21" s="1"/>
  <c r="AB123" i="21"/>
  <c r="AB122" i="21" s="1"/>
  <c r="AB130" i="21" s="1"/>
  <c r="BD113" i="19"/>
  <c r="AT113" i="19"/>
  <c r="AK113" i="19"/>
  <c r="AB113" i="19"/>
  <c r="H184" i="19" l="1"/>
  <c r="H183" i="19"/>
  <c r="F184" i="19"/>
  <c r="F183" i="19"/>
  <c r="F178" i="19"/>
  <c r="F179" i="19"/>
  <c r="H178" i="19"/>
  <c r="H179" i="19"/>
  <c r="H176" i="19"/>
  <c r="H175" i="19"/>
  <c r="F176" i="19"/>
  <c r="F175" i="19"/>
  <c r="H168" i="19"/>
  <c r="H167" i="19"/>
  <c r="F168" i="19"/>
  <c r="F167" i="19"/>
  <c r="H160" i="19"/>
  <c r="H159" i="19"/>
  <c r="H158" i="19"/>
  <c r="H157" i="19"/>
  <c r="F160" i="19"/>
  <c r="F159" i="19"/>
  <c r="F158" i="19"/>
  <c r="F157" i="19"/>
  <c r="H154" i="19"/>
  <c r="F154" i="19"/>
  <c r="H150" i="19"/>
  <c r="H149" i="19"/>
  <c r="F150" i="19"/>
  <c r="F149" i="19"/>
  <c r="H144" i="19"/>
  <c r="F144" i="19"/>
  <c r="F137" i="19"/>
  <c r="F138" i="19"/>
  <c r="F139" i="19"/>
  <c r="F140" i="19"/>
  <c r="F141" i="19"/>
  <c r="H137" i="19"/>
  <c r="H138" i="19"/>
  <c r="H139" i="19"/>
  <c r="H140" i="19"/>
  <c r="H141" i="19"/>
  <c r="H136" i="19"/>
  <c r="F136" i="19"/>
  <c r="H128" i="19"/>
  <c r="H127" i="19"/>
  <c r="H126" i="19"/>
  <c r="F130" i="19"/>
  <c r="F131" i="19" s="1"/>
  <c r="F128" i="19"/>
  <c r="F127" i="19"/>
  <c r="F126" i="19"/>
  <c r="H109" i="19"/>
  <c r="H107" i="19"/>
  <c r="F109" i="19"/>
  <c r="F107" i="19"/>
  <c r="BB109" i="19" l="1"/>
  <c r="Z109" i="19"/>
  <c r="AR109" i="19"/>
  <c r="AI109" i="19"/>
  <c r="BD127" i="19"/>
  <c r="AB127" i="19"/>
  <c r="AT127" i="19"/>
  <c r="AK127" i="19"/>
  <c r="BD138" i="19"/>
  <c r="AT138" i="19"/>
  <c r="AB138" i="19"/>
  <c r="AK138" i="19"/>
  <c r="BB144" i="19"/>
  <c r="BB143" i="19" s="1"/>
  <c r="AR144" i="19"/>
  <c r="AR143" i="19" s="1"/>
  <c r="AI144" i="19"/>
  <c r="AI143" i="19" s="1"/>
  <c r="Z144" i="19"/>
  <c r="Z143" i="19" s="1"/>
  <c r="AR157" i="19"/>
  <c r="BB157" i="19"/>
  <c r="AI157" i="19"/>
  <c r="Z157" i="19"/>
  <c r="BB167" i="19"/>
  <c r="AR167" i="19"/>
  <c r="Z167" i="19"/>
  <c r="AI167" i="19"/>
  <c r="AT183" i="19"/>
  <c r="AB183" i="19"/>
  <c r="BD183" i="19"/>
  <c r="AK183" i="19"/>
  <c r="BB137" i="19"/>
  <c r="AR137" i="19"/>
  <c r="Z137" i="19"/>
  <c r="AI137" i="19"/>
  <c r="AB137" i="19"/>
  <c r="AK137" i="19"/>
  <c r="AT137" i="19"/>
  <c r="BD137" i="19"/>
  <c r="BD144" i="19"/>
  <c r="BD143" i="19" s="1"/>
  <c r="AT144" i="19"/>
  <c r="AT143" i="19" s="1"/>
  <c r="AK144" i="19"/>
  <c r="AK143" i="19" s="1"/>
  <c r="AB144" i="19"/>
  <c r="AB143" i="19" s="1"/>
  <c r="BB158" i="19"/>
  <c r="AR158" i="19"/>
  <c r="Z158" i="19"/>
  <c r="AI158" i="19"/>
  <c r="BB168" i="19"/>
  <c r="AR168" i="19"/>
  <c r="AI168" i="19"/>
  <c r="Z168" i="19"/>
  <c r="BD184" i="19"/>
  <c r="AT184" i="19"/>
  <c r="AK184" i="19"/>
  <c r="AB184" i="19"/>
  <c r="BB107" i="19"/>
  <c r="Z107" i="19"/>
  <c r="AR107" i="19"/>
  <c r="AI107" i="19"/>
  <c r="BB184" i="19"/>
  <c r="AR184" i="19"/>
  <c r="AI184" i="19"/>
  <c r="Z184" i="19"/>
  <c r="AR149" i="19"/>
  <c r="BB149" i="19"/>
  <c r="AI149" i="19"/>
  <c r="Z149" i="19"/>
  <c r="BB159" i="19"/>
  <c r="AR159" i="19"/>
  <c r="AI159" i="19"/>
  <c r="Z159" i="19"/>
  <c r="AT167" i="19"/>
  <c r="AB167" i="19"/>
  <c r="BD167" i="19"/>
  <c r="AK167" i="19"/>
  <c r="AT179" i="19"/>
  <c r="BD179" i="19"/>
  <c r="AK179" i="19"/>
  <c r="AB179" i="19"/>
  <c r="BD126" i="19"/>
  <c r="AB126" i="19"/>
  <c r="AT126" i="19"/>
  <c r="AK126" i="19"/>
  <c r="BD154" i="19"/>
  <c r="BD153" i="19" s="1"/>
  <c r="AT154" i="19"/>
  <c r="AT153" i="19" s="1"/>
  <c r="AK154" i="19"/>
  <c r="AK153" i="19" s="1"/>
  <c r="AB154" i="19"/>
  <c r="AB153" i="19" s="1"/>
  <c r="BD107" i="19"/>
  <c r="AT107" i="19"/>
  <c r="AK107" i="19"/>
  <c r="AB107" i="19"/>
  <c r="BD136" i="19"/>
  <c r="AT136" i="19"/>
  <c r="AK136" i="19"/>
  <c r="AB136" i="19"/>
  <c r="BB141" i="19"/>
  <c r="AR141" i="19"/>
  <c r="Z141" i="19"/>
  <c r="AI141" i="19"/>
  <c r="BB150" i="19"/>
  <c r="AR150" i="19"/>
  <c r="AI150" i="19"/>
  <c r="Z150" i="19"/>
  <c r="AR160" i="19"/>
  <c r="BB160" i="19"/>
  <c r="AI160" i="19"/>
  <c r="Z160" i="19"/>
  <c r="BD168" i="19"/>
  <c r="AT168" i="19"/>
  <c r="AB168" i="19"/>
  <c r="AK168" i="19"/>
  <c r="BD178" i="19"/>
  <c r="AK178" i="19"/>
  <c r="AB178" i="19"/>
  <c r="AT178" i="19"/>
  <c r="AT176" i="19"/>
  <c r="AB176" i="19"/>
  <c r="AK176" i="19"/>
  <c r="BD176" i="19"/>
  <c r="BD109" i="19"/>
  <c r="AT109" i="19"/>
  <c r="AK109" i="19"/>
  <c r="AB109" i="19"/>
  <c r="BB126" i="19"/>
  <c r="Z126" i="19"/>
  <c r="AR126" i="19"/>
  <c r="AI126" i="19"/>
  <c r="BB127" i="19"/>
  <c r="Z127" i="19"/>
  <c r="AR127" i="19"/>
  <c r="AI127" i="19"/>
  <c r="BB140" i="19"/>
  <c r="Z140" i="19"/>
  <c r="AI140" i="19"/>
  <c r="AR140" i="19"/>
  <c r="BD157" i="19"/>
  <c r="AT157" i="19"/>
  <c r="AK157" i="19"/>
  <c r="AB157" i="19"/>
  <c r="AR179" i="19"/>
  <c r="BB179" i="19"/>
  <c r="Z179" i="19"/>
  <c r="AI179" i="19"/>
  <c r="BB128" i="19"/>
  <c r="Z128" i="19"/>
  <c r="AR128" i="19"/>
  <c r="AI128" i="19"/>
  <c r="AB141" i="19"/>
  <c r="AK141" i="19"/>
  <c r="BD141" i="19"/>
  <c r="AT141" i="19"/>
  <c r="BB139" i="19"/>
  <c r="AR139" i="19"/>
  <c r="AI139" i="19"/>
  <c r="Z139" i="19"/>
  <c r="AT150" i="19"/>
  <c r="BD150" i="19"/>
  <c r="AK150" i="19"/>
  <c r="AB150" i="19"/>
  <c r="AT158" i="19"/>
  <c r="BD158" i="19"/>
  <c r="AK158" i="19"/>
  <c r="AB158" i="19"/>
  <c r="BB176" i="19"/>
  <c r="AR176" i="19"/>
  <c r="AI176" i="19"/>
  <c r="Z176" i="19"/>
  <c r="AR178" i="19"/>
  <c r="BB178" i="19"/>
  <c r="AI178" i="19"/>
  <c r="Z178" i="19"/>
  <c r="BD139" i="19"/>
  <c r="AB139" i="19"/>
  <c r="AT139" i="19"/>
  <c r="AK139" i="19"/>
  <c r="BD160" i="19"/>
  <c r="AT160" i="19"/>
  <c r="AK160" i="19"/>
  <c r="AB160" i="19"/>
  <c r="BD128" i="19"/>
  <c r="AB128" i="19"/>
  <c r="AT128" i="19"/>
  <c r="AK128" i="19"/>
  <c r="Z136" i="19"/>
  <c r="AI136" i="19"/>
  <c r="BB136" i="19"/>
  <c r="AR136" i="19"/>
  <c r="BD149" i="19"/>
  <c r="AT149" i="19"/>
  <c r="AK149" i="19"/>
  <c r="AB149" i="19"/>
  <c r="AR175" i="19"/>
  <c r="Z175" i="19"/>
  <c r="BB175" i="19"/>
  <c r="AI175" i="19"/>
  <c r="BD140" i="19"/>
  <c r="AT140" i="19"/>
  <c r="AK140" i="19"/>
  <c r="AB140" i="19"/>
  <c r="BB138" i="19"/>
  <c r="AR138" i="19"/>
  <c r="Z138" i="19"/>
  <c r="AI138" i="19"/>
  <c r="AR154" i="19"/>
  <c r="AR153" i="19" s="1"/>
  <c r="BB154" i="19"/>
  <c r="BB153" i="19" s="1"/>
  <c r="AI154" i="19"/>
  <c r="AI153" i="19" s="1"/>
  <c r="Z154" i="19"/>
  <c r="Z153" i="19" s="1"/>
  <c r="BD159" i="19"/>
  <c r="AT159" i="19"/>
  <c r="AB159" i="19"/>
  <c r="AK159" i="19"/>
  <c r="AT175" i="19"/>
  <c r="BD175" i="19"/>
  <c r="AK175" i="19"/>
  <c r="AB175" i="19"/>
  <c r="BB183" i="19"/>
  <c r="AR183" i="19"/>
  <c r="AI183" i="19"/>
  <c r="Z183" i="19"/>
  <c r="H108" i="19"/>
  <c r="R109" i="19"/>
  <c r="P109" i="19"/>
  <c r="T153" i="19"/>
  <c r="W153" i="19" s="1"/>
  <c r="T143" i="19"/>
  <c r="W143" i="19" s="1"/>
  <c r="AM61" i="19"/>
  <c r="AD90" i="19"/>
  <c r="AD116" i="19" s="1"/>
  <c r="AF188" i="14"/>
  <c r="AG192" i="14"/>
  <c r="AF192" i="14"/>
  <c r="AG188" i="14"/>
  <c r="AC188" i="14"/>
  <c r="AB188" i="14"/>
  <c r="AC192" i="14"/>
  <c r="AB192" i="14"/>
  <c r="F108" i="19"/>
  <c r="F113" i="19"/>
  <c r="H98" i="19"/>
  <c r="H96" i="19"/>
  <c r="F96" i="19"/>
  <c r="AF153" i="14"/>
  <c r="AB153" i="14"/>
  <c r="AF143" i="14"/>
  <c r="AB143" i="14"/>
  <c r="AF107" i="14"/>
  <c r="AB107" i="14"/>
  <c r="BD148" i="19" l="1"/>
  <c r="AT148" i="19"/>
  <c r="AK156" i="19"/>
  <c r="AK162" i="19" s="1"/>
  <c r="BB156" i="19"/>
  <c r="BB162" i="19" s="1"/>
  <c r="AB148" i="19"/>
  <c r="BD156" i="19"/>
  <c r="BD162" i="19" s="1"/>
  <c r="AI148" i="19"/>
  <c r="Z148" i="19"/>
  <c r="BB113" i="19"/>
  <c r="Z113" i="19"/>
  <c r="AR113" i="19"/>
  <c r="AI113" i="19"/>
  <c r="AR135" i="19"/>
  <c r="AR146" i="19" s="1"/>
  <c r="AK148" i="19"/>
  <c r="AI125" i="19"/>
  <c r="AK135" i="19"/>
  <c r="AK146" i="19" s="1"/>
  <c r="BB148" i="19"/>
  <c r="AR156" i="19"/>
  <c r="AR162" i="19" s="1"/>
  <c r="AI156" i="19"/>
  <c r="AI162" i="19" s="1"/>
  <c r="BB135" i="19"/>
  <c r="BB146" i="19" s="1"/>
  <c r="AR125" i="19"/>
  <c r="AT135" i="19"/>
  <c r="AT146" i="19" s="1"/>
  <c r="AT156" i="19"/>
  <c r="AT162" i="19" s="1"/>
  <c r="BD125" i="19"/>
  <c r="BD108" i="19"/>
  <c r="AT108" i="19"/>
  <c r="AK108" i="19"/>
  <c r="AB108" i="19"/>
  <c r="AI135" i="19"/>
  <c r="AI146" i="19" s="1"/>
  <c r="Z125" i="19"/>
  <c r="BD135" i="19"/>
  <c r="BD146" i="19" s="1"/>
  <c r="AK125" i="19"/>
  <c r="AR148" i="19"/>
  <c r="AB135" i="19"/>
  <c r="AB146" i="19" s="1"/>
  <c r="BB108" i="19"/>
  <c r="Z108" i="19"/>
  <c r="AR108" i="19"/>
  <c r="AI108" i="19"/>
  <c r="Z135" i="19"/>
  <c r="Z146" i="19" s="1"/>
  <c r="BB125" i="19"/>
  <c r="AT125" i="19"/>
  <c r="AB156" i="19"/>
  <c r="AB162" i="19" s="1"/>
  <c r="AB125" i="19"/>
  <c r="Z156" i="19"/>
  <c r="Z162" i="19" s="1"/>
  <c r="P108" i="19"/>
  <c r="R108" i="19"/>
  <c r="T90" i="19"/>
  <c r="T116" i="19" s="1"/>
  <c r="T6" i="19"/>
  <c r="T12" i="19"/>
  <c r="T91" i="19"/>
  <c r="T117" i="19" s="1"/>
  <c r="T135" i="19"/>
  <c r="W135" i="19" s="1"/>
  <c r="BF6" i="19"/>
  <c r="BF12" i="19"/>
  <c r="T156" i="19"/>
  <c r="W156" i="19" s="1"/>
  <c r="BF22" i="19"/>
  <c r="BF37" i="19"/>
  <c r="BF25" i="19"/>
  <c r="BF28" i="19"/>
  <c r="AB125" i="14"/>
  <c r="AF135" i="14"/>
  <c r="AF146" i="14" s="1"/>
  <c r="AB156" i="14"/>
  <c r="AB162" i="14" s="1"/>
  <c r="AF125" i="14"/>
  <c r="AB135" i="14"/>
  <c r="AB146" i="14" s="1"/>
  <c r="AF156" i="14"/>
  <c r="AF162" i="14" s="1"/>
  <c r="T162" i="19" l="1"/>
  <c r="W162" i="19" s="1"/>
  <c r="T8" i="19"/>
  <c r="T146" i="19"/>
  <c r="W146" i="19" s="1"/>
  <c r="T22" i="19"/>
  <c r="T25" i="19"/>
  <c r="T28" i="19"/>
  <c r="H148" i="14"/>
  <c r="L148" i="14"/>
  <c r="H135" i="14"/>
  <c r="L135" i="14"/>
  <c r="H143" i="14"/>
  <c r="L143" i="14"/>
  <c r="T37" i="19" l="1"/>
  <c r="H146" i="14"/>
  <c r="L146" i="14"/>
  <c r="L125" i="14" l="1"/>
  <c r="H125" i="14"/>
  <c r="L123" i="14" l="1"/>
  <c r="AH122" i="14"/>
  <c r="AG122" i="14"/>
  <c r="H123" i="14"/>
  <c r="L153" i="14"/>
  <c r="H153" i="14"/>
  <c r="H156" i="14"/>
  <c r="L156" i="14"/>
  <c r="DB123" i="14" l="1"/>
  <c r="DB122" i="14" s="1"/>
  <c r="DB130" i="14" s="1"/>
  <c r="CH123" i="14"/>
  <c r="CH122" i="14" s="1"/>
  <c r="CH130" i="14" s="1"/>
  <c r="AV123" i="14"/>
  <c r="AV122" i="14" s="1"/>
  <c r="AV130" i="14" s="1"/>
  <c r="BO123" i="14"/>
  <c r="BO122" i="14" s="1"/>
  <c r="BO130" i="14" s="1"/>
  <c r="CL123" i="14"/>
  <c r="CL122" i="14" s="1"/>
  <c r="CL130" i="14" s="1"/>
  <c r="DF123" i="14"/>
  <c r="DF122" i="14" s="1"/>
  <c r="DF130" i="14" s="1"/>
  <c r="BS123" i="14"/>
  <c r="BS122" i="14" s="1"/>
  <c r="BS130" i="14" s="1"/>
  <c r="AZ123" i="14"/>
  <c r="AZ122" i="14" s="1"/>
  <c r="AZ130" i="14" s="1"/>
  <c r="AG130" i="14"/>
  <c r="L122" i="14"/>
  <c r="AF123" i="14"/>
  <c r="AF122" i="14" s="1"/>
  <c r="AH130" i="14"/>
  <c r="AI19" i="14"/>
  <c r="AB123" i="14"/>
  <c r="AB122" i="14" s="1"/>
  <c r="AC122" i="14"/>
  <c r="H122" i="14"/>
  <c r="L162" i="14"/>
  <c r="H162" i="14"/>
  <c r="L174" i="14"/>
  <c r="H174" i="14"/>
  <c r="L166" i="14"/>
  <c r="H166" i="14"/>
  <c r="AI38" i="14" l="1"/>
  <c r="AC130" i="14"/>
  <c r="AF130" i="14"/>
  <c r="AB130" i="14"/>
  <c r="H130" i="19"/>
  <c r="L171" i="14"/>
  <c r="L172" i="14"/>
  <c r="H172" i="14"/>
  <c r="H171" i="14"/>
  <c r="AH2" i="19"/>
  <c r="Y2" i="19"/>
  <c r="R184" i="19"/>
  <c r="Q184" i="19"/>
  <c r="P184" i="19"/>
  <c r="O184" i="19"/>
  <c r="R183" i="19"/>
  <c r="Q183" i="19"/>
  <c r="P183" i="19"/>
  <c r="O183" i="19"/>
  <c r="R179" i="19"/>
  <c r="Q179" i="19"/>
  <c r="P179" i="19"/>
  <c r="O179" i="19"/>
  <c r="R178" i="19"/>
  <c r="Q178" i="19"/>
  <c r="P178" i="19"/>
  <c r="O178" i="19"/>
  <c r="R176" i="19"/>
  <c r="Q176" i="19"/>
  <c r="P176" i="19"/>
  <c r="O176" i="19"/>
  <c r="R175" i="19"/>
  <c r="Q175" i="19"/>
  <c r="P175" i="19"/>
  <c r="O175" i="19"/>
  <c r="H174" i="19"/>
  <c r="F174" i="19"/>
  <c r="E174" i="19"/>
  <c r="R168" i="19"/>
  <c r="Q168" i="19"/>
  <c r="P168" i="19"/>
  <c r="O168" i="19"/>
  <c r="R167" i="19"/>
  <c r="Q167" i="19"/>
  <c r="P167" i="19"/>
  <c r="O167" i="19"/>
  <c r="H166" i="19"/>
  <c r="F166" i="19"/>
  <c r="E166" i="19"/>
  <c r="R160" i="19"/>
  <c r="Q160" i="19"/>
  <c r="P160" i="19"/>
  <c r="O160" i="19"/>
  <c r="R159" i="19"/>
  <c r="Q159" i="19"/>
  <c r="P159" i="19"/>
  <c r="O159" i="19"/>
  <c r="R158" i="19"/>
  <c r="Q158" i="19"/>
  <c r="P158" i="19"/>
  <c r="O158" i="19"/>
  <c r="R157" i="19"/>
  <c r="Q157" i="19"/>
  <c r="P157" i="19"/>
  <c r="O157" i="19"/>
  <c r="H156" i="19"/>
  <c r="G156" i="19"/>
  <c r="F156" i="19"/>
  <c r="E156" i="19"/>
  <c r="R154" i="19"/>
  <c r="R153" i="19" s="1"/>
  <c r="Q154" i="19"/>
  <c r="Q153" i="19" s="1"/>
  <c r="P154" i="19"/>
  <c r="P153" i="19" s="1"/>
  <c r="O154" i="19"/>
  <c r="O153" i="19" s="1"/>
  <c r="H153" i="19"/>
  <c r="G153" i="19"/>
  <c r="F153" i="19"/>
  <c r="E153" i="19"/>
  <c r="R150" i="19"/>
  <c r="Q150" i="19"/>
  <c r="P150" i="19"/>
  <c r="O150" i="19"/>
  <c r="R149" i="19"/>
  <c r="Q149" i="19"/>
  <c r="P149" i="19"/>
  <c r="O149" i="19"/>
  <c r="H148" i="19"/>
  <c r="G148" i="19"/>
  <c r="F148" i="19"/>
  <c r="E148" i="19"/>
  <c r="R144" i="19"/>
  <c r="R143" i="19" s="1"/>
  <c r="Q144" i="19"/>
  <c r="Q143" i="19" s="1"/>
  <c r="P144" i="19"/>
  <c r="P143" i="19" s="1"/>
  <c r="O144" i="19"/>
  <c r="O143" i="19" s="1"/>
  <c r="H143" i="19"/>
  <c r="G143" i="19"/>
  <c r="F143" i="19"/>
  <c r="E143" i="19"/>
  <c r="R141" i="19"/>
  <c r="Q141" i="19"/>
  <c r="P141" i="19"/>
  <c r="O141" i="19"/>
  <c r="R140" i="19"/>
  <c r="Q140" i="19"/>
  <c r="P140" i="19"/>
  <c r="O140" i="19"/>
  <c r="R139" i="19"/>
  <c r="Q139" i="19"/>
  <c r="P139" i="19"/>
  <c r="O139" i="19"/>
  <c r="R138" i="19"/>
  <c r="Q138" i="19"/>
  <c r="P138" i="19"/>
  <c r="O138" i="19"/>
  <c r="R137" i="19"/>
  <c r="Q137" i="19"/>
  <c r="P137" i="19"/>
  <c r="O137" i="19"/>
  <c r="R136" i="19"/>
  <c r="Q136" i="19"/>
  <c r="P136" i="19"/>
  <c r="O136" i="19"/>
  <c r="H135" i="19"/>
  <c r="G135" i="19"/>
  <c r="F135" i="19"/>
  <c r="E135" i="19"/>
  <c r="R128" i="19"/>
  <c r="Q128" i="19"/>
  <c r="P128" i="19"/>
  <c r="O128" i="19"/>
  <c r="R127" i="19"/>
  <c r="Q127" i="19"/>
  <c r="P127" i="19"/>
  <c r="O127" i="19"/>
  <c r="R126" i="19"/>
  <c r="Q126" i="19"/>
  <c r="P126" i="19"/>
  <c r="O126" i="19"/>
  <c r="H125" i="19"/>
  <c r="G125" i="19"/>
  <c r="F125" i="19"/>
  <c r="F123" i="19" s="1"/>
  <c r="E125" i="19"/>
  <c r="Q123" i="19"/>
  <c r="Q122" i="19" s="1"/>
  <c r="O123" i="19"/>
  <c r="O122" i="19" s="1"/>
  <c r="G122" i="19"/>
  <c r="E122" i="19"/>
  <c r="R114" i="19"/>
  <c r="Q114" i="19"/>
  <c r="P114" i="19"/>
  <c r="O114" i="19"/>
  <c r="G113" i="19"/>
  <c r="E113" i="19"/>
  <c r="R112" i="19"/>
  <c r="Q112" i="19"/>
  <c r="P112" i="19"/>
  <c r="O112" i="19"/>
  <c r="G108" i="19"/>
  <c r="E108" i="19"/>
  <c r="R107" i="19"/>
  <c r="Q107" i="19"/>
  <c r="P107" i="19"/>
  <c r="O107" i="19"/>
  <c r="O187" i="19"/>
  <c r="BA108" i="19" l="1"/>
  <c r="AH108" i="19"/>
  <c r="Y108" i="19"/>
  <c r="AQ108" i="19"/>
  <c r="BA166" i="19"/>
  <c r="AQ166" i="19"/>
  <c r="Y166" i="19"/>
  <c r="AH166" i="19"/>
  <c r="BC108" i="19"/>
  <c r="AS108" i="19"/>
  <c r="AJ108" i="19"/>
  <c r="AA108" i="19"/>
  <c r="BC148" i="19"/>
  <c r="AS148" i="19"/>
  <c r="AJ148" i="19"/>
  <c r="AA148" i="19"/>
  <c r="AT166" i="19"/>
  <c r="BD166" i="19"/>
  <c r="AK166" i="19"/>
  <c r="AB166" i="19"/>
  <c r="AR166" i="19"/>
  <c r="BB166" i="19"/>
  <c r="AI166" i="19"/>
  <c r="Z166" i="19"/>
  <c r="AQ174" i="19"/>
  <c r="BA174" i="19"/>
  <c r="AH174" i="19"/>
  <c r="Y174" i="19"/>
  <c r="AR174" i="19"/>
  <c r="BB174" i="19"/>
  <c r="AI174" i="19"/>
  <c r="Z174" i="19"/>
  <c r="BC113" i="19"/>
  <c r="AS113" i="19"/>
  <c r="AJ113" i="19"/>
  <c r="AA113" i="19"/>
  <c r="BB123" i="19"/>
  <c r="BB122" i="19" s="1"/>
  <c r="BB130" i="19" s="1"/>
  <c r="Z123" i="19"/>
  <c r="Z122" i="19" s="1"/>
  <c r="Z130" i="19" s="1"/>
  <c r="AR123" i="19"/>
  <c r="AR122" i="19" s="1"/>
  <c r="AR130" i="19" s="1"/>
  <c r="AI123" i="19"/>
  <c r="AI122" i="19" s="1"/>
  <c r="AI130" i="19" s="1"/>
  <c r="BD174" i="19"/>
  <c r="AT174" i="19"/>
  <c r="AK174" i="19"/>
  <c r="AB174" i="19"/>
  <c r="BA113" i="19"/>
  <c r="AH113" i="19"/>
  <c r="Y113" i="19"/>
  <c r="AQ113" i="19"/>
  <c r="O148" i="19"/>
  <c r="O108" i="19"/>
  <c r="P148" i="19"/>
  <c r="R148" i="19"/>
  <c r="Q108" i="19"/>
  <c r="H131" i="19"/>
  <c r="H123" i="19"/>
  <c r="G146" i="19"/>
  <c r="F162" i="19"/>
  <c r="R125" i="19"/>
  <c r="P135" i="19"/>
  <c r="P146" i="19" s="1"/>
  <c r="P125" i="19"/>
  <c r="R174" i="19"/>
  <c r="E162" i="19"/>
  <c r="H146" i="19"/>
  <c r="R135" i="19"/>
  <c r="Q156" i="19"/>
  <c r="Q162" i="19" s="1"/>
  <c r="Q125" i="19"/>
  <c r="Q130" i="19" s="1"/>
  <c r="E146" i="19"/>
  <c r="Q135" i="19"/>
  <c r="G130" i="19"/>
  <c r="H162" i="19"/>
  <c r="G162" i="19"/>
  <c r="R113" i="19"/>
  <c r="Q148" i="19"/>
  <c r="R156" i="19"/>
  <c r="O156" i="19"/>
  <c r="O162" i="19" s="1"/>
  <c r="Q174" i="19"/>
  <c r="O125" i="19"/>
  <c r="O130" i="19" s="1"/>
  <c r="F146" i="19"/>
  <c r="P156" i="19"/>
  <c r="P162" i="19" s="1"/>
  <c r="F171" i="19"/>
  <c r="O135" i="19"/>
  <c r="O146" i="19" s="1"/>
  <c r="E130" i="19"/>
  <c r="O191" i="19"/>
  <c r="Q191" i="19"/>
  <c r="Q187" i="19"/>
  <c r="Q113" i="19"/>
  <c r="O113" i="19"/>
  <c r="P123" i="19"/>
  <c r="P122" i="19" s="1"/>
  <c r="F122" i="19"/>
  <c r="P113" i="19"/>
  <c r="Q166" i="19"/>
  <c r="O166" i="19"/>
  <c r="H171" i="19"/>
  <c r="P166" i="19"/>
  <c r="F172" i="19"/>
  <c r="O174" i="19"/>
  <c r="R166" i="19"/>
  <c r="H172" i="19"/>
  <c r="P174" i="19"/>
  <c r="BD123" i="19" l="1"/>
  <c r="BD122" i="19" s="1"/>
  <c r="BD130" i="19" s="1"/>
  <c r="AT123" i="19"/>
  <c r="AT122" i="19" s="1"/>
  <c r="AT130" i="19" s="1"/>
  <c r="AK123" i="19"/>
  <c r="AK122" i="19" s="1"/>
  <c r="AK130" i="19" s="1"/>
  <c r="AB123" i="19"/>
  <c r="AB122" i="19" s="1"/>
  <c r="AB130" i="19" s="1"/>
  <c r="BG38" i="21"/>
  <c r="T122" i="21"/>
  <c r="W122" i="21" s="1"/>
  <c r="H122" i="21"/>
  <c r="R123" i="21"/>
  <c r="R122" i="21" s="1"/>
  <c r="R146" i="19"/>
  <c r="R162" i="19"/>
  <c r="Q146" i="19"/>
  <c r="P130" i="19"/>
  <c r="H130" i="21" l="1"/>
  <c r="T19" i="21"/>
  <c r="T130" i="21"/>
  <c r="W130" i="21" s="1"/>
  <c r="T19" i="19"/>
  <c r="BF38" i="19"/>
  <c r="R130" i="21"/>
  <c r="H131" i="21" l="1"/>
  <c r="T38" i="21"/>
  <c r="T38" i="19"/>
  <c r="Q117" i="19" l="1"/>
  <c r="Q116" i="19"/>
  <c r="E95" i="19"/>
  <c r="E103" i="19" s="1"/>
  <c r="O116" i="19"/>
  <c r="O117" i="19"/>
  <c r="G95" i="19"/>
  <c r="G103" i="19" s="1"/>
  <c r="BB10" i="19" l="1"/>
  <c r="BB7" i="19"/>
  <c r="P15" i="19"/>
  <c r="P17" i="19"/>
  <c r="P24" i="19"/>
  <c r="P32" i="19"/>
  <c r="P41" i="19"/>
  <c r="P43" i="19"/>
  <c r="P48" i="19"/>
  <c r="P51" i="19"/>
  <c r="P58" i="19"/>
  <c r="P65" i="19"/>
  <c r="P71" i="19"/>
  <c r="P73" i="19"/>
  <c r="P76" i="19"/>
  <c r="P78" i="19"/>
  <c r="P80" i="19"/>
  <c r="P86" i="19"/>
  <c r="AI10" i="19"/>
  <c r="AI7" i="19"/>
  <c r="AI15" i="19"/>
  <c r="AI17" i="19"/>
  <c r="AI24" i="19"/>
  <c r="AI191" i="19" s="1"/>
  <c r="AI32" i="19"/>
  <c r="AI41" i="19"/>
  <c r="AI43" i="19"/>
  <c r="AI48" i="19"/>
  <c r="AI51" i="19"/>
  <c r="AI58" i="19"/>
  <c r="AI65" i="19"/>
  <c r="AI71" i="19"/>
  <c r="AI73" i="19"/>
  <c r="AI76" i="19"/>
  <c r="AI78" i="19"/>
  <c r="AI80" i="19"/>
  <c r="AI86" i="19"/>
  <c r="P10" i="19"/>
  <c r="P7" i="19"/>
  <c r="BB15" i="19"/>
  <c r="BB17" i="19"/>
  <c r="BB24" i="19"/>
  <c r="BB191" i="19" s="1"/>
  <c r="BB32" i="19"/>
  <c r="BB41" i="19"/>
  <c r="BB43" i="19"/>
  <c r="BB48" i="19"/>
  <c r="BB51" i="19"/>
  <c r="BB58" i="19"/>
  <c r="BB65" i="19"/>
  <c r="BB71" i="19"/>
  <c r="BB73" i="19"/>
  <c r="BB76" i="19"/>
  <c r="BB78" i="19"/>
  <c r="BB80" i="19"/>
  <c r="BB86" i="19"/>
  <c r="BB9" i="19"/>
  <c r="P14" i="19"/>
  <c r="P16" i="19"/>
  <c r="P21" i="19"/>
  <c r="P30" i="19"/>
  <c r="P33" i="19"/>
  <c r="P42" i="19"/>
  <c r="P46" i="19"/>
  <c r="P50" i="19"/>
  <c r="P56" i="19"/>
  <c r="P59" i="19"/>
  <c r="P66" i="19"/>
  <c r="P72" i="19"/>
  <c r="P75" i="19"/>
  <c r="P77" i="19"/>
  <c r="P79" i="19"/>
  <c r="P83" i="19"/>
  <c r="AI9" i="19"/>
  <c r="AI14" i="19"/>
  <c r="AI16" i="19"/>
  <c r="AI21" i="19"/>
  <c r="AI187" i="19" s="1"/>
  <c r="AI30" i="19"/>
  <c r="AI33" i="19"/>
  <c r="AI42" i="19"/>
  <c r="AI46" i="19"/>
  <c r="AI50" i="19"/>
  <c r="AI56" i="19"/>
  <c r="AI59" i="19"/>
  <c r="AI66" i="19"/>
  <c r="AI72" i="19"/>
  <c r="AI75" i="19"/>
  <c r="AI77" i="19"/>
  <c r="AI79" i="19"/>
  <c r="AI83" i="19"/>
  <c r="P9" i="19"/>
  <c r="BB14" i="19"/>
  <c r="BB16" i="19"/>
  <c r="BB21" i="19"/>
  <c r="BB187" i="19" s="1"/>
  <c r="BB30" i="19"/>
  <c r="BB33" i="19"/>
  <c r="BB42" i="19"/>
  <c r="BB46" i="19"/>
  <c r="BB50" i="19"/>
  <c r="BB56" i="19"/>
  <c r="BB59" i="19"/>
  <c r="BB66" i="19"/>
  <c r="BB72" i="19"/>
  <c r="BB75" i="19"/>
  <c r="BB77" i="19"/>
  <c r="BB79" i="19"/>
  <c r="BB83" i="19"/>
  <c r="P81" i="19" l="1"/>
  <c r="BB81" i="19"/>
  <c r="AI81" i="19"/>
  <c r="P5" i="19"/>
  <c r="P6" i="19" s="1"/>
  <c r="Z58" i="19"/>
  <c r="AR58" i="19" s="1"/>
  <c r="Z30" i="19"/>
  <c r="AR30" i="19" s="1"/>
  <c r="Z15" i="19"/>
  <c r="AR15" i="19" s="1"/>
  <c r="Z83" i="19"/>
  <c r="AR83" i="19" s="1"/>
  <c r="AI5" i="19"/>
  <c r="Z59" i="19"/>
  <c r="AR59" i="19" s="1"/>
  <c r="Z80" i="19"/>
  <c r="AR80" i="19" s="1"/>
  <c r="Z48" i="19"/>
  <c r="AR48" i="19" s="1"/>
  <c r="Z86" i="19"/>
  <c r="AR86" i="19" s="1"/>
  <c r="Z42" i="19"/>
  <c r="AR42" i="19" s="1"/>
  <c r="Z78" i="19"/>
  <c r="AR78" i="19" s="1"/>
  <c r="Z43" i="19"/>
  <c r="AR43" i="19" s="1"/>
  <c r="Z77" i="19"/>
  <c r="AR77" i="19" s="1"/>
  <c r="Z21" i="19"/>
  <c r="Z79" i="19"/>
  <c r="AR79" i="19" s="1"/>
  <c r="Z76" i="19"/>
  <c r="AR76" i="19" s="1"/>
  <c r="Z41" i="19"/>
  <c r="AR41" i="19" s="1"/>
  <c r="Z66" i="19"/>
  <c r="AR66" i="19" s="1"/>
  <c r="Z5" i="19"/>
  <c r="BB5" i="19"/>
  <c r="Z72" i="19"/>
  <c r="AR72" i="19" s="1"/>
  <c r="Z73" i="19"/>
  <c r="AR73" i="19" s="1"/>
  <c r="Z32" i="19"/>
  <c r="AR32" i="19" s="1"/>
  <c r="Z50" i="19"/>
  <c r="AR50" i="19" s="1"/>
  <c r="Z56" i="19"/>
  <c r="AR56" i="19" s="1"/>
  <c r="Z16" i="19"/>
  <c r="AR16" i="19" s="1"/>
  <c r="Z7" i="19"/>
  <c r="AR7" i="19" s="1"/>
  <c r="Z71" i="19"/>
  <c r="AR71" i="19" s="1"/>
  <c r="Z24" i="19"/>
  <c r="Z33" i="19"/>
  <c r="AR33" i="19" s="1"/>
  <c r="Z75" i="19"/>
  <c r="AR75" i="19" s="1"/>
  <c r="Z51" i="19"/>
  <c r="AR51" i="19" s="1"/>
  <c r="Z9" i="19"/>
  <c r="AR9" i="19" s="1"/>
  <c r="Z46" i="19"/>
  <c r="AR46" i="19" s="1"/>
  <c r="Z10" i="19"/>
  <c r="AR10" i="19" s="1"/>
  <c r="Z65" i="19"/>
  <c r="AR65" i="19" s="1"/>
  <c r="Z17" i="19"/>
  <c r="AR17" i="19" s="1"/>
  <c r="Z14" i="19"/>
  <c r="AR14" i="19" s="1"/>
  <c r="Z191" i="19" l="1"/>
  <c r="AR24" i="19"/>
  <c r="AR191" i="19" s="1"/>
  <c r="Z187" i="19"/>
  <c r="AR21" i="19"/>
  <c r="AR187" i="19" s="1"/>
  <c r="Z81" i="19"/>
  <c r="F72" i="19"/>
  <c r="F80" i="19"/>
  <c r="F75" i="19"/>
  <c r="F86" i="19"/>
  <c r="F71" i="19"/>
  <c r="F41" i="19"/>
  <c r="F169" i="19" s="1"/>
  <c r="F42" i="19"/>
  <c r="F15" i="19"/>
  <c r="F46" i="19"/>
  <c r="F7" i="19"/>
  <c r="F8" i="19" s="1"/>
  <c r="F51" i="19"/>
  <c r="F5" i="19"/>
  <c r="F6" i="19" s="1"/>
  <c r="F32" i="19"/>
  <c r="F76" i="19"/>
  <c r="F77" i="19"/>
  <c r="F58" i="19"/>
  <c r="F73" i="19"/>
  <c r="F43" i="19"/>
  <c r="F79" i="19"/>
  <c r="F17" i="19"/>
  <c r="F24" i="19"/>
  <c r="F191" i="19" s="1"/>
  <c r="F78" i="19"/>
  <c r="F9" i="19"/>
  <c r="F65" i="19"/>
  <c r="F21" i="19"/>
  <c r="F187" i="19" s="1"/>
  <c r="F10" i="19"/>
  <c r="F59" i="19"/>
  <c r="F50" i="19"/>
  <c r="F56" i="19"/>
  <c r="F33" i="19"/>
  <c r="F66" i="19"/>
  <c r="F30" i="19"/>
  <c r="F48" i="19"/>
  <c r="F83" i="19"/>
  <c r="F16" i="19"/>
  <c r="F14" i="19"/>
  <c r="BB67" i="19"/>
  <c r="BB60" i="19"/>
  <c r="BB34" i="19"/>
  <c r="AI34" i="19"/>
  <c r="AI67" i="19"/>
  <c r="Z60" i="19"/>
  <c r="P18" i="19"/>
  <c r="AI18" i="19"/>
  <c r="P8" i="19"/>
  <c r="P11" i="19"/>
  <c r="P12" i="19" s="1"/>
  <c r="BB63" i="19"/>
  <c r="BB44" i="19"/>
  <c r="BB53" i="19" s="1"/>
  <c r="Z27" i="19"/>
  <c r="AI11" i="19"/>
  <c r="BB25" i="19"/>
  <c r="Z18" i="19"/>
  <c r="P191" i="19"/>
  <c r="P25" i="19"/>
  <c r="P187" i="19"/>
  <c r="P27" i="19"/>
  <c r="P28" i="19" s="1"/>
  <c r="P22" i="19"/>
  <c r="AI27" i="19"/>
  <c r="BB6" i="19"/>
  <c r="BB11" i="19"/>
  <c r="BB12" i="19" s="1"/>
  <c r="BB27" i="19"/>
  <c r="BB28" i="19" s="1"/>
  <c r="BB22" i="19"/>
  <c r="BB18" i="19"/>
  <c r="P60" i="19"/>
  <c r="Z67" i="19"/>
  <c r="Z44" i="19"/>
  <c r="Z52" i="19" s="1"/>
  <c r="Z63" i="19"/>
  <c r="P67" i="19"/>
  <c r="Z11" i="19"/>
  <c r="AR5" i="19"/>
  <c r="P44" i="19"/>
  <c r="P53" i="19" s="1"/>
  <c r="AI44" i="19"/>
  <c r="AI53" i="19" s="1"/>
  <c r="AI63" i="19"/>
  <c r="P34" i="19"/>
  <c r="AR34" i="19"/>
  <c r="Z34" i="19"/>
  <c r="AI60" i="19"/>
  <c r="AI61" i="19" s="1"/>
  <c r="F81" i="19" l="1"/>
  <c r="AR81" i="19"/>
  <c r="BB62" i="19"/>
  <c r="F22" i="19"/>
  <c r="F27" i="19"/>
  <c r="F28" i="19" s="1"/>
  <c r="F25" i="19"/>
  <c r="F44" i="19"/>
  <c r="F49" i="19" s="1"/>
  <c r="F63" i="19"/>
  <c r="F34" i="19"/>
  <c r="BB35" i="19"/>
  <c r="Z35" i="19"/>
  <c r="AI35" i="19"/>
  <c r="F67" i="19"/>
  <c r="F60" i="19"/>
  <c r="F18" i="19"/>
  <c r="F19" i="19" s="1"/>
  <c r="F11" i="19"/>
  <c r="F12" i="19" s="1"/>
  <c r="AR11" i="19"/>
  <c r="AI62" i="19"/>
  <c r="P62" i="19"/>
  <c r="AR67" i="19"/>
  <c r="AR27" i="19"/>
  <c r="Z47" i="19"/>
  <c r="Z53" i="19"/>
  <c r="Z62" i="19" s="1"/>
  <c r="Z45" i="19"/>
  <c r="Z49" i="19"/>
  <c r="AR60" i="19"/>
  <c r="P19" i="19"/>
  <c r="P35" i="19"/>
  <c r="AR63" i="19"/>
  <c r="AR44" i="19"/>
  <c r="AR47" i="19" s="1"/>
  <c r="AR18" i="19"/>
  <c r="F45" i="19" l="1"/>
  <c r="AR35" i="19"/>
  <c r="F47" i="19"/>
  <c r="F53" i="19"/>
  <c r="F62" i="19" s="1"/>
  <c r="F35" i="19"/>
  <c r="F36" i="19" s="1"/>
  <c r="AI82" i="19"/>
  <c r="AI69" i="19"/>
  <c r="AI74" i="19" s="1"/>
  <c r="P82" i="19"/>
  <c r="P69" i="19"/>
  <c r="P36" i="19"/>
  <c r="AR49" i="19"/>
  <c r="AR53" i="19"/>
  <c r="AR62" i="19" s="1"/>
  <c r="AR45" i="19"/>
  <c r="BB36" i="19"/>
  <c r="BB82" i="19"/>
  <c r="BB69" i="19"/>
  <c r="Z54" i="19"/>
  <c r="Z69" i="19"/>
  <c r="Z74" i="19" s="1"/>
  <c r="Z82" i="19"/>
  <c r="P74" i="19" l="1"/>
  <c r="F69" i="19"/>
  <c r="F82" i="19"/>
  <c r="F85" i="19" s="1"/>
  <c r="BB37" i="19"/>
  <c r="BB38" i="19"/>
  <c r="BB85" i="19"/>
  <c r="BB84" i="19"/>
  <c r="F38" i="19"/>
  <c r="F37" i="19"/>
  <c r="Z85" i="19"/>
  <c r="Z84" i="19"/>
  <c r="P38" i="19"/>
  <c r="P37" i="19"/>
  <c r="AI85" i="19"/>
  <c r="AI84" i="19"/>
  <c r="AR82" i="19"/>
  <c r="AR69" i="19"/>
  <c r="AR74" i="19" s="1"/>
  <c r="P85" i="19"/>
  <c r="P92" i="19" s="1"/>
  <c r="P84" i="19"/>
  <c r="AK24" i="19"/>
  <c r="AK191" i="19" s="1"/>
  <c r="AK58" i="19"/>
  <c r="AK78" i="19"/>
  <c r="R10" i="19"/>
  <c r="R7" i="19"/>
  <c r="BD15" i="19"/>
  <c r="BD17" i="19"/>
  <c r="BD24" i="19"/>
  <c r="BD191" i="19" s="1"/>
  <c r="BD32" i="19"/>
  <c r="BD41" i="19"/>
  <c r="BD43" i="19"/>
  <c r="BD48" i="19"/>
  <c r="BD51" i="19"/>
  <c r="BD58" i="19"/>
  <c r="BD65" i="19"/>
  <c r="BD71" i="19"/>
  <c r="BD73" i="19"/>
  <c r="BD76" i="19"/>
  <c r="BD78" i="19"/>
  <c r="BD80" i="19"/>
  <c r="BD86" i="19"/>
  <c r="AK7" i="19"/>
  <c r="AK32" i="19"/>
  <c r="AK71" i="19"/>
  <c r="BD9" i="19"/>
  <c r="R14" i="19"/>
  <c r="R16" i="19"/>
  <c r="R21" i="19"/>
  <c r="R30" i="19"/>
  <c r="R33" i="19"/>
  <c r="R42" i="19"/>
  <c r="R46" i="19"/>
  <c r="R50" i="19"/>
  <c r="R56" i="19"/>
  <c r="R59" i="19"/>
  <c r="R66" i="19"/>
  <c r="R72" i="19"/>
  <c r="R75" i="19"/>
  <c r="R77" i="19"/>
  <c r="R79" i="19"/>
  <c r="R83" i="19"/>
  <c r="AK17" i="19"/>
  <c r="AK51" i="19"/>
  <c r="AK76" i="19"/>
  <c r="AK9" i="19"/>
  <c r="AK10" i="19"/>
  <c r="AK15" i="19"/>
  <c r="AK48" i="19"/>
  <c r="AK73" i="19"/>
  <c r="AK14" i="19"/>
  <c r="AK16" i="19"/>
  <c r="AK21" i="19"/>
  <c r="AK187" i="19" s="1"/>
  <c r="AK30" i="19"/>
  <c r="AK33" i="19"/>
  <c r="AK42" i="19"/>
  <c r="AK46" i="19"/>
  <c r="AK50" i="19"/>
  <c r="AK56" i="19"/>
  <c r="AK59" i="19"/>
  <c r="AK66" i="19"/>
  <c r="AK72" i="19"/>
  <c r="AK75" i="19"/>
  <c r="AK77" i="19"/>
  <c r="AK79" i="19"/>
  <c r="AK83" i="19"/>
  <c r="AK43" i="19"/>
  <c r="AK80" i="19"/>
  <c r="R9" i="19"/>
  <c r="BD14" i="19"/>
  <c r="BD16" i="19"/>
  <c r="BD21" i="19"/>
  <c r="BD187" i="19" s="1"/>
  <c r="BD30" i="19"/>
  <c r="BD33" i="19"/>
  <c r="BD42" i="19"/>
  <c r="BD46" i="19"/>
  <c r="BD50" i="19"/>
  <c r="BD56" i="19"/>
  <c r="BD59" i="19"/>
  <c r="BD66" i="19"/>
  <c r="BD72" i="19"/>
  <c r="BD75" i="19"/>
  <c r="BD77" i="19"/>
  <c r="BD79" i="19"/>
  <c r="BD83" i="19"/>
  <c r="AK41" i="19"/>
  <c r="AK65" i="19"/>
  <c r="AK86" i="19"/>
  <c r="BD10" i="19"/>
  <c r="BD7" i="19"/>
  <c r="R15" i="19"/>
  <c r="R17" i="19"/>
  <c r="R24" i="19"/>
  <c r="R32" i="19"/>
  <c r="R41" i="19"/>
  <c r="R43" i="19"/>
  <c r="R48" i="19"/>
  <c r="R51" i="19"/>
  <c r="R58" i="19"/>
  <c r="R65" i="19"/>
  <c r="R71" i="19"/>
  <c r="R73" i="19"/>
  <c r="R76" i="19"/>
  <c r="R78" i="19"/>
  <c r="R80" i="19"/>
  <c r="R86" i="19"/>
  <c r="F74" i="19" l="1"/>
  <c r="DG187" i="14"/>
  <c r="DG189" i="14" s="1"/>
  <c r="DG191" i="14"/>
  <c r="DG193" i="14" s="1"/>
  <c r="F84" i="19"/>
  <c r="BA78" i="14"/>
  <c r="CM78" i="14" s="1"/>
  <c r="BB78" i="14"/>
  <c r="CN78" i="14" s="1"/>
  <c r="BB65" i="14"/>
  <c r="CN65" i="14" s="1"/>
  <c r="BA72" i="14"/>
  <c r="CM72" i="14" s="1"/>
  <c r="BB72" i="14"/>
  <c r="CN72" i="14" s="1"/>
  <c r="BA30" i="14"/>
  <c r="CM30" i="14" s="1"/>
  <c r="BB30" i="14"/>
  <c r="CN30" i="14" s="1"/>
  <c r="BA43" i="14"/>
  <c r="CM43" i="14" s="1"/>
  <c r="BB43" i="14"/>
  <c r="CN43" i="14" s="1"/>
  <c r="BB32" i="14"/>
  <c r="CN32" i="14" s="1"/>
  <c r="BA66" i="14"/>
  <c r="CM66" i="14" s="1"/>
  <c r="BB66" i="14"/>
  <c r="CN66" i="14" s="1"/>
  <c r="BA21" i="14"/>
  <c r="BA76" i="14"/>
  <c r="CM76" i="14" s="1"/>
  <c r="BB76" i="14"/>
  <c r="CN76" i="14" s="1"/>
  <c r="BT5" i="14"/>
  <c r="BA24" i="14"/>
  <c r="BB24" i="14"/>
  <c r="BA15" i="14"/>
  <c r="CM15" i="14" s="1"/>
  <c r="BB15" i="14"/>
  <c r="CN15" i="14" s="1"/>
  <c r="BA59" i="14"/>
  <c r="CM59" i="14" s="1"/>
  <c r="BB59" i="14"/>
  <c r="CN59" i="14" s="1"/>
  <c r="BA16" i="14"/>
  <c r="CM16" i="14" s="1"/>
  <c r="BB16" i="14"/>
  <c r="CN16" i="14" s="1"/>
  <c r="AG5" i="14"/>
  <c r="BA48" i="14"/>
  <c r="CM48" i="14" s="1"/>
  <c r="BB48" i="14"/>
  <c r="CN48" i="14" s="1"/>
  <c r="BA33" i="14"/>
  <c r="CM33" i="14" s="1"/>
  <c r="BB33" i="14"/>
  <c r="CN33" i="14" s="1"/>
  <c r="BA71" i="14"/>
  <c r="CM71" i="14" s="1"/>
  <c r="BA56" i="14"/>
  <c r="CM56" i="14" s="1"/>
  <c r="BB56" i="14"/>
  <c r="CN56" i="14" s="1"/>
  <c r="BA14" i="14"/>
  <c r="CM14" i="14" s="1"/>
  <c r="BA86" i="14"/>
  <c r="CM86" i="14" s="1"/>
  <c r="BB86" i="14"/>
  <c r="CN86" i="14" s="1"/>
  <c r="BB41" i="14"/>
  <c r="CN41" i="14" s="1"/>
  <c r="BA83" i="14"/>
  <c r="CM83" i="14" s="1"/>
  <c r="BB83" i="14"/>
  <c r="CN83" i="14" s="1"/>
  <c r="BA50" i="14"/>
  <c r="CM50" i="14" s="1"/>
  <c r="BB50" i="14"/>
  <c r="CN50" i="14" s="1"/>
  <c r="BA80" i="14"/>
  <c r="CM80" i="14" s="1"/>
  <c r="BB80" i="14"/>
  <c r="CN80" i="14" s="1"/>
  <c r="BA75" i="14"/>
  <c r="CM75" i="14" s="1"/>
  <c r="BB75" i="14"/>
  <c r="CN75" i="14" s="1"/>
  <c r="BA10" i="14"/>
  <c r="CM10" i="14" s="1"/>
  <c r="BB10" i="14"/>
  <c r="CN10" i="14" s="1"/>
  <c r="BA5" i="14"/>
  <c r="BA79" i="14"/>
  <c r="CM79" i="14" s="1"/>
  <c r="BB79" i="14"/>
  <c r="CN79" i="14" s="1"/>
  <c r="BA46" i="14"/>
  <c r="CM46" i="14" s="1"/>
  <c r="DG5" i="14"/>
  <c r="BA73" i="14"/>
  <c r="CM73" i="14" s="1"/>
  <c r="BB73" i="14"/>
  <c r="CN73" i="14" s="1"/>
  <c r="BA58" i="14"/>
  <c r="CM58" i="14" s="1"/>
  <c r="BA7" i="14"/>
  <c r="CM7" i="14" s="1"/>
  <c r="BB7" i="14"/>
  <c r="CN7" i="14" s="1"/>
  <c r="BA9" i="14"/>
  <c r="CM9" i="14" s="1"/>
  <c r="BB9" i="14"/>
  <c r="CN9" i="14" s="1"/>
  <c r="BA77" i="14"/>
  <c r="CM77" i="14" s="1"/>
  <c r="BB77" i="14"/>
  <c r="CN77" i="14" s="1"/>
  <c r="BA42" i="14"/>
  <c r="CM42" i="14" s="1"/>
  <c r="BB42" i="14"/>
  <c r="CN42" i="14" s="1"/>
  <c r="BA51" i="14"/>
  <c r="CM51" i="14" s="1"/>
  <c r="BB51" i="14"/>
  <c r="CN51" i="14" s="1"/>
  <c r="BA17" i="14"/>
  <c r="CM17" i="14" s="1"/>
  <c r="BB17" i="14"/>
  <c r="CN17" i="14" s="1"/>
  <c r="BA41" i="14"/>
  <c r="CM41" i="14" s="1"/>
  <c r="M9" i="14"/>
  <c r="M73" i="14"/>
  <c r="BA65" i="14"/>
  <c r="CM65" i="14" s="1"/>
  <c r="BA32" i="14"/>
  <c r="CM32" i="14" s="1"/>
  <c r="M5" i="14"/>
  <c r="AI88" i="19"/>
  <c r="AI89" i="19" s="1"/>
  <c r="AI87" i="19"/>
  <c r="Z88" i="19"/>
  <c r="Z87" i="19"/>
  <c r="P88" i="19"/>
  <c r="P87" i="19"/>
  <c r="BB88" i="19"/>
  <c r="BB89" i="19" s="1"/>
  <c r="BB87" i="19"/>
  <c r="F88" i="19"/>
  <c r="F87" i="19"/>
  <c r="AR85" i="19"/>
  <c r="AR84" i="19"/>
  <c r="AB42" i="19"/>
  <c r="AT42" i="19" s="1"/>
  <c r="AK5" i="19"/>
  <c r="AB86" i="19"/>
  <c r="AT86" i="19" s="1"/>
  <c r="AB75" i="19"/>
  <c r="AT75" i="19" s="1"/>
  <c r="AB33" i="19"/>
  <c r="AT33" i="19" s="1"/>
  <c r="AB24" i="19"/>
  <c r="AB10" i="19"/>
  <c r="AT10" i="19" s="1"/>
  <c r="AB77" i="19"/>
  <c r="AT77" i="19" s="1"/>
  <c r="AB17" i="19"/>
  <c r="AT17" i="19" s="1"/>
  <c r="AB78" i="19"/>
  <c r="AT78" i="19" s="1"/>
  <c r="AB65" i="19"/>
  <c r="AT65" i="19" s="1"/>
  <c r="AB72" i="19"/>
  <c r="AT72" i="19" s="1"/>
  <c r="AB30" i="19"/>
  <c r="AT30" i="19" s="1"/>
  <c r="AB7" i="19"/>
  <c r="AT7" i="19" s="1"/>
  <c r="AB51" i="19"/>
  <c r="AT51" i="19" s="1"/>
  <c r="AB43" i="19"/>
  <c r="AT43" i="19" s="1"/>
  <c r="AB32" i="19"/>
  <c r="AT32" i="19" s="1"/>
  <c r="AB66" i="19"/>
  <c r="AT66" i="19" s="1"/>
  <c r="AB21" i="19"/>
  <c r="AB76" i="19"/>
  <c r="AT76" i="19" s="1"/>
  <c r="AB15" i="19"/>
  <c r="AT15" i="19" s="1"/>
  <c r="AB59" i="19"/>
  <c r="AT59" i="19" s="1"/>
  <c r="AB16" i="19"/>
  <c r="AT16" i="19" s="1"/>
  <c r="R5" i="19"/>
  <c r="AB48" i="19"/>
  <c r="AT48" i="19" s="1"/>
  <c r="AB9" i="19"/>
  <c r="AT9" i="19" s="1"/>
  <c r="AB71" i="19"/>
  <c r="AT71" i="19" s="1"/>
  <c r="AB56" i="19"/>
  <c r="AT56" i="19" s="1"/>
  <c r="AB14" i="19"/>
  <c r="AT14" i="19" s="1"/>
  <c r="AB41" i="19"/>
  <c r="AT41" i="19" s="1"/>
  <c r="AB83" i="19"/>
  <c r="AT83" i="19" s="1"/>
  <c r="AB50" i="19"/>
  <c r="AT50" i="19" s="1"/>
  <c r="AB80" i="19"/>
  <c r="AT80" i="19" s="1"/>
  <c r="AB5" i="19"/>
  <c r="AB79" i="19"/>
  <c r="AT79" i="19" s="1"/>
  <c r="AB46" i="19"/>
  <c r="AT46" i="19" s="1"/>
  <c r="BD5" i="19"/>
  <c r="AB73" i="19"/>
  <c r="AT73" i="19" s="1"/>
  <c r="AB58" i="19"/>
  <c r="AT58" i="19" s="1"/>
  <c r="BA191" i="14" l="1"/>
  <c r="BA193" i="14" s="1"/>
  <c r="CM24" i="14"/>
  <c r="BA187" i="14"/>
  <c r="BA189" i="14" s="1"/>
  <c r="CM21" i="14"/>
  <c r="BB191" i="14"/>
  <c r="BB193" i="14" s="1"/>
  <c r="CN24" i="14"/>
  <c r="BU191" i="14"/>
  <c r="BU193" i="14" s="1"/>
  <c r="BT187" i="14"/>
  <c r="BT189" i="14" s="1"/>
  <c r="BT191" i="14"/>
  <c r="BT193" i="14" s="1"/>
  <c r="BU187" i="14"/>
  <c r="BU189" i="14" s="1"/>
  <c r="M7" i="14"/>
  <c r="M8" i="14" s="1"/>
  <c r="AB187" i="19"/>
  <c r="AT21" i="19"/>
  <c r="AT187" i="19" s="1"/>
  <c r="AB191" i="19"/>
  <c r="AT24" i="19"/>
  <c r="AT191" i="19" s="1"/>
  <c r="AG27" i="14"/>
  <c r="AG28" i="14" s="1"/>
  <c r="AG8" i="14"/>
  <c r="DH187" i="14"/>
  <c r="DH189" i="14" s="1"/>
  <c r="M32" i="14"/>
  <c r="AK81" i="19"/>
  <c r="AG81" i="14"/>
  <c r="M30" i="14"/>
  <c r="M10" i="14"/>
  <c r="DG81" i="14"/>
  <c r="M14" i="14"/>
  <c r="M33" i="14"/>
  <c r="R81" i="19"/>
  <c r="AB81" i="19"/>
  <c r="M46" i="14"/>
  <c r="M65" i="14"/>
  <c r="M86" i="14"/>
  <c r="M83" i="14"/>
  <c r="M71" i="14"/>
  <c r="M75" i="14"/>
  <c r="M59" i="14"/>
  <c r="BT81" i="14"/>
  <c r="BA81" i="14"/>
  <c r="BD81" i="19"/>
  <c r="M15" i="14"/>
  <c r="M76" i="14"/>
  <c r="M24" i="14"/>
  <c r="M25" i="14" s="1"/>
  <c r="DG67" i="14"/>
  <c r="AG6" i="14"/>
  <c r="AG60" i="14"/>
  <c r="DG34" i="14"/>
  <c r="BT34" i="14"/>
  <c r="DG60" i="14"/>
  <c r="DG44" i="14"/>
  <c r="DG53" i="14" s="1"/>
  <c r="M43" i="14"/>
  <c r="M50" i="14"/>
  <c r="BT60" i="14"/>
  <c r="BT61" i="14" s="1"/>
  <c r="M79" i="14"/>
  <c r="M56" i="14"/>
  <c r="M17" i="14"/>
  <c r="M42" i="14"/>
  <c r="M16" i="14"/>
  <c r="M78" i="14"/>
  <c r="M77" i="14"/>
  <c r="M48" i="14"/>
  <c r="M51" i="14"/>
  <c r="M66" i="14"/>
  <c r="M80" i="14"/>
  <c r="M72" i="14"/>
  <c r="CM5" i="14"/>
  <c r="BA18" i="14"/>
  <c r="BA60" i="14"/>
  <c r="DG18" i="14"/>
  <c r="BA11" i="14"/>
  <c r="AG18" i="14"/>
  <c r="DG11" i="14"/>
  <c r="DG12" i="14" s="1"/>
  <c r="BT18" i="14"/>
  <c r="BA27" i="14"/>
  <c r="BT11" i="14"/>
  <c r="BT67" i="14"/>
  <c r="BB46" i="14"/>
  <c r="CN46" i="14" s="1"/>
  <c r="BB5" i="14"/>
  <c r="N9" i="14"/>
  <c r="BU5" i="14"/>
  <c r="N86" i="14"/>
  <c r="AH5" i="14"/>
  <c r="BB58" i="14"/>
  <c r="CN58" i="14" s="1"/>
  <c r="BB14" i="14"/>
  <c r="CN14" i="14" s="1"/>
  <c r="BB71" i="14"/>
  <c r="CN71" i="14" s="1"/>
  <c r="BB34" i="14"/>
  <c r="BB21" i="14"/>
  <c r="BB44" i="14"/>
  <c r="BB52" i="14" s="1"/>
  <c r="N7" i="14"/>
  <c r="BB67" i="14"/>
  <c r="DG6" i="14"/>
  <c r="DH5" i="14"/>
  <c r="AG44" i="14"/>
  <c r="AG53" i="14" s="1"/>
  <c r="BA67" i="14"/>
  <c r="BA44" i="14"/>
  <c r="BA63" i="14"/>
  <c r="AG191" i="14"/>
  <c r="AG193" i="14" s="1"/>
  <c r="AG26" i="14" s="1"/>
  <c r="AG25" i="14"/>
  <c r="BA34" i="14"/>
  <c r="R18" i="19"/>
  <c r="AG34" i="14"/>
  <c r="M6" i="14"/>
  <c r="AG67" i="14"/>
  <c r="H83" i="19"/>
  <c r="H41" i="19"/>
  <c r="H5" i="19"/>
  <c r="H51" i="19"/>
  <c r="H59" i="19"/>
  <c r="H24" i="19"/>
  <c r="H33" i="19"/>
  <c r="H56" i="19"/>
  <c r="H78" i="19"/>
  <c r="H15" i="19"/>
  <c r="H76" i="19"/>
  <c r="H46" i="19"/>
  <c r="H79" i="19"/>
  <c r="H21" i="19"/>
  <c r="H58" i="19"/>
  <c r="H75" i="19"/>
  <c r="H65" i="19"/>
  <c r="H80" i="19"/>
  <c r="H7" i="19"/>
  <c r="H32" i="19"/>
  <c r="H14" i="19"/>
  <c r="H72" i="19"/>
  <c r="H30" i="19"/>
  <c r="H17" i="19"/>
  <c r="H9" i="19"/>
  <c r="H86" i="19"/>
  <c r="H77" i="19"/>
  <c r="H66" i="19"/>
  <c r="H16" i="19"/>
  <c r="H10" i="19"/>
  <c r="H73" i="19"/>
  <c r="H42" i="19"/>
  <c r="H48" i="19"/>
  <c r="H50" i="19"/>
  <c r="H71" i="19"/>
  <c r="H43" i="19"/>
  <c r="AK67" i="19"/>
  <c r="BD67" i="19"/>
  <c r="P89" i="19"/>
  <c r="P91" i="19"/>
  <c r="P117" i="19" s="1"/>
  <c r="P90" i="19"/>
  <c r="P116" i="19" s="1"/>
  <c r="F90" i="19"/>
  <c r="F116" i="19" s="1"/>
  <c r="F95" i="19"/>
  <c r="F103" i="19" s="1"/>
  <c r="F91" i="19"/>
  <c r="F117" i="19" s="1"/>
  <c r="F89" i="19"/>
  <c r="AR88" i="19"/>
  <c r="AR89" i="19" s="1"/>
  <c r="AR87" i="19"/>
  <c r="Z91" i="19"/>
  <c r="Z117" i="19" s="1"/>
  <c r="Z90" i="19"/>
  <c r="Z116" i="19" s="1"/>
  <c r="Z89" i="19"/>
  <c r="BD60" i="19"/>
  <c r="BD18" i="19"/>
  <c r="BD34" i="19"/>
  <c r="BD11" i="19"/>
  <c r="BD12" i="19" s="1"/>
  <c r="BD6" i="19"/>
  <c r="AK60" i="19"/>
  <c r="AK61" i="19" s="1"/>
  <c r="AK34" i="19"/>
  <c r="BD25" i="19"/>
  <c r="R11" i="19"/>
  <c r="R6" i="19"/>
  <c r="R67" i="19"/>
  <c r="BD27" i="19"/>
  <c r="BD28" i="19" s="1"/>
  <c r="BD22" i="19"/>
  <c r="R60" i="19"/>
  <c r="AB44" i="19"/>
  <c r="AB49" i="19" s="1"/>
  <c r="AB63" i="19"/>
  <c r="AK18" i="19"/>
  <c r="AT5" i="19"/>
  <c r="AB11" i="19"/>
  <c r="AK44" i="19"/>
  <c r="AK53" i="19" s="1"/>
  <c r="AK63" i="19"/>
  <c r="R191" i="19"/>
  <c r="R25" i="19"/>
  <c r="AB18" i="19"/>
  <c r="AB34" i="19"/>
  <c r="BD63" i="19"/>
  <c r="BD44" i="19"/>
  <c r="BD53" i="19" s="1"/>
  <c r="AB67" i="19"/>
  <c r="AB60" i="19"/>
  <c r="AB27" i="19"/>
  <c r="AK11" i="19"/>
  <c r="R8" i="19"/>
  <c r="R34" i="19"/>
  <c r="R187" i="19"/>
  <c r="R27" i="19"/>
  <c r="R22" i="19"/>
  <c r="R44" i="19"/>
  <c r="AK27" i="19"/>
  <c r="BB187" i="14" l="1"/>
  <c r="BB189" i="14" s="1"/>
  <c r="CN21" i="14"/>
  <c r="DH25" i="14"/>
  <c r="DH191" i="14"/>
  <c r="DH193" i="14" s="1"/>
  <c r="CN187" i="14"/>
  <c r="CN189" i="14" s="1"/>
  <c r="CM187" i="14"/>
  <c r="CM189" i="14" s="1"/>
  <c r="CM191" i="14"/>
  <c r="CM193" i="14" s="1"/>
  <c r="CN191" i="14"/>
  <c r="CN193" i="14" s="1"/>
  <c r="M11" i="14"/>
  <c r="N24" i="14"/>
  <c r="N191" i="14" s="1"/>
  <c r="N193" i="14" s="1"/>
  <c r="N26" i="14" s="1"/>
  <c r="M58" i="14"/>
  <c r="M60" i="14" s="1"/>
  <c r="CN18" i="14"/>
  <c r="DH67" i="14"/>
  <c r="M21" i="14"/>
  <c r="M187" i="14" s="1"/>
  <c r="M189" i="14" s="1"/>
  <c r="M23" i="14" s="1"/>
  <c r="AG187" i="14"/>
  <c r="AG189" i="14" s="1"/>
  <c r="AG23" i="14" s="1"/>
  <c r="AG22" i="14"/>
  <c r="N14" i="14"/>
  <c r="M191" i="14"/>
  <c r="M193" i="14" s="1"/>
  <c r="M26" i="14" s="1"/>
  <c r="DG27" i="14"/>
  <c r="DG28" i="14" s="1"/>
  <c r="AG11" i="14"/>
  <c r="AG12" i="14" s="1"/>
  <c r="N59" i="14"/>
  <c r="N80" i="14"/>
  <c r="DH18" i="14"/>
  <c r="N33" i="14"/>
  <c r="BU11" i="14"/>
  <c r="CN81" i="14"/>
  <c r="AH191" i="14"/>
  <c r="AH193" i="14" s="1"/>
  <c r="AH26" i="14" s="1"/>
  <c r="AH25" i="14"/>
  <c r="AH27" i="14"/>
  <c r="AH28" i="14" s="1"/>
  <c r="DH34" i="14"/>
  <c r="DG25" i="14"/>
  <c r="N83" i="14"/>
  <c r="BU34" i="14"/>
  <c r="N75" i="14"/>
  <c r="M34" i="14"/>
  <c r="N32" i="14"/>
  <c r="BU81" i="14"/>
  <c r="H81" i="19"/>
  <c r="BT27" i="14"/>
  <c r="BT35" i="14" s="1"/>
  <c r="BB81" i="14"/>
  <c r="N17" i="14"/>
  <c r="CM81" i="14"/>
  <c r="DH81" i="14"/>
  <c r="M81" i="14"/>
  <c r="AH81" i="14"/>
  <c r="AT81" i="19"/>
  <c r="N73" i="14"/>
  <c r="CM18" i="14"/>
  <c r="DG22" i="14"/>
  <c r="N15" i="14"/>
  <c r="N42" i="14"/>
  <c r="N16" i="14"/>
  <c r="N10" i="14"/>
  <c r="DG63" i="14"/>
  <c r="AG19" i="14"/>
  <c r="N51" i="14"/>
  <c r="AG62" i="14"/>
  <c r="N30" i="14"/>
  <c r="BU60" i="14"/>
  <c r="BU61" i="14" s="1"/>
  <c r="DH60" i="14"/>
  <c r="DG62" i="14"/>
  <c r="M12" i="14"/>
  <c r="BU18" i="14"/>
  <c r="M18" i="14"/>
  <c r="N48" i="14"/>
  <c r="N77" i="14"/>
  <c r="N56" i="14"/>
  <c r="BU67" i="14"/>
  <c r="N78" i="14"/>
  <c r="N43" i="14"/>
  <c r="N79" i="14"/>
  <c r="CN34" i="14"/>
  <c r="M67" i="14"/>
  <c r="N76" i="14"/>
  <c r="N50" i="14"/>
  <c r="N72" i="14"/>
  <c r="N58" i="14"/>
  <c r="N66" i="14"/>
  <c r="R53" i="19"/>
  <c r="H8" i="19"/>
  <c r="H63" i="19"/>
  <c r="H169" i="19"/>
  <c r="BB63" i="14"/>
  <c r="H34" i="19"/>
  <c r="CM11" i="14"/>
  <c r="BB49" i="14"/>
  <c r="N8" i="14"/>
  <c r="CM60" i="14"/>
  <c r="BA35" i="14"/>
  <c r="N5" i="14"/>
  <c r="AH34" i="14"/>
  <c r="BB60" i="14"/>
  <c r="AH11" i="14"/>
  <c r="AH6" i="14"/>
  <c r="H187" i="19"/>
  <c r="CN67" i="14"/>
  <c r="AH8" i="14"/>
  <c r="AH67" i="14"/>
  <c r="BB11" i="14"/>
  <c r="CN5" i="14"/>
  <c r="CN11" i="14" s="1"/>
  <c r="DH11" i="14"/>
  <c r="DH12" i="14" s="1"/>
  <c r="DH6" i="14"/>
  <c r="AH22" i="14"/>
  <c r="AH187" i="14"/>
  <c r="AH189" i="14" s="1"/>
  <c r="AH23" i="14" s="1"/>
  <c r="BU27" i="14"/>
  <c r="BB18" i="14"/>
  <c r="N71" i="14"/>
  <c r="N65" i="14"/>
  <c r="AH44" i="14"/>
  <c r="AH53" i="14" s="1"/>
  <c r="BB47" i="14"/>
  <c r="H6" i="19"/>
  <c r="AH18" i="14"/>
  <c r="BB53" i="14"/>
  <c r="BB45" i="14"/>
  <c r="DH44" i="14"/>
  <c r="DH53" i="14" s="1"/>
  <c r="BB27" i="14"/>
  <c r="AH60" i="14"/>
  <c r="N46" i="14"/>
  <c r="AB35" i="19"/>
  <c r="BD35" i="19"/>
  <c r="H60" i="19"/>
  <c r="AK35" i="19"/>
  <c r="H22" i="19"/>
  <c r="H11" i="19"/>
  <c r="H67" i="19"/>
  <c r="H44" i="19"/>
  <c r="H18" i="19"/>
  <c r="CM67" i="14"/>
  <c r="M41" i="14"/>
  <c r="BT63" i="14"/>
  <c r="BT44" i="14"/>
  <c r="BT53" i="14" s="1"/>
  <c r="BT62" i="14" s="1"/>
  <c r="BA52" i="14"/>
  <c r="BA53" i="14"/>
  <c r="BA62" i="14" s="1"/>
  <c r="BA45" i="14"/>
  <c r="BA47" i="14"/>
  <c r="BA49" i="14"/>
  <c r="H25" i="19"/>
  <c r="H27" i="19"/>
  <c r="H191" i="19"/>
  <c r="R12" i="19"/>
  <c r="R28" i="19"/>
  <c r="BD62" i="19"/>
  <c r="AT67" i="19"/>
  <c r="AK62" i="19"/>
  <c r="AT11" i="19"/>
  <c r="AT27" i="19"/>
  <c r="AB47" i="19"/>
  <c r="AB52" i="19"/>
  <c r="AT18" i="19"/>
  <c r="AT34" i="19"/>
  <c r="AT60" i="19"/>
  <c r="R35" i="19"/>
  <c r="AB53" i="19"/>
  <c r="AB62" i="19" s="1"/>
  <c r="AB45" i="19"/>
  <c r="AT44" i="19"/>
  <c r="AT63" i="19"/>
  <c r="N21" i="14" l="1"/>
  <c r="N187" i="14" s="1"/>
  <c r="N189" i="14" s="1"/>
  <c r="N23" i="14" s="1"/>
  <c r="N25" i="14"/>
  <c r="DH22" i="14"/>
  <c r="DH27" i="14"/>
  <c r="DH28" i="14" s="1"/>
  <c r="M27" i="14"/>
  <c r="M28" i="14" s="1"/>
  <c r="AG35" i="14"/>
  <c r="AG82" i="14" s="1"/>
  <c r="M22" i="14"/>
  <c r="DG35" i="14"/>
  <c r="DG82" i="14" s="1"/>
  <c r="CM27" i="14"/>
  <c r="N81" i="14"/>
  <c r="N60" i="14"/>
  <c r="N34" i="14"/>
  <c r="AH19" i="14"/>
  <c r="AH12" i="14"/>
  <c r="CM34" i="14"/>
  <c r="N41" i="14"/>
  <c r="R62" i="19"/>
  <c r="CN60" i="14"/>
  <c r="DH63" i="14"/>
  <c r="DH62" i="14"/>
  <c r="M19" i="14"/>
  <c r="BU35" i="14"/>
  <c r="N67" i="14"/>
  <c r="H28" i="19"/>
  <c r="H47" i="19"/>
  <c r="BB54" i="14"/>
  <c r="BT69" i="14"/>
  <c r="BT74" i="14" s="1"/>
  <c r="BB62" i="14"/>
  <c r="BA69" i="14"/>
  <c r="BA74" i="14" s="1"/>
  <c r="AH62" i="14"/>
  <c r="AH35" i="14"/>
  <c r="H53" i="19"/>
  <c r="BU63" i="14"/>
  <c r="BU44" i="14"/>
  <c r="BU53" i="14" s="1"/>
  <c r="BU62" i="14" s="1"/>
  <c r="N18" i="14"/>
  <c r="BB35" i="14"/>
  <c r="H49" i="19"/>
  <c r="N6" i="14"/>
  <c r="N11" i="14"/>
  <c r="CN27" i="14"/>
  <c r="CN35" i="14" s="1"/>
  <c r="H45" i="19"/>
  <c r="H12" i="19"/>
  <c r="AT35" i="19"/>
  <c r="BT82" i="14"/>
  <c r="BT85" i="14" s="1"/>
  <c r="CM44" i="14"/>
  <c r="CM63" i="14"/>
  <c r="BA54" i="14"/>
  <c r="AG69" i="14"/>
  <c r="AG36" i="14"/>
  <c r="M44" i="14"/>
  <c r="M63" i="14"/>
  <c r="M169" i="14"/>
  <c r="BA82" i="14"/>
  <c r="H35" i="19"/>
  <c r="AT47" i="19"/>
  <c r="BD69" i="19"/>
  <c r="BD82" i="19"/>
  <c r="BD36" i="19"/>
  <c r="BD37" i="19" s="1"/>
  <c r="R36" i="19"/>
  <c r="R37" i="19" s="1"/>
  <c r="AB54" i="19"/>
  <c r="AK82" i="19"/>
  <c r="AK69" i="19"/>
  <c r="AK74" i="19" s="1"/>
  <c r="AB69" i="19"/>
  <c r="AB74" i="19" s="1"/>
  <c r="AB82" i="19"/>
  <c r="AT49" i="19"/>
  <c r="AT53" i="19"/>
  <c r="AT45" i="19"/>
  <c r="N27" i="14" l="1"/>
  <c r="N22" i="14"/>
  <c r="DG36" i="14"/>
  <c r="DG37" i="14" s="1"/>
  <c r="DH35" i="14"/>
  <c r="DH36" i="14" s="1"/>
  <c r="M35" i="14"/>
  <c r="M36" i="14" s="1"/>
  <c r="M37" i="14" s="1"/>
  <c r="DG69" i="14"/>
  <c r="CM35" i="14"/>
  <c r="N169" i="14"/>
  <c r="N63" i="14"/>
  <c r="N44" i="14"/>
  <c r="AH36" i="14"/>
  <c r="R82" i="19"/>
  <c r="R69" i="19"/>
  <c r="AG74" i="14"/>
  <c r="BU69" i="14"/>
  <c r="BU74" i="14" s="1"/>
  <c r="H62" i="19"/>
  <c r="AH82" i="14"/>
  <c r="N28" i="14"/>
  <c r="N12" i="14"/>
  <c r="AH69" i="14"/>
  <c r="BU82" i="14"/>
  <c r="BU85" i="14" s="1"/>
  <c r="CN63" i="14"/>
  <c r="CN44" i="14"/>
  <c r="BB69" i="14"/>
  <c r="BB74" i="14" s="1"/>
  <c r="BB82" i="14"/>
  <c r="N19" i="14"/>
  <c r="N35" i="14"/>
  <c r="H36" i="19"/>
  <c r="H37" i="19" s="1"/>
  <c r="BT84" i="14"/>
  <c r="BA84" i="14"/>
  <c r="BA85" i="14"/>
  <c r="CM49" i="14"/>
  <c r="CM53" i="14"/>
  <c r="CM45" i="14"/>
  <c r="CM47" i="14"/>
  <c r="M47" i="14"/>
  <c r="M45" i="14"/>
  <c r="M53" i="14"/>
  <c r="M49" i="14"/>
  <c r="AG84" i="14"/>
  <c r="AG85" i="14"/>
  <c r="AG92" i="14" s="1"/>
  <c r="AG37" i="14"/>
  <c r="AG38" i="14"/>
  <c r="BT88" i="14"/>
  <c r="BT87" i="14"/>
  <c r="DG85" i="14"/>
  <c r="DG84" i="14"/>
  <c r="AT62" i="19"/>
  <c r="AK85" i="19"/>
  <c r="AK84" i="19"/>
  <c r="AB85" i="19"/>
  <c r="AB84" i="19"/>
  <c r="BD85" i="19"/>
  <c r="BD84" i="19"/>
  <c r="O141" i="8"/>
  <c r="P141" i="8"/>
  <c r="Q141" i="8"/>
  <c r="R141" i="8"/>
  <c r="S141" i="8"/>
  <c r="DH69" i="14" l="1"/>
  <c r="DH82" i="14"/>
  <c r="DG38" i="14"/>
  <c r="R84" i="19"/>
  <c r="R85" i="19"/>
  <c r="R88" i="19" s="1"/>
  <c r="R74" i="19"/>
  <c r="N45" i="14"/>
  <c r="N53" i="14"/>
  <c r="N49" i="14"/>
  <c r="N47" i="14"/>
  <c r="AH38" i="14"/>
  <c r="AH37" i="14"/>
  <c r="AH85" i="14"/>
  <c r="AH92" i="14" s="1"/>
  <c r="CM62" i="14"/>
  <c r="M38" i="14"/>
  <c r="AH74" i="14"/>
  <c r="M62" i="14"/>
  <c r="H82" i="19"/>
  <c r="H69" i="19"/>
  <c r="AH84" i="14"/>
  <c r="BT89" i="14"/>
  <c r="BT91" i="14"/>
  <c r="BT117" i="14" s="1"/>
  <c r="BT90" i="14"/>
  <c r="BT116" i="14" s="1"/>
  <c r="BU84" i="14"/>
  <c r="N36" i="14"/>
  <c r="DH85" i="14"/>
  <c r="DH84" i="14"/>
  <c r="DH37" i="14"/>
  <c r="DH38" i="14"/>
  <c r="CN53" i="14"/>
  <c r="CN45" i="14"/>
  <c r="CN49" i="14"/>
  <c r="CN47" i="14"/>
  <c r="BU88" i="14"/>
  <c r="BU87" i="14"/>
  <c r="BB85" i="14"/>
  <c r="BB84" i="14"/>
  <c r="AG88" i="14"/>
  <c r="AG87" i="14"/>
  <c r="BA87" i="14"/>
  <c r="BA88" i="14"/>
  <c r="DG88" i="14"/>
  <c r="DG89" i="14" s="1"/>
  <c r="DG87" i="14"/>
  <c r="AT69" i="19"/>
  <c r="AT82" i="19"/>
  <c r="BD88" i="19"/>
  <c r="BD89" i="19" s="1"/>
  <c r="BD87" i="19"/>
  <c r="AB88" i="19"/>
  <c r="AB87" i="19"/>
  <c r="AK88" i="19"/>
  <c r="AK89" i="19" s="1"/>
  <c r="AK87" i="19"/>
  <c r="R87" i="19" l="1"/>
  <c r="R92" i="19"/>
  <c r="N62" i="14"/>
  <c r="N69" i="14" s="1"/>
  <c r="CN62" i="14"/>
  <c r="CN82" i="14" s="1"/>
  <c r="AH87" i="14"/>
  <c r="AH88" i="14"/>
  <c r="AH89" i="14" s="1"/>
  <c r="CM82" i="14"/>
  <c r="CM85" i="14" s="1"/>
  <c r="CM69" i="14"/>
  <c r="CM74" i="14" s="1"/>
  <c r="M82" i="14"/>
  <c r="M69" i="14"/>
  <c r="H74" i="19"/>
  <c r="AT74" i="19"/>
  <c r="H85" i="19"/>
  <c r="H84" i="19"/>
  <c r="BU89" i="14"/>
  <c r="BU91" i="14"/>
  <c r="BU117" i="14" s="1"/>
  <c r="BU90" i="14"/>
  <c r="BU116" i="14" s="1"/>
  <c r="N38" i="14"/>
  <c r="N37" i="14"/>
  <c r="BB88" i="14"/>
  <c r="BB87" i="14"/>
  <c r="DH88" i="14"/>
  <c r="DH89" i="14" s="1"/>
  <c r="DH87" i="14"/>
  <c r="AG89" i="14"/>
  <c r="AG91" i="14"/>
  <c r="AG117" i="14" s="1"/>
  <c r="AG90" i="14"/>
  <c r="AG116" i="14" s="1"/>
  <c r="BA91" i="14"/>
  <c r="BA117" i="14" s="1"/>
  <c r="BA89" i="14"/>
  <c r="BA90" i="14"/>
  <c r="BA116" i="14" s="1"/>
  <c r="AT84" i="19"/>
  <c r="AT85" i="19"/>
  <c r="R89" i="19"/>
  <c r="R91" i="19"/>
  <c r="R117" i="19" s="1"/>
  <c r="R90" i="19"/>
  <c r="R116" i="19" s="1"/>
  <c r="AB90" i="19"/>
  <c r="AB116" i="19" s="1"/>
  <c r="AB91" i="19"/>
  <c r="AB117" i="19" s="1"/>
  <c r="AB89" i="19"/>
  <c r="N82" i="14" l="1"/>
  <c r="N85" i="14" s="1"/>
  <c r="CN69" i="14"/>
  <c r="CN74" i="14" s="1"/>
  <c r="CM84" i="14"/>
  <c r="N74" i="14"/>
  <c r="AH90" i="14"/>
  <c r="AH116" i="14" s="1"/>
  <c r="AH91" i="14"/>
  <c r="AH117" i="14" s="1"/>
  <c r="M74" i="14"/>
  <c r="M85" i="14"/>
  <c r="M84" i="14"/>
  <c r="H88" i="19"/>
  <c r="H87" i="19"/>
  <c r="BB89" i="14"/>
  <c r="BB90" i="14"/>
  <c r="BB116" i="14" s="1"/>
  <c r="BB91" i="14"/>
  <c r="BB117" i="14" s="1"/>
  <c r="CN85" i="14"/>
  <c r="CN84" i="14"/>
  <c r="AT88" i="19"/>
  <c r="AT91" i="19" s="1"/>
  <c r="AT117" i="19" s="1"/>
  <c r="AT87" i="19"/>
  <c r="CM88" i="14"/>
  <c r="CM87" i="14"/>
  <c r="N84" i="14" l="1"/>
  <c r="N87" i="14"/>
  <c r="M87" i="14"/>
  <c r="M88" i="14"/>
  <c r="M95" i="14" s="1"/>
  <c r="AT89" i="19"/>
  <c r="H91" i="19"/>
  <c r="H117" i="19" s="1"/>
  <c r="H95" i="19"/>
  <c r="H90" i="19"/>
  <c r="H116" i="19" s="1"/>
  <c r="H89" i="19"/>
  <c r="N88" i="14"/>
  <c r="CM89" i="14"/>
  <c r="CM90" i="14"/>
  <c r="CM116" i="14" s="1"/>
  <c r="CM91" i="14"/>
  <c r="CM117" i="14" s="1"/>
  <c r="F192" i="21"/>
  <c r="AA192" i="14"/>
  <c r="H188" i="21"/>
  <c r="AE188" i="14"/>
  <c r="H192" i="21"/>
  <c r="AE192" i="14"/>
  <c r="F188" i="21"/>
  <c r="AA188" i="14"/>
  <c r="CN88" i="14"/>
  <c r="CN87" i="14"/>
  <c r="F192" i="19"/>
  <c r="H188" i="19"/>
  <c r="H192" i="19"/>
  <c r="F188" i="19"/>
  <c r="Z192" i="21" l="1"/>
  <c r="AI192" i="21"/>
  <c r="AR192" i="21"/>
  <c r="BC192" i="21"/>
  <c r="AR188" i="21"/>
  <c r="BC188" i="21"/>
  <c r="AI188" i="21"/>
  <c r="Z188" i="21"/>
  <c r="AT192" i="21"/>
  <c r="BE192" i="21"/>
  <c r="AK192" i="21"/>
  <c r="AB192" i="21"/>
  <c r="BE188" i="21"/>
  <c r="AK188" i="21"/>
  <c r="AT188" i="21"/>
  <c r="AB188" i="21"/>
  <c r="BB188" i="19"/>
  <c r="BB189" i="19" s="1"/>
  <c r="AR188" i="19"/>
  <c r="AR189" i="19" s="1"/>
  <c r="Z188" i="19"/>
  <c r="Z189" i="19" s="1"/>
  <c r="AI188" i="19"/>
  <c r="AI189" i="19" s="1"/>
  <c r="AT188" i="19"/>
  <c r="AT189" i="19" s="1"/>
  <c r="BD188" i="19"/>
  <c r="BD189" i="19" s="1"/>
  <c r="AB188" i="19"/>
  <c r="AB189" i="19" s="1"/>
  <c r="AK188" i="19"/>
  <c r="AK189" i="19" s="1"/>
  <c r="AR192" i="19"/>
  <c r="AR193" i="19" s="1"/>
  <c r="BB192" i="19"/>
  <c r="BB193" i="19" s="1"/>
  <c r="AI192" i="19"/>
  <c r="AI193" i="19" s="1"/>
  <c r="Z192" i="19"/>
  <c r="Z193" i="19" s="1"/>
  <c r="BD192" i="19"/>
  <c r="BD193" i="19" s="1"/>
  <c r="AT192" i="19"/>
  <c r="AT193" i="19" s="1"/>
  <c r="AK192" i="19"/>
  <c r="AK193" i="19" s="1"/>
  <c r="AB192" i="19"/>
  <c r="AB193" i="19" s="1"/>
  <c r="M89" i="14"/>
  <c r="N90" i="14"/>
  <c r="N116" i="14" s="1"/>
  <c r="M90" i="14"/>
  <c r="M116" i="14" s="1"/>
  <c r="M91" i="14"/>
  <c r="M117" i="14" s="1"/>
  <c r="M103" i="14"/>
  <c r="T193" i="21"/>
  <c r="T26" i="21" s="1"/>
  <c r="T189" i="21"/>
  <c r="T23" i="21" s="1"/>
  <c r="H103" i="19"/>
  <c r="N89" i="14"/>
  <c r="T189" i="19"/>
  <c r="T23" i="19" s="1"/>
  <c r="T193" i="19"/>
  <c r="T26" i="19" s="1"/>
  <c r="N95" i="14"/>
  <c r="N91" i="14"/>
  <c r="N117" i="14" s="1"/>
  <c r="CN89" i="14"/>
  <c r="CN90" i="14"/>
  <c r="CN116" i="14" s="1"/>
  <c r="CN91" i="14"/>
  <c r="CN117" i="14" s="1"/>
  <c r="F189" i="19"/>
  <c r="F23" i="19" s="1"/>
  <c r="P188" i="19"/>
  <c r="P189" i="19" s="1"/>
  <c r="P23" i="19" s="1"/>
  <c r="R188" i="19"/>
  <c r="R189" i="19" s="1"/>
  <c r="R23" i="19" s="1"/>
  <c r="P192" i="19"/>
  <c r="P193" i="19" s="1"/>
  <c r="P26" i="19" s="1"/>
  <c r="F193" i="19"/>
  <c r="F26" i="19" s="1"/>
  <c r="R192" i="21"/>
  <c r="R188" i="21"/>
  <c r="H189" i="19"/>
  <c r="H23" i="19" s="1"/>
  <c r="R192" i="19"/>
  <c r="R193" i="19" s="1"/>
  <c r="R26" i="19" s="1"/>
  <c r="P188" i="21"/>
  <c r="P192" i="21"/>
  <c r="H193" i="19"/>
  <c r="H26" i="19" s="1"/>
  <c r="AE177" i="14"/>
  <c r="N103" i="14" l="1"/>
  <c r="G174" i="14"/>
  <c r="K174" i="14"/>
  <c r="K166" i="14"/>
  <c r="G166" i="14"/>
  <c r="G172" i="14" l="1"/>
  <c r="G171" i="14"/>
  <c r="K171" i="14"/>
  <c r="K172" i="14"/>
  <c r="G156" i="14"/>
  <c r="J156" i="14"/>
  <c r="K156" i="14"/>
  <c r="K153" i="14"/>
  <c r="G153" i="14"/>
  <c r="K148" i="14"/>
  <c r="G148" i="14"/>
  <c r="G143" i="14"/>
  <c r="G135" i="14"/>
  <c r="K135" i="14"/>
  <c r="K143" i="14"/>
  <c r="K125" i="14"/>
  <c r="G125" i="14"/>
  <c r="K123" i="14" l="1"/>
  <c r="G123" i="14"/>
  <c r="G146" i="14"/>
  <c r="F147" i="21" s="1"/>
  <c r="K146" i="14"/>
  <c r="K162" i="14"/>
  <c r="G162" i="14"/>
  <c r="DA123" i="14" l="1"/>
  <c r="DA122" i="14" s="1"/>
  <c r="DA130" i="14" s="1"/>
  <c r="CG123" i="14"/>
  <c r="CG122" i="14" s="1"/>
  <c r="CG130" i="14" s="1"/>
  <c r="BN123" i="14"/>
  <c r="BN122" i="14" s="1"/>
  <c r="BN130" i="14" s="1"/>
  <c r="AU123" i="14"/>
  <c r="AU122" i="14" s="1"/>
  <c r="AU130" i="14" s="1"/>
  <c r="CK123" i="14"/>
  <c r="CK122" i="14" s="1"/>
  <c r="CK130" i="14" s="1"/>
  <c r="AY123" i="14"/>
  <c r="AY122" i="14" s="1"/>
  <c r="AY130" i="14" s="1"/>
  <c r="BR123" i="14"/>
  <c r="BR122" i="14" s="1"/>
  <c r="BR130" i="14" s="1"/>
  <c r="DE123" i="14"/>
  <c r="DE122" i="14" s="1"/>
  <c r="DE130" i="14" s="1"/>
  <c r="AE123" i="14"/>
  <c r="H147" i="21"/>
  <c r="AA123" i="14"/>
  <c r="AA122" i="14" s="1"/>
  <c r="F147" i="19"/>
  <c r="H147" i="19"/>
  <c r="G122" i="14"/>
  <c r="AE153" i="14"/>
  <c r="AA153" i="14"/>
  <c r="AE143" i="14"/>
  <c r="AA143" i="14"/>
  <c r="AE107" i="14"/>
  <c r="AA107" i="14"/>
  <c r="AD107" i="14"/>
  <c r="AD143" i="14"/>
  <c r="AD153" i="14"/>
  <c r="AA135" i="14" l="1"/>
  <c r="AA146" i="14" s="1"/>
  <c r="AD156" i="14"/>
  <c r="AD162" i="14" s="1"/>
  <c r="AD125" i="14"/>
  <c r="AA156" i="14"/>
  <c r="AA162" i="14" s="1"/>
  <c r="AD135" i="14"/>
  <c r="AD146" i="14" s="1"/>
  <c r="AA125" i="14"/>
  <c r="AE125" i="14"/>
  <c r="AE156" i="14"/>
  <c r="AE162" i="14" s="1"/>
  <c r="AE135" i="14"/>
  <c r="AA130" i="14" l="1"/>
  <c r="AE146" i="14"/>
  <c r="AY7" i="14"/>
  <c r="CK7" i="14" s="1"/>
  <c r="AY10" i="14"/>
  <c r="CK10" i="14" s="1"/>
  <c r="AY15" i="14"/>
  <c r="CK15" i="14" s="1"/>
  <c r="AY17" i="14"/>
  <c r="CK17" i="14" s="1"/>
  <c r="AY24" i="14"/>
  <c r="AY32" i="14"/>
  <c r="CK32" i="14" s="1"/>
  <c r="AY41" i="14"/>
  <c r="CK41" i="14" s="1"/>
  <c r="AY43" i="14"/>
  <c r="CK43" i="14" s="1"/>
  <c r="AY48" i="14"/>
  <c r="CK48" i="14" s="1"/>
  <c r="AY51" i="14"/>
  <c r="CK51" i="14" s="1"/>
  <c r="AY58" i="14"/>
  <c r="CK58" i="14" s="1"/>
  <c r="AY65" i="14"/>
  <c r="CK65" i="14" s="1"/>
  <c r="AY71" i="14"/>
  <c r="CK71" i="14" s="1"/>
  <c r="AY73" i="14"/>
  <c r="CK73" i="14" s="1"/>
  <c r="AY76" i="14"/>
  <c r="CK76" i="14" s="1"/>
  <c r="AY78" i="14"/>
  <c r="CK78" i="14" s="1"/>
  <c r="AY80" i="14"/>
  <c r="CK80" i="14" s="1"/>
  <c r="AY86" i="14"/>
  <c r="CK86" i="14" s="1"/>
  <c r="DE191" i="14"/>
  <c r="DE193" i="14" s="1"/>
  <c r="AY9" i="14"/>
  <c r="CK9" i="14" s="1"/>
  <c r="AY14" i="14"/>
  <c r="CK14" i="14" s="1"/>
  <c r="AY16" i="14"/>
  <c r="CK16" i="14" s="1"/>
  <c r="AY21" i="14"/>
  <c r="AY30" i="14"/>
  <c r="CK30" i="14" s="1"/>
  <c r="AY33" i="14"/>
  <c r="CK33" i="14" s="1"/>
  <c r="AY42" i="14"/>
  <c r="CK42" i="14" s="1"/>
  <c r="AY46" i="14"/>
  <c r="CK46" i="14" s="1"/>
  <c r="AY50" i="14"/>
  <c r="CK50" i="14" s="1"/>
  <c r="AY56" i="14"/>
  <c r="CK56" i="14" s="1"/>
  <c r="AY59" i="14"/>
  <c r="CK59" i="14" s="1"/>
  <c r="AY66" i="14"/>
  <c r="CK66" i="14" s="1"/>
  <c r="AY72" i="14"/>
  <c r="CK72" i="14" s="1"/>
  <c r="AY75" i="14"/>
  <c r="CK75" i="14" s="1"/>
  <c r="AY77" i="14"/>
  <c r="CK77" i="14" s="1"/>
  <c r="AY79" i="14"/>
  <c r="CK79" i="14" s="1"/>
  <c r="AY83" i="14"/>
  <c r="CK83" i="14" s="1"/>
  <c r="DE187" i="14"/>
  <c r="DE189" i="14" s="1"/>
  <c r="AY191" i="14" l="1"/>
  <c r="AY193" i="14" s="1"/>
  <c r="CK24" i="14"/>
  <c r="AY187" i="14"/>
  <c r="AY189" i="14" s="1"/>
  <c r="CK21" i="14"/>
  <c r="BR191" i="14"/>
  <c r="BR193" i="14" s="1"/>
  <c r="AE81" i="14"/>
  <c r="DE81" i="14"/>
  <c r="BR81" i="14"/>
  <c r="AY81" i="14"/>
  <c r="AE27" i="14"/>
  <c r="R32" i="21"/>
  <c r="BE75" i="21"/>
  <c r="R65" i="21"/>
  <c r="R17" i="21"/>
  <c r="BE72" i="21"/>
  <c r="BE30" i="21"/>
  <c r="AK75" i="21"/>
  <c r="AZ79" i="14"/>
  <c r="CL79" i="14" s="1"/>
  <c r="AZ46" i="14"/>
  <c r="CL46" i="14" s="1"/>
  <c r="AY5" i="14"/>
  <c r="R56" i="21"/>
  <c r="R14" i="21"/>
  <c r="BE71" i="21"/>
  <c r="AK76" i="21"/>
  <c r="AK41" i="21"/>
  <c r="AZ80" i="14"/>
  <c r="CL80" i="14" s="1"/>
  <c r="AZ48" i="14"/>
  <c r="CL48" i="14" s="1"/>
  <c r="AZ7" i="14"/>
  <c r="CL7" i="14" s="1"/>
  <c r="BE77" i="21"/>
  <c r="BE33" i="21"/>
  <c r="R58" i="21"/>
  <c r="R15" i="21"/>
  <c r="BE66" i="21"/>
  <c r="AK72" i="21"/>
  <c r="AZ77" i="14"/>
  <c r="CL77" i="14" s="1"/>
  <c r="AZ42" i="14"/>
  <c r="R83" i="21"/>
  <c r="R50" i="21"/>
  <c r="R9" i="21"/>
  <c r="BE65" i="21"/>
  <c r="BE17" i="21"/>
  <c r="AK73" i="21"/>
  <c r="AK32" i="21"/>
  <c r="AZ78" i="14"/>
  <c r="CL78" i="14" s="1"/>
  <c r="AZ43" i="14"/>
  <c r="CL43" i="14" s="1"/>
  <c r="R76" i="21"/>
  <c r="R71" i="21"/>
  <c r="R86" i="21"/>
  <c r="R51" i="21"/>
  <c r="R10" i="21"/>
  <c r="BE59" i="21"/>
  <c r="BE16" i="21"/>
  <c r="AK66" i="21"/>
  <c r="AZ75" i="14"/>
  <c r="CL75" i="14" s="1"/>
  <c r="AZ33" i="14"/>
  <c r="R79" i="21"/>
  <c r="R46" i="21"/>
  <c r="AE5" i="14"/>
  <c r="BE58" i="21"/>
  <c r="BE15" i="21"/>
  <c r="AK71" i="21"/>
  <c r="AZ76" i="14"/>
  <c r="CL76" i="14" s="1"/>
  <c r="AZ41" i="14"/>
  <c r="R80" i="21"/>
  <c r="R48" i="21"/>
  <c r="R7" i="21"/>
  <c r="BE56" i="21"/>
  <c r="BE14" i="21"/>
  <c r="AK59" i="21"/>
  <c r="AK16" i="21"/>
  <c r="AZ72" i="14"/>
  <c r="CL72" i="14" s="1"/>
  <c r="AZ30" i="14"/>
  <c r="R77" i="21"/>
  <c r="R42" i="21"/>
  <c r="BE86" i="21"/>
  <c r="BE51" i="21"/>
  <c r="BE10" i="21"/>
  <c r="BR67" i="14"/>
  <c r="AK65" i="21"/>
  <c r="AK17" i="21"/>
  <c r="AZ73" i="14"/>
  <c r="CL73" i="14" s="1"/>
  <c r="AZ32" i="14"/>
  <c r="BE83" i="21"/>
  <c r="BE50" i="21"/>
  <c r="BE9" i="21"/>
  <c r="AK56" i="21"/>
  <c r="AK14" i="21"/>
  <c r="AZ66" i="14"/>
  <c r="CL66" i="14" s="1"/>
  <c r="AZ21" i="14"/>
  <c r="CL21" i="14" s="1"/>
  <c r="R75" i="21"/>
  <c r="R33" i="21"/>
  <c r="BE80" i="21"/>
  <c r="BE48" i="21"/>
  <c r="BE7" i="21"/>
  <c r="AK58" i="21"/>
  <c r="AK15" i="21"/>
  <c r="AZ71" i="14"/>
  <c r="CL71" i="14" s="1"/>
  <c r="AZ24" i="14"/>
  <c r="CL24" i="14" s="1"/>
  <c r="AK83" i="21"/>
  <c r="R43" i="21"/>
  <c r="BE79" i="21"/>
  <c r="BE46" i="21"/>
  <c r="DE5" i="14"/>
  <c r="AK50" i="21"/>
  <c r="AK9" i="21"/>
  <c r="AZ59" i="14"/>
  <c r="CL59" i="14" s="1"/>
  <c r="AZ16" i="14"/>
  <c r="CL16" i="14" s="1"/>
  <c r="R72" i="21"/>
  <c r="R30" i="21"/>
  <c r="BE78" i="21"/>
  <c r="BE43" i="21"/>
  <c r="AK86" i="21"/>
  <c r="AK51" i="21"/>
  <c r="AK10" i="21"/>
  <c r="AZ65" i="14"/>
  <c r="CL65" i="14" s="1"/>
  <c r="AZ17" i="14"/>
  <c r="R78" i="21"/>
  <c r="R73" i="21"/>
  <c r="BE42" i="21"/>
  <c r="AK79" i="21"/>
  <c r="AK46" i="21"/>
  <c r="BR5" i="14"/>
  <c r="AZ56" i="14"/>
  <c r="CL56" i="14" s="1"/>
  <c r="AZ14" i="14"/>
  <c r="R66" i="21"/>
  <c r="R21" i="21"/>
  <c r="BE76" i="21"/>
  <c r="BE41" i="21"/>
  <c r="AK80" i="21"/>
  <c r="AK48" i="21"/>
  <c r="AK7" i="21"/>
  <c r="AZ58" i="14"/>
  <c r="CL58" i="14" s="1"/>
  <c r="AZ15" i="14"/>
  <c r="CL15" i="14" s="1"/>
  <c r="R41" i="21"/>
  <c r="R24" i="21"/>
  <c r="AK77" i="21"/>
  <c r="AZ83" i="14"/>
  <c r="CL83" i="14" s="1"/>
  <c r="AZ50" i="14"/>
  <c r="CL50" i="14" s="1"/>
  <c r="AZ9" i="14"/>
  <c r="CL9" i="14" s="1"/>
  <c r="AE60" i="14"/>
  <c r="R59" i="21"/>
  <c r="R16" i="21"/>
  <c r="BE73" i="21"/>
  <c r="DE34" i="14"/>
  <c r="BE32" i="21"/>
  <c r="AK78" i="21"/>
  <c r="AK43" i="21"/>
  <c r="AZ86" i="14"/>
  <c r="CL86" i="14" s="1"/>
  <c r="AZ51" i="14"/>
  <c r="CL51" i="14" s="1"/>
  <c r="AZ10" i="14"/>
  <c r="CL10" i="14" s="1"/>
  <c r="K66" i="14"/>
  <c r="K33" i="14"/>
  <c r="K46" i="14"/>
  <c r="K24" i="14"/>
  <c r="DE25" i="14"/>
  <c r="K76" i="14"/>
  <c r="K14" i="14"/>
  <c r="K21" i="14"/>
  <c r="K75" i="14"/>
  <c r="K78" i="14"/>
  <c r="K7" i="14"/>
  <c r="K65" i="14"/>
  <c r="K17" i="14"/>
  <c r="K5" i="14"/>
  <c r="K6" i="14" s="1"/>
  <c r="K80" i="14"/>
  <c r="K86" i="14"/>
  <c r="K51" i="14"/>
  <c r="K10" i="14"/>
  <c r="K16" i="14"/>
  <c r="K30" i="14"/>
  <c r="K77" i="14"/>
  <c r="K42" i="14"/>
  <c r="K83" i="14"/>
  <c r="K73" i="14"/>
  <c r="BR34" i="14"/>
  <c r="K48" i="14"/>
  <c r="K56" i="14"/>
  <c r="K79" i="14"/>
  <c r="K43" i="14"/>
  <c r="K71" i="14"/>
  <c r="K58" i="14"/>
  <c r="K72" i="14"/>
  <c r="K59" i="14"/>
  <c r="K9" i="14"/>
  <c r="K15" i="14"/>
  <c r="K32" i="14"/>
  <c r="K50" i="14"/>
  <c r="AB41" i="21" l="1"/>
  <c r="CL41" i="14"/>
  <c r="AB33" i="21"/>
  <c r="CL33" i="14"/>
  <c r="AB14" i="21"/>
  <c r="AT14" i="21" s="1"/>
  <c r="CL14" i="14"/>
  <c r="AB17" i="21"/>
  <c r="AT17" i="21" s="1"/>
  <c r="CL17" i="14"/>
  <c r="AB42" i="21"/>
  <c r="CL42" i="14"/>
  <c r="AB32" i="21"/>
  <c r="AT32" i="21" s="1"/>
  <c r="CL32" i="14"/>
  <c r="AB30" i="21"/>
  <c r="CL30" i="14"/>
  <c r="BE24" i="21"/>
  <c r="BE191" i="21" s="1"/>
  <c r="BE193" i="21" s="1"/>
  <c r="DF191" i="14"/>
  <c r="DF193" i="14" s="1"/>
  <c r="CK187" i="14"/>
  <c r="CK189" i="14" s="1"/>
  <c r="BR187" i="14"/>
  <c r="BR189" i="14" s="1"/>
  <c r="AB24" i="21"/>
  <c r="AB191" i="21" s="1"/>
  <c r="AB193" i="21" s="1"/>
  <c r="AZ191" i="14"/>
  <c r="AZ193" i="14" s="1"/>
  <c r="AB21" i="21"/>
  <c r="AB187" i="21" s="1"/>
  <c r="AB189" i="21" s="1"/>
  <c r="AZ187" i="14"/>
  <c r="AZ189" i="14" s="1"/>
  <c r="BE21" i="21"/>
  <c r="BE187" i="21" s="1"/>
  <c r="BE189" i="21" s="1"/>
  <c r="DF187" i="14"/>
  <c r="DF189" i="14" s="1"/>
  <c r="AT41" i="21"/>
  <c r="AB7" i="21"/>
  <c r="AT7" i="21" s="1"/>
  <c r="AK33" i="21"/>
  <c r="AT33" i="21" s="1"/>
  <c r="AB15" i="21"/>
  <c r="AT15" i="21" s="1"/>
  <c r="AB16" i="21"/>
  <c r="AT16" i="21" s="1"/>
  <c r="AB10" i="21"/>
  <c r="AT10" i="21" s="1"/>
  <c r="AB9" i="21"/>
  <c r="AT9" i="21" s="1"/>
  <c r="CK191" i="14"/>
  <c r="CK193" i="14" s="1"/>
  <c r="AK30" i="21"/>
  <c r="AK42" i="21"/>
  <c r="AB43" i="21"/>
  <c r="AT43" i="21" s="1"/>
  <c r="AB71" i="21"/>
  <c r="AT71" i="21" s="1"/>
  <c r="AB83" i="21"/>
  <c r="AT83" i="21" s="1"/>
  <c r="AB78" i="21"/>
  <c r="AT78" i="21" s="1"/>
  <c r="AB80" i="21"/>
  <c r="AT80" i="21" s="1"/>
  <c r="AB50" i="21"/>
  <c r="AT50" i="21" s="1"/>
  <c r="AB66" i="21"/>
  <c r="AT66" i="21" s="1"/>
  <c r="AB76" i="21"/>
  <c r="AT76" i="21" s="1"/>
  <c r="AB77" i="21"/>
  <c r="AT77" i="21" s="1"/>
  <c r="AB46" i="21"/>
  <c r="AT46" i="21" s="1"/>
  <c r="AB58" i="21"/>
  <c r="AT58" i="21" s="1"/>
  <c r="AB73" i="21"/>
  <c r="AT73" i="21" s="1"/>
  <c r="AB75" i="21"/>
  <c r="AT75" i="21" s="1"/>
  <c r="AB59" i="21"/>
  <c r="AT59" i="21" s="1"/>
  <c r="AB51" i="21"/>
  <c r="AT51" i="21" s="1"/>
  <c r="AB56" i="21"/>
  <c r="AT56" i="21" s="1"/>
  <c r="AB72" i="21"/>
  <c r="AT72" i="21" s="1"/>
  <c r="AB79" i="21"/>
  <c r="AT79" i="21" s="1"/>
  <c r="AB48" i="21"/>
  <c r="AT48" i="21" s="1"/>
  <c r="AB86" i="21"/>
  <c r="AT86" i="21" s="1"/>
  <c r="AB65" i="21"/>
  <c r="AT65" i="21" s="1"/>
  <c r="K81" i="14"/>
  <c r="AZ81" i="14"/>
  <c r="CK81" i="14"/>
  <c r="DE22" i="14"/>
  <c r="DE27" i="14"/>
  <c r="DE28" i="14" s="1"/>
  <c r="K41" i="14"/>
  <c r="DE6" i="14"/>
  <c r="AE6" i="14"/>
  <c r="BR63" i="14"/>
  <c r="DE60" i="14"/>
  <c r="BR27" i="14"/>
  <c r="AY27" i="14"/>
  <c r="BR18" i="14"/>
  <c r="DE67" i="14"/>
  <c r="DE11" i="14"/>
  <c r="DE12" i="14" s="1"/>
  <c r="BR60" i="14"/>
  <c r="BR61" i="14" s="1"/>
  <c r="DE18" i="14"/>
  <c r="BR44" i="14"/>
  <c r="BR53" i="14" s="1"/>
  <c r="AY63" i="14"/>
  <c r="BR11" i="14"/>
  <c r="AY34" i="14"/>
  <c r="CK63" i="14"/>
  <c r="AE18" i="14"/>
  <c r="L66" i="14"/>
  <c r="L73" i="14"/>
  <c r="DF5" i="14"/>
  <c r="BE5" i="21" s="1"/>
  <c r="L33" i="14"/>
  <c r="L48" i="14"/>
  <c r="AY11" i="14"/>
  <c r="L80" i="14"/>
  <c r="L46" i="14"/>
  <c r="L71" i="14"/>
  <c r="L9" i="14"/>
  <c r="L65" i="14"/>
  <c r="AZ5" i="14"/>
  <c r="AB5" i="21" s="1"/>
  <c r="L17" i="14"/>
  <c r="CK5" i="14"/>
  <c r="L78" i="14"/>
  <c r="L30" i="14"/>
  <c r="L75" i="14"/>
  <c r="L42" i="14"/>
  <c r="L86" i="14"/>
  <c r="L58" i="14"/>
  <c r="L16" i="14"/>
  <c r="L24" i="14"/>
  <c r="L79" i="14"/>
  <c r="L10" i="14"/>
  <c r="L76" i="14"/>
  <c r="L50" i="14"/>
  <c r="L14" i="14"/>
  <c r="AF5" i="14"/>
  <c r="L72" i="14"/>
  <c r="L77" i="14"/>
  <c r="L59" i="14"/>
  <c r="L41" i="14"/>
  <c r="L7" i="14"/>
  <c r="L51" i="14"/>
  <c r="L83" i="14"/>
  <c r="L15" i="14"/>
  <c r="L56" i="14"/>
  <c r="L32" i="14"/>
  <c r="AY67" i="14"/>
  <c r="L21" i="14"/>
  <c r="BS5" i="14"/>
  <c r="L43" i="14"/>
  <c r="AE67" i="14"/>
  <c r="AE34" i="14"/>
  <c r="AE187" i="14"/>
  <c r="AE189" i="14" s="1"/>
  <c r="AE23" i="14" s="1"/>
  <c r="AE22" i="14"/>
  <c r="AE28" i="14"/>
  <c r="K67" i="14"/>
  <c r="AE8" i="14"/>
  <c r="AE11" i="14"/>
  <c r="K60" i="14"/>
  <c r="AY44" i="14"/>
  <c r="AY52" i="14" s="1"/>
  <c r="K18" i="14"/>
  <c r="AE44" i="14"/>
  <c r="AE53" i="14" s="1"/>
  <c r="AE62" i="14" s="1"/>
  <c r="AY18" i="14"/>
  <c r="K11" i="14"/>
  <c r="K34" i="14"/>
  <c r="DE44" i="14"/>
  <c r="DE53" i="14" s="1"/>
  <c r="DE63" i="14"/>
  <c r="CK67" i="14"/>
  <c r="AE191" i="14"/>
  <c r="AE193" i="14" s="1"/>
  <c r="AE26" i="14" s="1"/>
  <c r="AE25" i="14"/>
  <c r="AY60" i="14"/>
  <c r="K191" i="14"/>
  <c r="K193" i="14" s="1"/>
  <c r="K26" i="14" s="1"/>
  <c r="K25" i="14"/>
  <c r="AT30" i="21" l="1"/>
  <c r="AT42" i="21"/>
  <c r="CL187" i="14"/>
  <c r="CL189" i="14" s="1"/>
  <c r="BS187" i="14"/>
  <c r="BS189" i="14" s="1"/>
  <c r="CL191" i="14"/>
  <c r="CL193" i="14" s="1"/>
  <c r="BS191" i="14"/>
  <c r="BS193" i="14" s="1"/>
  <c r="AK21" i="21"/>
  <c r="AK24" i="21"/>
  <c r="AK191" i="21" s="1"/>
  <c r="AK193" i="21" s="1"/>
  <c r="BS81" i="14"/>
  <c r="AB81" i="21"/>
  <c r="AF81" i="14"/>
  <c r="BE81" i="21"/>
  <c r="DF81" i="14"/>
  <c r="L81" i="14"/>
  <c r="DF34" i="14"/>
  <c r="CL18" i="14"/>
  <c r="DF60" i="14"/>
  <c r="CL34" i="14"/>
  <c r="AF27" i="14"/>
  <c r="AF28" i="14" s="1"/>
  <c r="AB60" i="21"/>
  <c r="H33" i="21"/>
  <c r="H32" i="21"/>
  <c r="H58" i="21"/>
  <c r="H76" i="21"/>
  <c r="H56" i="21"/>
  <c r="H83" i="21"/>
  <c r="H43" i="21"/>
  <c r="H15" i="21"/>
  <c r="H86" i="21"/>
  <c r="H42" i="21"/>
  <c r="H65" i="21"/>
  <c r="H30" i="21"/>
  <c r="H7" i="21"/>
  <c r="H14" i="21"/>
  <c r="H79" i="21"/>
  <c r="H16" i="21"/>
  <c r="H73" i="21"/>
  <c r="H72" i="21"/>
  <c r="H21" i="21"/>
  <c r="H75" i="21"/>
  <c r="H46" i="21"/>
  <c r="H66" i="21"/>
  <c r="H50" i="21"/>
  <c r="H9" i="21"/>
  <c r="H48" i="21"/>
  <c r="H77" i="21"/>
  <c r="H59" i="21"/>
  <c r="H51" i="21"/>
  <c r="H17" i="21"/>
  <c r="H10" i="21"/>
  <c r="H24" i="21"/>
  <c r="H78" i="21"/>
  <c r="H71" i="21"/>
  <c r="BE34" i="21"/>
  <c r="AE12" i="14"/>
  <c r="H80" i="21"/>
  <c r="R187" i="21"/>
  <c r="R189" i="21" s="1"/>
  <c r="R23" i="21" s="1"/>
  <c r="R22" i="21"/>
  <c r="R34" i="21"/>
  <c r="R44" i="21"/>
  <c r="R53" i="21" s="1"/>
  <c r="R60" i="21"/>
  <c r="R67" i="21"/>
  <c r="R18" i="21"/>
  <c r="R25" i="21"/>
  <c r="R191" i="21"/>
  <c r="R193" i="21" s="1"/>
  <c r="R26" i="21" s="1"/>
  <c r="R27" i="21"/>
  <c r="K12" i="14"/>
  <c r="DF67" i="14"/>
  <c r="BS11" i="14"/>
  <c r="BS67" i="14"/>
  <c r="BS18" i="14"/>
  <c r="BE60" i="21"/>
  <c r="DF18" i="14"/>
  <c r="BE67" i="21"/>
  <c r="BE44" i="21"/>
  <c r="BE53" i="21" s="1"/>
  <c r="BE63" i="21"/>
  <c r="BS60" i="14"/>
  <c r="BS61" i="14" s="1"/>
  <c r="DF25" i="14"/>
  <c r="BE18" i="21"/>
  <c r="BS34" i="14"/>
  <c r="CL60" i="14"/>
  <c r="DE62" i="14"/>
  <c r="DE35" i="14"/>
  <c r="DE36" i="14" s="1"/>
  <c r="AB11" i="21"/>
  <c r="AY35" i="14"/>
  <c r="AE35" i="14"/>
  <c r="BR35" i="14"/>
  <c r="BE11" i="21"/>
  <c r="BE12" i="21" s="1"/>
  <c r="BE6" i="21"/>
  <c r="AB44" i="21"/>
  <c r="AB63" i="21"/>
  <c r="H41" i="21"/>
  <c r="AB18" i="21"/>
  <c r="K169" i="14"/>
  <c r="AB34" i="21"/>
  <c r="AB67" i="21"/>
  <c r="AB27" i="21"/>
  <c r="R5" i="21"/>
  <c r="AK5" i="21"/>
  <c r="BR62" i="14"/>
  <c r="CK18" i="14"/>
  <c r="CK34" i="14"/>
  <c r="CK44" i="14"/>
  <c r="CK45" i="14" s="1"/>
  <c r="AF34" i="14"/>
  <c r="AF8" i="14"/>
  <c r="L18" i="14"/>
  <c r="AZ18" i="14"/>
  <c r="DF22" i="14"/>
  <c r="DF27" i="14"/>
  <c r="DF28" i="14" s="1"/>
  <c r="AF60" i="14"/>
  <c r="L8" i="14"/>
  <c r="AF18" i="14"/>
  <c r="AF25" i="14"/>
  <c r="AF191" i="14"/>
  <c r="AF193" i="14" s="1"/>
  <c r="AF26" i="14" s="1"/>
  <c r="DF63" i="14"/>
  <c r="DF44" i="14"/>
  <c r="DF53" i="14" s="1"/>
  <c r="L67" i="14"/>
  <c r="CK11" i="14"/>
  <c r="L34" i="14"/>
  <c r="L191" i="14"/>
  <c r="L193" i="14" s="1"/>
  <c r="L26" i="14" s="1"/>
  <c r="L25" i="14"/>
  <c r="AZ11" i="14"/>
  <c r="CL5" i="14"/>
  <c r="CL11" i="14" s="1"/>
  <c r="CK27" i="14"/>
  <c r="AF22" i="14"/>
  <c r="AF187" i="14"/>
  <c r="AF189" i="14" s="1"/>
  <c r="AF23" i="14" s="1"/>
  <c r="L5" i="14"/>
  <c r="BS63" i="14"/>
  <c r="BS44" i="14"/>
  <c r="BS53" i="14" s="1"/>
  <c r="AZ44" i="14"/>
  <c r="AZ63" i="14"/>
  <c r="DF6" i="14"/>
  <c r="DF11" i="14"/>
  <c r="DF12" i="14" s="1"/>
  <c r="AF67" i="14"/>
  <c r="AF44" i="14"/>
  <c r="AF53" i="14" s="1"/>
  <c r="CL67" i="14"/>
  <c r="AZ67" i="14"/>
  <c r="AZ34" i="14"/>
  <c r="AZ27" i="14"/>
  <c r="AF11" i="14"/>
  <c r="AF6" i="14"/>
  <c r="L60" i="14"/>
  <c r="AZ60" i="14"/>
  <c r="BS27" i="14"/>
  <c r="L169" i="14"/>
  <c r="AY45" i="14"/>
  <c r="AY47" i="14"/>
  <c r="AY53" i="14"/>
  <c r="AY62" i="14" s="1"/>
  <c r="AY49" i="14"/>
  <c r="K22" i="14"/>
  <c r="K187" i="14"/>
  <c r="K189" i="14" s="1"/>
  <c r="K23" i="14" s="1"/>
  <c r="K27" i="14"/>
  <c r="K63" i="14"/>
  <c r="K44" i="14"/>
  <c r="CK60" i="14"/>
  <c r="AT24" i="21" l="1"/>
  <c r="AT191" i="21" s="1"/>
  <c r="AT193" i="21" s="1"/>
  <c r="AK187" i="21"/>
  <c r="AK189" i="21" s="1"/>
  <c r="AT21" i="21"/>
  <c r="AT187" i="21" s="1"/>
  <c r="AT189" i="21" s="1"/>
  <c r="DF62" i="14"/>
  <c r="AK67" i="21"/>
  <c r="AK81" i="21"/>
  <c r="R81" i="21"/>
  <c r="H81" i="21"/>
  <c r="CL81" i="14"/>
  <c r="R8" i="21"/>
  <c r="R28" i="21"/>
  <c r="H8" i="21"/>
  <c r="H60" i="21"/>
  <c r="H22" i="21"/>
  <c r="H25" i="21"/>
  <c r="H187" i="21"/>
  <c r="H189" i="21" s="1"/>
  <c r="H23" i="21" s="1"/>
  <c r="H27" i="21"/>
  <c r="H191" i="21"/>
  <c r="H193" i="21" s="1"/>
  <c r="H26" i="21" s="1"/>
  <c r="H67" i="21"/>
  <c r="H18" i="21"/>
  <c r="H34" i="21"/>
  <c r="H5" i="21"/>
  <c r="AF12" i="14"/>
  <c r="AK60" i="21"/>
  <c r="AK61" i="21" s="1"/>
  <c r="AT60" i="21"/>
  <c r="AE36" i="14"/>
  <c r="AE37" i="14" s="1"/>
  <c r="R62" i="21"/>
  <c r="K28" i="14"/>
  <c r="BS35" i="14"/>
  <c r="BE25" i="21"/>
  <c r="BE27" i="21"/>
  <c r="BE28" i="21" s="1"/>
  <c r="BE22" i="21"/>
  <c r="AK27" i="21"/>
  <c r="BS62" i="14"/>
  <c r="BE62" i="21"/>
  <c r="DE82" i="14"/>
  <c r="DE85" i="14" s="1"/>
  <c r="AK34" i="21"/>
  <c r="AK44" i="21"/>
  <c r="AK53" i="21" s="1"/>
  <c r="AK63" i="21"/>
  <c r="AK18" i="21"/>
  <c r="DE69" i="14"/>
  <c r="AZ35" i="14"/>
  <c r="DF35" i="14"/>
  <c r="AF35" i="14"/>
  <c r="CK35" i="14"/>
  <c r="K35" i="14"/>
  <c r="AB35" i="21"/>
  <c r="AT18" i="21"/>
  <c r="AT5" i="21"/>
  <c r="AK11" i="21"/>
  <c r="AB52" i="21"/>
  <c r="AB45" i="21"/>
  <c r="AB53" i="21"/>
  <c r="AB62" i="21" s="1"/>
  <c r="AB49" i="21"/>
  <c r="AT63" i="21"/>
  <c r="AT44" i="21"/>
  <c r="R11" i="21"/>
  <c r="R6" i="21"/>
  <c r="AB47" i="21"/>
  <c r="H44" i="21"/>
  <c r="H169" i="21"/>
  <c r="H63" i="21"/>
  <c r="CK53" i="14"/>
  <c r="BR69" i="14"/>
  <c r="BR74" i="14" s="1"/>
  <c r="BR82" i="14"/>
  <c r="BR84" i="14" s="1"/>
  <c r="CK47" i="14"/>
  <c r="CK49" i="14"/>
  <c r="AF62" i="14"/>
  <c r="AZ49" i="14"/>
  <c r="AZ45" i="14"/>
  <c r="AZ53" i="14"/>
  <c r="AZ62" i="14" s="1"/>
  <c r="AZ52" i="14"/>
  <c r="L187" i="14"/>
  <c r="L189" i="14" s="1"/>
  <c r="L23" i="14" s="1"/>
  <c r="L22" i="14"/>
  <c r="L27" i="14"/>
  <c r="AZ47" i="14"/>
  <c r="CL44" i="14"/>
  <c r="CL63" i="14"/>
  <c r="L11" i="14"/>
  <c r="L6" i="14"/>
  <c r="L44" i="14"/>
  <c r="L63" i="14"/>
  <c r="CL27" i="14"/>
  <c r="CL35" i="14" s="1"/>
  <c r="AE82" i="14"/>
  <c r="AE85" i="14" s="1"/>
  <c r="AE92" i="14" s="1"/>
  <c r="AY82" i="14"/>
  <c r="AY84" i="14" s="1"/>
  <c r="AY69" i="14"/>
  <c r="AY74" i="14" s="1"/>
  <c r="AE69" i="14"/>
  <c r="AY54" i="14"/>
  <c r="K45" i="14"/>
  <c r="K53" i="14"/>
  <c r="K47" i="14"/>
  <c r="K49" i="14"/>
  <c r="DE37" i="14"/>
  <c r="AT81" i="21" l="1"/>
  <c r="R35" i="21"/>
  <c r="AT47" i="21"/>
  <c r="AE74" i="14"/>
  <c r="H28" i="21"/>
  <c r="H6" i="21"/>
  <c r="H11" i="21"/>
  <c r="AK62" i="21"/>
  <c r="CK62" i="14"/>
  <c r="BS69" i="14"/>
  <c r="BS74" i="14" s="1"/>
  <c r="K62" i="14"/>
  <c r="AT27" i="21"/>
  <c r="DE84" i="14"/>
  <c r="BS82" i="14"/>
  <c r="BS85" i="14" s="1"/>
  <c r="BE35" i="21"/>
  <c r="BE69" i="21" s="1"/>
  <c r="BR85" i="14"/>
  <c r="BR87" i="14" s="1"/>
  <c r="AT67" i="21"/>
  <c r="AK35" i="21"/>
  <c r="AT34" i="21"/>
  <c r="L35" i="14"/>
  <c r="H45" i="21"/>
  <c r="H53" i="21"/>
  <c r="H47" i="21"/>
  <c r="H49" i="21"/>
  <c r="AB69" i="21"/>
  <c r="AB74" i="21" s="1"/>
  <c r="AB82" i="21"/>
  <c r="R12" i="21"/>
  <c r="AT45" i="21"/>
  <c r="AT53" i="21"/>
  <c r="AT49" i="21"/>
  <c r="AB54" i="21"/>
  <c r="AT11" i="21"/>
  <c r="AZ54" i="14"/>
  <c r="L45" i="14"/>
  <c r="L53" i="14"/>
  <c r="L49" i="14"/>
  <c r="L28" i="14"/>
  <c r="DF36" i="14"/>
  <c r="DF69" i="14"/>
  <c r="DF82" i="14"/>
  <c r="L12" i="14"/>
  <c r="AZ82" i="14"/>
  <c r="AZ69" i="14"/>
  <c r="AZ74" i="14" s="1"/>
  <c r="CL47" i="14"/>
  <c r="CL53" i="14"/>
  <c r="CL45" i="14"/>
  <c r="CL49" i="14"/>
  <c r="AF36" i="14"/>
  <c r="AF37" i="14" s="1"/>
  <c r="AF69" i="14"/>
  <c r="AF82" i="14"/>
  <c r="L47" i="14"/>
  <c r="AE84" i="14"/>
  <c r="AY85" i="14"/>
  <c r="AY88" i="14" s="1"/>
  <c r="DE88" i="14"/>
  <c r="DE89" i="14" s="1"/>
  <c r="DE87" i="14"/>
  <c r="K36" i="14"/>
  <c r="AE88" i="14"/>
  <c r="AE87" i="14"/>
  <c r="AF74" i="14" l="1"/>
  <c r="H35" i="21"/>
  <c r="H12" i="21"/>
  <c r="CL62" i="14"/>
  <c r="CL82" i="14" s="1"/>
  <c r="CL84" i="14" s="1"/>
  <c r="CK82" i="14"/>
  <c r="CK85" i="14" s="1"/>
  <c r="CK88" i="14" s="1"/>
  <c r="K37" i="14"/>
  <c r="CK69" i="14"/>
  <c r="CK74" i="14" s="1"/>
  <c r="AK69" i="21"/>
  <c r="AK74" i="21" s="1"/>
  <c r="K82" i="14"/>
  <c r="K69" i="14"/>
  <c r="BS84" i="14"/>
  <c r="BE36" i="21"/>
  <c r="BE82" i="21"/>
  <c r="BR88" i="14"/>
  <c r="BR90" i="14" s="1"/>
  <c r="BR116" i="14" s="1"/>
  <c r="AK82" i="21"/>
  <c r="AK84" i="21" s="1"/>
  <c r="AT35" i="21"/>
  <c r="H62" i="21"/>
  <c r="AT62" i="21"/>
  <c r="AB84" i="21"/>
  <c r="AB85" i="21"/>
  <c r="R36" i="21"/>
  <c r="R82" i="21"/>
  <c r="R69" i="21"/>
  <c r="AZ85" i="14"/>
  <c r="AZ84" i="14"/>
  <c r="L36" i="14"/>
  <c r="DF85" i="14"/>
  <c r="DF84" i="14"/>
  <c r="L62" i="14"/>
  <c r="BS88" i="14"/>
  <c r="BS87" i="14"/>
  <c r="DF38" i="14"/>
  <c r="DF37" i="14"/>
  <c r="AF85" i="14"/>
  <c r="AF92" i="14" s="1"/>
  <c r="AF84" i="14"/>
  <c r="AY87" i="14"/>
  <c r="AY89" i="14"/>
  <c r="AY91" i="14"/>
  <c r="AY117" i="14" s="1"/>
  <c r="AY90" i="14"/>
  <c r="AY116" i="14" s="1"/>
  <c r="AE89" i="14"/>
  <c r="AE91" i="14"/>
  <c r="AE117" i="14" s="1"/>
  <c r="AB5" i="14"/>
  <c r="DA191" i="14"/>
  <c r="DA193" i="14" s="1"/>
  <c r="DA187" i="14"/>
  <c r="DA189" i="14" s="1"/>
  <c r="BN187" i="14" l="1"/>
  <c r="BN189" i="14" s="1"/>
  <c r="BN191" i="14"/>
  <c r="BN193" i="14" s="1"/>
  <c r="DA81" i="14"/>
  <c r="BN81" i="14"/>
  <c r="AA81" i="14"/>
  <c r="AA27" i="14"/>
  <c r="K74" i="14"/>
  <c r="H36" i="21"/>
  <c r="H37" i="21" s="1"/>
  <c r="H82" i="21"/>
  <c r="CK87" i="14"/>
  <c r="CL69" i="14"/>
  <c r="G59" i="14"/>
  <c r="G16" i="14"/>
  <c r="CK84" i="14"/>
  <c r="L82" i="14"/>
  <c r="K84" i="14"/>
  <c r="K85" i="14"/>
  <c r="K87" i="14" s="1"/>
  <c r="AT69" i="21"/>
  <c r="BR89" i="14"/>
  <c r="BR91" i="14"/>
  <c r="BR117" i="14" s="1"/>
  <c r="BE37" i="21"/>
  <c r="BE84" i="21"/>
  <c r="BE85" i="21"/>
  <c r="AK85" i="21"/>
  <c r="AK88" i="21" s="1"/>
  <c r="BS89" i="14"/>
  <c r="BS91" i="14"/>
  <c r="BS117" i="14" s="1"/>
  <c r="BS90" i="14"/>
  <c r="BS116" i="14" s="1"/>
  <c r="CK89" i="14"/>
  <c r="CK91" i="14"/>
  <c r="CK117" i="14" s="1"/>
  <c r="CK90" i="14"/>
  <c r="CK116" i="14" s="1"/>
  <c r="H69" i="21"/>
  <c r="G14" i="14"/>
  <c r="G56" i="14"/>
  <c r="AT82" i="21"/>
  <c r="R74" i="21"/>
  <c r="R85" i="21"/>
  <c r="R92" i="21" s="1"/>
  <c r="R84" i="21"/>
  <c r="AB88" i="21"/>
  <c r="AB87" i="21"/>
  <c r="R37" i="21"/>
  <c r="CL85" i="14"/>
  <c r="CL88" i="14" s="1"/>
  <c r="L69" i="14"/>
  <c r="L37" i="14"/>
  <c r="AU73" i="14"/>
  <c r="CG73" i="14" s="1"/>
  <c r="AV73" i="14"/>
  <c r="CH73" i="14" s="1"/>
  <c r="AU66" i="14"/>
  <c r="CG66" i="14" s="1"/>
  <c r="AV66" i="14"/>
  <c r="CH66" i="14" s="1"/>
  <c r="AU21" i="14"/>
  <c r="AU41" i="14"/>
  <c r="CG41" i="14" s="1"/>
  <c r="DB191" i="14"/>
  <c r="DB193" i="14" s="1"/>
  <c r="AU71" i="14"/>
  <c r="CG71" i="14" s="1"/>
  <c r="AU24" i="14"/>
  <c r="AV24" i="14"/>
  <c r="AU59" i="14"/>
  <c r="CG59" i="14" s="1"/>
  <c r="AV59" i="14"/>
  <c r="CH59" i="14" s="1"/>
  <c r="AU16" i="14"/>
  <c r="CG16" i="14" s="1"/>
  <c r="AV16" i="14"/>
  <c r="CH16" i="14" s="1"/>
  <c r="AU32" i="14"/>
  <c r="CG32" i="14" s="1"/>
  <c r="DB187" i="14"/>
  <c r="DB189" i="14" s="1"/>
  <c r="AU65" i="14"/>
  <c r="CG65" i="14" s="1"/>
  <c r="AU17" i="14"/>
  <c r="CG17" i="14" s="1"/>
  <c r="AV17" i="14"/>
  <c r="CH17" i="14" s="1"/>
  <c r="AU56" i="14"/>
  <c r="CG56" i="14" s="1"/>
  <c r="AV56" i="14"/>
  <c r="CH56" i="14" s="1"/>
  <c r="AU14" i="14"/>
  <c r="CG14" i="14" s="1"/>
  <c r="AU30" i="14"/>
  <c r="CG30" i="14" s="1"/>
  <c r="AU58" i="14"/>
  <c r="CG58" i="14" s="1"/>
  <c r="AU83" i="14"/>
  <c r="CG83" i="14" s="1"/>
  <c r="AV83" i="14"/>
  <c r="CH83" i="14" s="1"/>
  <c r="AU50" i="14"/>
  <c r="CG50" i="14" s="1"/>
  <c r="AV50" i="14"/>
  <c r="CH50" i="14" s="1"/>
  <c r="AU9" i="14"/>
  <c r="CG9" i="14" s="1"/>
  <c r="AV9" i="14"/>
  <c r="CH9" i="14" s="1"/>
  <c r="DF88" i="14"/>
  <c r="DF89" i="14" s="1"/>
  <c r="DF87" i="14"/>
  <c r="AU72" i="14"/>
  <c r="CG72" i="14" s="1"/>
  <c r="AV72" i="14"/>
  <c r="CH72" i="14" s="1"/>
  <c r="AU86" i="14"/>
  <c r="CG86" i="14" s="1"/>
  <c r="AV86" i="14"/>
  <c r="CH86" i="14" s="1"/>
  <c r="AU51" i="14"/>
  <c r="CG51" i="14" s="1"/>
  <c r="AV51" i="14"/>
  <c r="CH51" i="14" s="1"/>
  <c r="AU10" i="14"/>
  <c r="CG10" i="14" s="1"/>
  <c r="AV10" i="14"/>
  <c r="CH10" i="14" s="1"/>
  <c r="DB5" i="14"/>
  <c r="BN5" i="14"/>
  <c r="BO5" i="14"/>
  <c r="AU79" i="14"/>
  <c r="CG79" i="14" s="1"/>
  <c r="AV79" i="14"/>
  <c r="CH79" i="14" s="1"/>
  <c r="AU46" i="14"/>
  <c r="CG46" i="14" s="1"/>
  <c r="AU5" i="14"/>
  <c r="AZ88" i="14"/>
  <c r="AZ87" i="14"/>
  <c r="AU76" i="14"/>
  <c r="CG76" i="14" s="1"/>
  <c r="AV76" i="14"/>
  <c r="CH76" i="14" s="1"/>
  <c r="AU15" i="14"/>
  <c r="CG15" i="14" s="1"/>
  <c r="AV15" i="14"/>
  <c r="CH15" i="14" s="1"/>
  <c r="AU80" i="14"/>
  <c r="CG80" i="14" s="1"/>
  <c r="AU48" i="14"/>
  <c r="CG48" i="14" s="1"/>
  <c r="AV48" i="14"/>
  <c r="CH48" i="14" s="1"/>
  <c r="AU7" i="14"/>
  <c r="CG7" i="14" s="1"/>
  <c r="AV7" i="14"/>
  <c r="CH7" i="14" s="1"/>
  <c r="AU77" i="14"/>
  <c r="CG77" i="14" s="1"/>
  <c r="AV77" i="14"/>
  <c r="CH77" i="14" s="1"/>
  <c r="AU42" i="14"/>
  <c r="CG42" i="14" s="1"/>
  <c r="AV42" i="14"/>
  <c r="CH42" i="14" s="1"/>
  <c r="AB6" i="14"/>
  <c r="AU78" i="14"/>
  <c r="CG78" i="14" s="1"/>
  <c r="AU43" i="14"/>
  <c r="CG43" i="14" s="1"/>
  <c r="AV43" i="14"/>
  <c r="CH43" i="14" s="1"/>
  <c r="DA60" i="14"/>
  <c r="AU75" i="14"/>
  <c r="CG75" i="14" s="1"/>
  <c r="AV75" i="14"/>
  <c r="CH75" i="14" s="1"/>
  <c r="AU33" i="14"/>
  <c r="CG33" i="14" s="1"/>
  <c r="AV33" i="14"/>
  <c r="CH33" i="14" s="1"/>
  <c r="AF88" i="14"/>
  <c r="AF87" i="14"/>
  <c r="G66" i="14"/>
  <c r="G21" i="14"/>
  <c r="BN67" i="14"/>
  <c r="G71" i="14"/>
  <c r="G65" i="14"/>
  <c r="G73" i="14"/>
  <c r="DA27" i="14"/>
  <c r="DA28" i="14" s="1"/>
  <c r="AA187" i="14"/>
  <c r="AA189" i="14" s="1"/>
  <c r="AA23" i="14" s="1"/>
  <c r="DA18" i="14"/>
  <c r="G33" i="14"/>
  <c r="G41" i="14"/>
  <c r="G75" i="14"/>
  <c r="G17" i="14"/>
  <c r="G86" i="14"/>
  <c r="G51" i="14"/>
  <c r="G10" i="14"/>
  <c r="DA25" i="14"/>
  <c r="G72" i="14"/>
  <c r="G48" i="14"/>
  <c r="G7" i="14"/>
  <c r="DA5" i="14"/>
  <c r="G83" i="14"/>
  <c r="G50" i="14"/>
  <c r="G9" i="14"/>
  <c r="G30" i="14"/>
  <c r="G32" i="14"/>
  <c r="G24" i="14"/>
  <c r="G76" i="14"/>
  <c r="G78" i="14"/>
  <c r="G77" i="14"/>
  <c r="G42" i="14"/>
  <c r="G79" i="14"/>
  <c r="AA5" i="14"/>
  <c r="G58" i="14"/>
  <c r="G15" i="14"/>
  <c r="G46" i="14"/>
  <c r="G80" i="14"/>
  <c r="G43" i="14"/>
  <c r="G5" i="14"/>
  <c r="AU187" i="14" l="1"/>
  <c r="AU189" i="14" s="1"/>
  <c r="CG21" i="14"/>
  <c r="AV191" i="14"/>
  <c r="AV193" i="14" s="1"/>
  <c r="CH24" i="14"/>
  <c r="AU191" i="14"/>
  <c r="AU193" i="14" s="1"/>
  <c r="CG24" i="14"/>
  <c r="CG191" i="14" s="1"/>
  <c r="CG193" i="14" s="1"/>
  <c r="CG187" i="14"/>
  <c r="CG189" i="14" s="1"/>
  <c r="BO187" i="14"/>
  <c r="BO189" i="14" s="1"/>
  <c r="AU81" i="14"/>
  <c r="BO81" i="14"/>
  <c r="G81" i="14"/>
  <c r="DB81" i="14"/>
  <c r="AB81" i="14"/>
  <c r="AB27" i="14"/>
  <c r="AT74" i="21"/>
  <c r="H84" i="21"/>
  <c r="AK89" i="21"/>
  <c r="AK91" i="21"/>
  <c r="AK117" i="21" s="1"/>
  <c r="AK90" i="21"/>
  <c r="AK116" i="21" s="1"/>
  <c r="H85" i="21"/>
  <c r="H74" i="21"/>
  <c r="L84" i="14"/>
  <c r="L85" i="14"/>
  <c r="CL74" i="14"/>
  <c r="AK87" i="21"/>
  <c r="AU27" i="14"/>
  <c r="K88" i="14"/>
  <c r="K89" i="14" s="1"/>
  <c r="AB89" i="21"/>
  <c r="BE88" i="21"/>
  <c r="BE89" i="21" s="1"/>
  <c r="BE87" i="21"/>
  <c r="CL91" i="14"/>
  <c r="CL117" i="14" s="1"/>
  <c r="CL90" i="14"/>
  <c r="CL116" i="14" s="1"/>
  <c r="AA67" i="14"/>
  <c r="AU67" i="14"/>
  <c r="AB90" i="21"/>
  <c r="AB116" i="21" s="1"/>
  <c r="AB91" i="21"/>
  <c r="AB117" i="21" s="1"/>
  <c r="AA22" i="14"/>
  <c r="G187" i="14"/>
  <c r="G189" i="14" s="1"/>
  <c r="G23" i="14" s="1"/>
  <c r="AT85" i="21"/>
  <c r="AT84" i="21"/>
  <c r="AA191" i="14"/>
  <c r="AA193" i="14" s="1"/>
  <c r="AA26" i="14" s="1"/>
  <c r="G169" i="14"/>
  <c r="G60" i="14"/>
  <c r="R88" i="21"/>
  <c r="R87" i="21"/>
  <c r="CL87" i="14"/>
  <c r="DA67" i="14"/>
  <c r="BN63" i="14"/>
  <c r="BN11" i="14"/>
  <c r="DA22" i="14"/>
  <c r="BN18" i="14"/>
  <c r="DA34" i="14"/>
  <c r="BN34" i="14"/>
  <c r="AU34" i="14"/>
  <c r="BN44" i="14"/>
  <c r="BN53" i="14" s="1"/>
  <c r="AA25" i="14"/>
  <c r="AA28" i="14"/>
  <c r="AA44" i="14"/>
  <c r="AA53" i="14" s="1"/>
  <c r="DA44" i="14"/>
  <c r="DA53" i="14" s="1"/>
  <c r="DA62" i="14" s="1"/>
  <c r="CG5" i="14"/>
  <c r="AA18" i="14"/>
  <c r="DA63" i="14"/>
  <c r="CL89" i="14"/>
  <c r="AU11" i="14"/>
  <c r="AF89" i="14"/>
  <c r="AF91" i="14"/>
  <c r="AF117" i="14" s="1"/>
  <c r="AF90" i="14"/>
  <c r="AF116" i="14" s="1"/>
  <c r="H77" i="14"/>
  <c r="DB44" i="14"/>
  <c r="H76" i="14"/>
  <c r="BO67" i="14"/>
  <c r="H17" i="14"/>
  <c r="AV71" i="14"/>
  <c r="CH71" i="14" s="1"/>
  <c r="AV21" i="14"/>
  <c r="CH21" i="14" s="1"/>
  <c r="H50" i="14"/>
  <c r="H48" i="14"/>
  <c r="AV58" i="14"/>
  <c r="CH58" i="14" s="1"/>
  <c r="BO34" i="14"/>
  <c r="AV32" i="14"/>
  <c r="CH32" i="14" s="1"/>
  <c r="DB34" i="14"/>
  <c r="H5" i="14"/>
  <c r="DB67" i="14"/>
  <c r="H73" i="14"/>
  <c r="DB6" i="14"/>
  <c r="H66" i="14"/>
  <c r="AV41" i="14"/>
  <c r="CH41" i="14" s="1"/>
  <c r="H43" i="14"/>
  <c r="H80" i="14"/>
  <c r="AV80" i="14"/>
  <c r="CH80" i="14" s="1"/>
  <c r="H83" i="14"/>
  <c r="H86" i="14"/>
  <c r="AV14" i="14"/>
  <c r="CH14" i="14" s="1"/>
  <c r="AZ89" i="14"/>
  <c r="AZ91" i="14"/>
  <c r="AZ117" i="14" s="1"/>
  <c r="AZ90" i="14"/>
  <c r="AZ116" i="14" s="1"/>
  <c r="H16" i="14"/>
  <c r="BO60" i="14"/>
  <c r="BO61" i="14" s="1"/>
  <c r="H72" i="14"/>
  <c r="AV5" i="14"/>
  <c r="H10" i="14"/>
  <c r="H30" i="14"/>
  <c r="AV30" i="14"/>
  <c r="CH30" i="14" s="1"/>
  <c r="H15" i="14"/>
  <c r="AV65" i="14"/>
  <c r="CH65" i="14" s="1"/>
  <c r="H33" i="14"/>
  <c r="DB60" i="14"/>
  <c r="H78" i="14"/>
  <c r="AV78" i="14"/>
  <c r="CH78" i="14" s="1"/>
  <c r="H75" i="14"/>
  <c r="L74" i="14"/>
  <c r="DB18" i="14"/>
  <c r="H79" i="14"/>
  <c r="H42" i="14"/>
  <c r="H24" i="14"/>
  <c r="AV46" i="14"/>
  <c r="CH46" i="14" s="1"/>
  <c r="H7" i="14"/>
  <c r="H56" i="14"/>
  <c r="H9" i="14"/>
  <c r="DB11" i="14"/>
  <c r="DB12" i="14" s="1"/>
  <c r="H51" i="14"/>
  <c r="H59" i="14"/>
  <c r="BO11" i="14"/>
  <c r="AA60" i="14"/>
  <c r="BN60" i="14"/>
  <c r="BN61" i="14" s="1"/>
  <c r="BN27" i="14"/>
  <c r="AA34" i="14"/>
  <c r="G67" i="14"/>
  <c r="G22" i="14"/>
  <c r="G34" i="14"/>
  <c r="G18" i="14"/>
  <c r="G25" i="14"/>
  <c r="G191" i="14"/>
  <c r="G193" i="14" s="1"/>
  <c r="G26" i="14" s="1"/>
  <c r="G6" i="14"/>
  <c r="G11" i="14"/>
  <c r="G12" i="14" s="1"/>
  <c r="G27" i="14"/>
  <c r="G28" i="14" s="1"/>
  <c r="G44" i="14"/>
  <c r="G47" i="14" s="1"/>
  <c r="G63" i="14"/>
  <c r="AU60" i="14"/>
  <c r="AU63" i="14"/>
  <c r="DA11" i="14"/>
  <c r="DA12" i="14" s="1"/>
  <c r="DA6" i="14"/>
  <c r="AU44" i="14"/>
  <c r="AU47" i="14" s="1"/>
  <c r="AU18" i="14"/>
  <c r="AA11" i="14"/>
  <c r="AA12" i="14" s="1"/>
  <c r="AA6" i="14"/>
  <c r="CH191" i="14" l="1"/>
  <c r="CH193" i="14" s="1"/>
  <c r="BO191" i="14"/>
  <c r="BO193" i="14" s="1"/>
  <c r="CH187" i="14"/>
  <c r="CH189" i="14" s="1"/>
  <c r="AV187" i="14"/>
  <c r="AV189" i="14" s="1"/>
  <c r="CH34" i="14"/>
  <c r="CG81" i="14"/>
  <c r="DB22" i="14"/>
  <c r="CH81" i="14"/>
  <c r="AV81" i="14"/>
  <c r="H87" i="21"/>
  <c r="H88" i="21"/>
  <c r="CG67" i="14"/>
  <c r="L87" i="14"/>
  <c r="L88" i="14"/>
  <c r="L90" i="14" s="1"/>
  <c r="L116" i="14" s="1"/>
  <c r="K90" i="14"/>
  <c r="K116" i="14" s="1"/>
  <c r="K95" i="14"/>
  <c r="K103" i="14" s="1"/>
  <c r="K91" i="14"/>
  <c r="DB27" i="14"/>
  <c r="DB28" i="14" s="1"/>
  <c r="AU35" i="14"/>
  <c r="G35" i="14"/>
  <c r="BN35" i="14"/>
  <c r="AA35" i="14"/>
  <c r="AA36" i="14" s="1"/>
  <c r="AA37" i="14" s="1"/>
  <c r="DA35" i="14"/>
  <c r="DA69" i="14" s="1"/>
  <c r="R89" i="21"/>
  <c r="R91" i="21"/>
  <c r="R117" i="21" s="1"/>
  <c r="R90" i="21"/>
  <c r="R116" i="21" s="1"/>
  <c r="CH67" i="14"/>
  <c r="AT88" i="21"/>
  <c r="AT87" i="21"/>
  <c r="CG11" i="14"/>
  <c r="CG34" i="14"/>
  <c r="CG18" i="14"/>
  <c r="CG63" i="14"/>
  <c r="CG44" i="14"/>
  <c r="CG53" i="14" s="1"/>
  <c r="AA62" i="14"/>
  <c r="DB53" i="14"/>
  <c r="DB62" i="14" s="1"/>
  <c r="H32" i="14"/>
  <c r="AB18" i="14"/>
  <c r="H65" i="14"/>
  <c r="AB34" i="14"/>
  <c r="AB67" i="14"/>
  <c r="DB63" i="14"/>
  <c r="AB187" i="14"/>
  <c r="AB189" i="14" s="1"/>
  <c r="AB23" i="14" s="1"/>
  <c r="AB22" i="14"/>
  <c r="AB28" i="14"/>
  <c r="H8" i="14"/>
  <c r="H58" i="14"/>
  <c r="AB8" i="14"/>
  <c r="AB11" i="14"/>
  <c r="AB12" i="14" s="1"/>
  <c r="H191" i="14"/>
  <c r="H193" i="14" s="1"/>
  <c r="H26" i="14" s="1"/>
  <c r="H25" i="14"/>
  <c r="H46" i="14"/>
  <c r="CH18" i="14"/>
  <c r="AV18" i="14"/>
  <c r="BO18" i="14"/>
  <c r="H71" i="14"/>
  <c r="H81" i="14" s="1"/>
  <c r="H21" i="14"/>
  <c r="AB60" i="14"/>
  <c r="AB25" i="14"/>
  <c r="AB191" i="14"/>
  <c r="AB193" i="14" s="1"/>
  <c r="AB26" i="14" s="1"/>
  <c r="CH5" i="14"/>
  <c r="AV11" i="14"/>
  <c r="BO63" i="14"/>
  <c r="BO44" i="14"/>
  <c r="BO53" i="14" s="1"/>
  <c r="BO62" i="14" s="1"/>
  <c r="AV27" i="14"/>
  <c r="H41" i="14"/>
  <c r="BO27" i="14"/>
  <c r="AB44" i="14"/>
  <c r="AB53" i="14" s="1"/>
  <c r="H6" i="14"/>
  <c r="H11" i="14"/>
  <c r="AV67" i="14"/>
  <c r="H14" i="14"/>
  <c r="AV63" i="14"/>
  <c r="AV44" i="14"/>
  <c r="AV47" i="14" s="1"/>
  <c r="AV34" i="14"/>
  <c r="AV60" i="14"/>
  <c r="DB25" i="14"/>
  <c r="CG27" i="14"/>
  <c r="BN62" i="14"/>
  <c r="G49" i="14"/>
  <c r="CG60" i="14"/>
  <c r="AU52" i="14"/>
  <c r="AU45" i="14"/>
  <c r="AU53" i="14"/>
  <c r="AU62" i="14" s="1"/>
  <c r="AU49" i="14"/>
  <c r="G53" i="14"/>
  <c r="G62" i="14" s="1"/>
  <c r="G45" i="14"/>
  <c r="H91" i="21" l="1"/>
  <c r="H117" i="21" s="1"/>
  <c r="H95" i="21"/>
  <c r="H103" i="21" s="1"/>
  <c r="H90" i="21"/>
  <c r="H116" i="21" s="1"/>
  <c r="AT91" i="21"/>
  <c r="AT117" i="21" s="1"/>
  <c r="AT90" i="21"/>
  <c r="AT116" i="21" s="1"/>
  <c r="L91" i="14"/>
  <c r="L117" i="14" s="1"/>
  <c r="L89" i="14"/>
  <c r="L95" i="14"/>
  <c r="L103" i="14" s="1"/>
  <c r="H89" i="21"/>
  <c r="K117" i="14"/>
  <c r="DB35" i="14"/>
  <c r="DB82" i="14" s="1"/>
  <c r="AB35" i="14"/>
  <c r="BO35" i="14"/>
  <c r="AV35" i="14"/>
  <c r="CG35" i="14"/>
  <c r="H67" i="14"/>
  <c r="H60" i="14"/>
  <c r="AT89" i="21"/>
  <c r="CH60" i="14"/>
  <c r="H34" i="14"/>
  <c r="BN82" i="14"/>
  <c r="BN85" i="14" s="1"/>
  <c r="AU82" i="14"/>
  <c r="AU84" i="14" s="1"/>
  <c r="CG45" i="14"/>
  <c r="CG49" i="14"/>
  <c r="CG47" i="14"/>
  <c r="H12" i="14"/>
  <c r="AB19" i="14"/>
  <c r="H169" i="14"/>
  <c r="H44" i="14"/>
  <c r="H47" i="14" s="1"/>
  <c r="H63" i="14"/>
  <c r="CH27" i="14"/>
  <c r="H18" i="14"/>
  <c r="CH11" i="14"/>
  <c r="AB62" i="14"/>
  <c r="H187" i="14"/>
  <c r="H189" i="14" s="1"/>
  <c r="H23" i="14" s="1"/>
  <c r="H22" i="14"/>
  <c r="H27" i="14"/>
  <c r="AV53" i="14"/>
  <c r="AV62" i="14" s="1"/>
  <c r="AV45" i="14"/>
  <c r="AV52" i="14"/>
  <c r="AV49" i="14"/>
  <c r="CH44" i="14"/>
  <c r="CH63" i="14"/>
  <c r="BN69" i="14"/>
  <c r="BN74" i="14" s="1"/>
  <c r="AU54" i="14"/>
  <c r="DA36" i="14"/>
  <c r="DA38" i="14" s="1"/>
  <c r="DA82" i="14"/>
  <c r="DA84" i="14" s="1"/>
  <c r="AA82" i="14"/>
  <c r="AA85" i="14" s="1"/>
  <c r="AA92" i="14" s="1"/>
  <c r="AA69" i="14"/>
  <c r="CG62" i="14"/>
  <c r="AU69" i="14"/>
  <c r="AU74" i="14" s="1"/>
  <c r="G36" i="14"/>
  <c r="G37" i="14" s="1"/>
  <c r="G82" i="14"/>
  <c r="G69" i="14"/>
  <c r="AA74" i="14" l="1"/>
  <c r="G74" i="14"/>
  <c r="DB36" i="14"/>
  <c r="DB37" i="14" s="1"/>
  <c r="DB69" i="14"/>
  <c r="AU85" i="14"/>
  <c r="AU88" i="14" s="1"/>
  <c r="BN84" i="14"/>
  <c r="CH35" i="14"/>
  <c r="H35" i="14"/>
  <c r="G193" i="21"/>
  <c r="Q192" i="21"/>
  <c r="Q193" i="21" s="1"/>
  <c r="O192" i="21"/>
  <c r="O193" i="21" s="1"/>
  <c r="E193" i="21"/>
  <c r="CG69" i="14"/>
  <c r="CG74" i="14" s="1"/>
  <c r="AV54" i="14"/>
  <c r="CH45" i="14"/>
  <c r="CH53" i="14"/>
  <c r="CH62" i="14" s="1"/>
  <c r="CH49" i="14"/>
  <c r="AV82" i="14"/>
  <c r="AV69" i="14"/>
  <c r="AV74" i="14" s="1"/>
  <c r="AB69" i="14"/>
  <c r="AB36" i="14"/>
  <c r="AB82" i="14"/>
  <c r="BO69" i="14"/>
  <c r="BO74" i="14" s="1"/>
  <c r="BO82" i="14"/>
  <c r="H28" i="14"/>
  <c r="CH47" i="14"/>
  <c r="H45" i="14"/>
  <c r="H53" i="14"/>
  <c r="H49" i="14"/>
  <c r="H19" i="14"/>
  <c r="DB85" i="14"/>
  <c r="DB84" i="14"/>
  <c r="DA37" i="14"/>
  <c r="DA85" i="14"/>
  <c r="DA88" i="14" s="1"/>
  <c r="CG82" i="14"/>
  <c r="CG85" i="14" s="1"/>
  <c r="AA84" i="14"/>
  <c r="BN88" i="14"/>
  <c r="BN87" i="14"/>
  <c r="AA88" i="14"/>
  <c r="AA87" i="14"/>
  <c r="G85" i="14"/>
  <c r="G84" i="14"/>
  <c r="AB74" i="14" l="1"/>
  <c r="DB38" i="14"/>
  <c r="AD192" i="14"/>
  <c r="Z192" i="14"/>
  <c r="AU87" i="14"/>
  <c r="DA89" i="14"/>
  <c r="BN89" i="14"/>
  <c r="O188" i="21"/>
  <c r="O189" i="21" s="1"/>
  <c r="E189" i="21"/>
  <c r="G189" i="21"/>
  <c r="Q188" i="21"/>
  <c r="Q189" i="21" s="1"/>
  <c r="CH82" i="14"/>
  <c r="CH84" i="14" s="1"/>
  <c r="H62" i="14"/>
  <c r="DB88" i="14"/>
  <c r="DB89" i="14" s="1"/>
  <c r="DB87" i="14"/>
  <c r="Q192" i="19"/>
  <c r="Q193" i="19" s="1"/>
  <c r="AB37" i="14"/>
  <c r="AB38" i="14"/>
  <c r="CH69" i="14"/>
  <c r="CH74" i="14" s="1"/>
  <c r="AB84" i="14"/>
  <c r="AB85" i="14"/>
  <c r="AB92" i="14" s="1"/>
  <c r="H36" i="14"/>
  <c r="BO84" i="14"/>
  <c r="BO85" i="14"/>
  <c r="AV85" i="14"/>
  <c r="AV84" i="14"/>
  <c r="O192" i="19"/>
  <c r="O193" i="19" s="1"/>
  <c r="DA87" i="14"/>
  <c r="CG84" i="14"/>
  <c r="CG87" i="14"/>
  <c r="CG88" i="14"/>
  <c r="CG89" i="14" s="1"/>
  <c r="AU89" i="14"/>
  <c r="AU91" i="14"/>
  <c r="AU117" i="14" s="1"/>
  <c r="AU90" i="14"/>
  <c r="AU116" i="14" s="1"/>
  <c r="AA89" i="14"/>
  <c r="AA91" i="14"/>
  <c r="AA117" i="14" s="1"/>
  <c r="G88" i="14"/>
  <c r="G87" i="14"/>
  <c r="AD188" i="14" l="1"/>
  <c r="Z188" i="14"/>
  <c r="G95" i="14"/>
  <c r="G103" i="14" s="1"/>
  <c r="CH85" i="14"/>
  <c r="CH88" i="14" s="1"/>
  <c r="H82" i="14"/>
  <c r="H85" i="14" s="1"/>
  <c r="H69" i="14"/>
  <c r="BO88" i="14"/>
  <c r="BO91" i="14" s="1"/>
  <c r="BO117" i="14" s="1"/>
  <c r="BO87" i="14"/>
  <c r="Q188" i="19"/>
  <c r="Q189" i="19" s="1"/>
  <c r="AB87" i="14"/>
  <c r="AB88" i="14"/>
  <c r="AV88" i="14"/>
  <c r="AV87" i="14"/>
  <c r="H38" i="14"/>
  <c r="H37" i="14"/>
  <c r="O188" i="19"/>
  <c r="O189" i="19" s="1"/>
  <c r="G89" i="14"/>
  <c r="G91" i="14"/>
  <c r="G117" i="14" s="1"/>
  <c r="G90" i="14"/>
  <c r="G116" i="14" s="1"/>
  <c r="BL2" i="14"/>
  <c r="AS2" i="14"/>
  <c r="J174" i="14"/>
  <c r="F174" i="14"/>
  <c r="E174" i="14"/>
  <c r="J166" i="14"/>
  <c r="F166" i="14"/>
  <c r="E166" i="14"/>
  <c r="F156" i="14"/>
  <c r="E156" i="14"/>
  <c r="Z153" i="14"/>
  <c r="Y153" i="14"/>
  <c r="J153" i="14"/>
  <c r="F153" i="14"/>
  <c r="E153" i="14"/>
  <c r="J148" i="14"/>
  <c r="F148" i="14"/>
  <c r="E148" i="14"/>
  <c r="Z143" i="14"/>
  <c r="Y143" i="14"/>
  <c r="J143" i="14"/>
  <c r="F143" i="14"/>
  <c r="E143" i="14"/>
  <c r="J135" i="14"/>
  <c r="F135" i="14"/>
  <c r="E135" i="14"/>
  <c r="J125" i="14"/>
  <c r="F125" i="14"/>
  <c r="G8" i="14" s="1"/>
  <c r="E125" i="14"/>
  <c r="Z122" i="14"/>
  <c r="Y122" i="14"/>
  <c r="F122" i="14"/>
  <c r="E122" i="14"/>
  <c r="Z107" i="14"/>
  <c r="Y107" i="14"/>
  <c r="CH90" i="14" l="1"/>
  <c r="CH116" i="14" s="1"/>
  <c r="CH91" i="14"/>
  <c r="CH117" i="14" s="1"/>
  <c r="J162" i="14"/>
  <c r="J123" i="14"/>
  <c r="H84" i="14"/>
  <c r="BO89" i="14"/>
  <c r="P59" i="21"/>
  <c r="AW7" i="14"/>
  <c r="CI7" i="14" s="1"/>
  <c r="AW10" i="14"/>
  <c r="CI10" i="14" s="1"/>
  <c r="P17" i="21"/>
  <c r="BC72" i="21"/>
  <c r="AW30" i="14"/>
  <c r="BC73" i="21"/>
  <c r="AI9" i="21"/>
  <c r="BC17" i="21"/>
  <c r="BC75" i="21"/>
  <c r="BC59" i="21"/>
  <c r="AI73" i="21"/>
  <c r="P48" i="21"/>
  <c r="BC51" i="21"/>
  <c r="AW77" i="14"/>
  <c r="CI77" i="14" s="1"/>
  <c r="AI83" i="21"/>
  <c r="BC48" i="21"/>
  <c r="AW66" i="14"/>
  <c r="CI66" i="14" s="1"/>
  <c r="P65" i="21"/>
  <c r="AI7" i="21"/>
  <c r="P80" i="21"/>
  <c r="P21" i="21"/>
  <c r="P16" i="21"/>
  <c r="AI16" i="21"/>
  <c r="AW5" i="14"/>
  <c r="BC30" i="21"/>
  <c r="AI78" i="21"/>
  <c r="P58" i="21"/>
  <c r="P86" i="21"/>
  <c r="AW9" i="14"/>
  <c r="CI9" i="14" s="1"/>
  <c r="BC16" i="21"/>
  <c r="P77" i="21"/>
  <c r="BC10" i="21"/>
  <c r="P7" i="21"/>
  <c r="AW79" i="14"/>
  <c r="CI79" i="14" s="1"/>
  <c r="P10" i="21"/>
  <c r="BC42" i="21"/>
  <c r="AI51" i="21"/>
  <c r="AI48" i="21"/>
  <c r="AW46" i="14"/>
  <c r="CI46" i="14" s="1"/>
  <c r="BC65" i="21"/>
  <c r="AW43" i="14"/>
  <c r="CI43" i="14" s="1"/>
  <c r="AW41" i="14"/>
  <c r="AW71" i="14"/>
  <c r="CI71" i="14" s="1"/>
  <c r="BC78" i="21"/>
  <c r="AW83" i="14"/>
  <c r="CI83" i="14" s="1"/>
  <c r="P83" i="21"/>
  <c r="AI43" i="21"/>
  <c r="P15" i="21"/>
  <c r="P79" i="21"/>
  <c r="AI76" i="21"/>
  <c r="P51" i="21"/>
  <c r="P14" i="21"/>
  <c r="AW59" i="14"/>
  <c r="CI59" i="14" s="1"/>
  <c r="P42" i="21"/>
  <c r="BC79" i="21"/>
  <c r="P78" i="21"/>
  <c r="BC83" i="21"/>
  <c r="P76" i="21"/>
  <c r="P24" i="21"/>
  <c r="BC86" i="21"/>
  <c r="BC80" i="21"/>
  <c r="P73" i="21"/>
  <c r="AI56" i="21"/>
  <c r="BC76" i="21"/>
  <c r="AW24" i="14"/>
  <c r="AW50" i="14"/>
  <c r="CI50" i="14" s="1"/>
  <c r="AW65" i="14"/>
  <c r="CI65" i="14" s="1"/>
  <c r="AI58" i="21"/>
  <c r="P50" i="21"/>
  <c r="AI59" i="21"/>
  <c r="AW75" i="14"/>
  <c r="CI75" i="14" s="1"/>
  <c r="P46" i="21"/>
  <c r="BC7" i="21"/>
  <c r="AW80" i="14"/>
  <c r="CI80" i="14" s="1"/>
  <c r="AW72" i="14"/>
  <c r="CI72" i="14" s="1"/>
  <c r="BC56" i="21"/>
  <c r="AI71" i="21"/>
  <c r="P43" i="21"/>
  <c r="BC50" i="21"/>
  <c r="AI65" i="21"/>
  <c r="P41" i="21"/>
  <c r="AW73" i="14"/>
  <c r="CI73" i="14" s="1"/>
  <c r="P32" i="21"/>
  <c r="AI14" i="21"/>
  <c r="BC41" i="21"/>
  <c r="AW33" i="14"/>
  <c r="AW17" i="14"/>
  <c r="CI17" i="14" s="1"/>
  <c r="AI79" i="21"/>
  <c r="BC9" i="21"/>
  <c r="DC5" i="14"/>
  <c r="AI75" i="21"/>
  <c r="AW48" i="14"/>
  <c r="CI48" i="14" s="1"/>
  <c r="BC43" i="21"/>
  <c r="BC14" i="21"/>
  <c r="P75" i="21"/>
  <c r="BC46" i="21"/>
  <c r="P9" i="21"/>
  <c r="P72" i="21"/>
  <c r="AI17" i="21"/>
  <c r="AW56" i="14"/>
  <c r="CI56" i="14" s="1"/>
  <c r="AW14" i="14"/>
  <c r="CI14" i="14" s="1"/>
  <c r="AI50" i="21"/>
  <c r="AI46" i="21"/>
  <c r="AW58" i="14"/>
  <c r="CI58" i="14" s="1"/>
  <c r="AI15" i="21"/>
  <c r="AI77" i="21"/>
  <c r="AC5" i="14"/>
  <c r="AW86" i="14"/>
  <c r="CI86" i="14" s="1"/>
  <c r="P66" i="21"/>
  <c r="BC58" i="21"/>
  <c r="AI10" i="21"/>
  <c r="AW32" i="14"/>
  <c r="AW42" i="14"/>
  <c r="P33" i="21"/>
  <c r="AW21" i="14"/>
  <c r="P30" i="21"/>
  <c r="AI80" i="21"/>
  <c r="AI72" i="21"/>
  <c r="AI66" i="21"/>
  <c r="BC77" i="21"/>
  <c r="AW16" i="14"/>
  <c r="CI16" i="14" s="1"/>
  <c r="AI86" i="21"/>
  <c r="P71" i="21"/>
  <c r="BC32" i="21"/>
  <c r="P56" i="21"/>
  <c r="BP5" i="14"/>
  <c r="BC71" i="21"/>
  <c r="AW15" i="14"/>
  <c r="CI15" i="14" s="1"/>
  <c r="BC33" i="21"/>
  <c r="AW51" i="14"/>
  <c r="CI51" i="14" s="1"/>
  <c r="BC66" i="21"/>
  <c r="BC15" i="21"/>
  <c r="AW78" i="14"/>
  <c r="CI78" i="14" s="1"/>
  <c r="AW76" i="14"/>
  <c r="CI76" i="14" s="1"/>
  <c r="CH87" i="14"/>
  <c r="H74" i="14"/>
  <c r="H88" i="14"/>
  <c r="H87" i="14"/>
  <c r="AV89" i="14"/>
  <c r="AV91" i="14"/>
  <c r="AV117" i="14" s="1"/>
  <c r="AV90" i="14"/>
  <c r="AV116" i="14" s="1"/>
  <c r="AB89" i="14"/>
  <c r="AB91" i="14"/>
  <c r="AB117" i="14" s="1"/>
  <c r="AB90" i="14"/>
  <c r="AB116" i="14" s="1"/>
  <c r="CH89" i="14"/>
  <c r="F172" i="14"/>
  <c r="F171" i="14"/>
  <c r="J172" i="14"/>
  <c r="J171" i="14"/>
  <c r="F162" i="14"/>
  <c r="K8" i="14"/>
  <c r="AA90" i="14"/>
  <c r="AA116" i="14" s="1"/>
  <c r="AE90" i="14"/>
  <c r="AE116" i="14" s="1"/>
  <c r="G19" i="14"/>
  <c r="AA19" i="14"/>
  <c r="J146" i="14"/>
  <c r="E189" i="14"/>
  <c r="Y135" i="14"/>
  <c r="Y146" i="14" s="1"/>
  <c r="Z125" i="14"/>
  <c r="AA8" i="14" s="1"/>
  <c r="E146" i="14"/>
  <c r="Z156" i="14"/>
  <c r="Z162" i="14" s="1"/>
  <c r="Y125" i="14"/>
  <c r="Z135" i="14"/>
  <c r="Z146" i="14" s="1"/>
  <c r="E130" i="14"/>
  <c r="Y156" i="14"/>
  <c r="Y162" i="14" s="1"/>
  <c r="F130" i="14"/>
  <c r="E162" i="14"/>
  <c r="F146" i="14"/>
  <c r="E193" i="14"/>
  <c r="Y191" i="14"/>
  <c r="Y187" i="14"/>
  <c r="AW187" i="14" l="1"/>
  <c r="AW189" i="14" s="1"/>
  <c r="CI21" i="14"/>
  <c r="AW191" i="14"/>
  <c r="AW193" i="14" s="1"/>
  <c r="CI24" i="14"/>
  <c r="Z41" i="21"/>
  <c r="CI41" i="14"/>
  <c r="Z30" i="21"/>
  <c r="CI30" i="14"/>
  <c r="Z42" i="21"/>
  <c r="CI42" i="14"/>
  <c r="Z32" i="21"/>
  <c r="CI32" i="14"/>
  <c r="Z33" i="21"/>
  <c r="CI33" i="14"/>
  <c r="CJ123" i="14"/>
  <c r="CJ122" i="14" s="1"/>
  <c r="CJ130" i="14" s="1"/>
  <c r="DD123" i="14"/>
  <c r="DD122" i="14" s="1"/>
  <c r="DD130" i="14" s="1"/>
  <c r="BQ123" i="14"/>
  <c r="BQ122" i="14" s="1"/>
  <c r="BQ130" i="14" s="1"/>
  <c r="AX123" i="14"/>
  <c r="AX122" i="14" s="1"/>
  <c r="AX130" i="14" s="1"/>
  <c r="BC21" i="21"/>
  <c r="BC187" i="21" s="1"/>
  <c r="BC189" i="21" s="1"/>
  <c r="DC187" i="14"/>
  <c r="DC189" i="14" s="1"/>
  <c r="BC24" i="21"/>
  <c r="BC191" i="21" s="1"/>
  <c r="BC193" i="21" s="1"/>
  <c r="DC191" i="14"/>
  <c r="DC193" i="14" s="1"/>
  <c r="Z7" i="21"/>
  <c r="AR7" i="21" s="1"/>
  <c r="Z14" i="21"/>
  <c r="AR14" i="21" s="1"/>
  <c r="AI41" i="21"/>
  <c r="AI32" i="21"/>
  <c r="AI42" i="21"/>
  <c r="Z24" i="21"/>
  <c r="Z15" i="21"/>
  <c r="AR15" i="21" s="1"/>
  <c r="Z16" i="21"/>
  <c r="AR16" i="21" s="1"/>
  <c r="Z17" i="21"/>
  <c r="AR17" i="21" s="1"/>
  <c r="Z9" i="21"/>
  <c r="AR9" i="21" s="1"/>
  <c r="Z21" i="21"/>
  <c r="AI33" i="21"/>
  <c r="Z10" i="21"/>
  <c r="AR10" i="21" s="1"/>
  <c r="AI30" i="21"/>
  <c r="Z43" i="21"/>
  <c r="AR43" i="21" s="1"/>
  <c r="Z48" i="21"/>
  <c r="AR48" i="21" s="1"/>
  <c r="Z50" i="21"/>
  <c r="AR50" i="21" s="1"/>
  <c r="Z71" i="21"/>
  <c r="AR71" i="21" s="1"/>
  <c r="Z78" i="21"/>
  <c r="AR78" i="21" s="1"/>
  <c r="Z73" i="21"/>
  <c r="AR73" i="21" s="1"/>
  <c r="Z75" i="21"/>
  <c r="AR75" i="21" s="1"/>
  <c r="Z46" i="21"/>
  <c r="AR46" i="21" s="1"/>
  <c r="Z79" i="21"/>
  <c r="AR79" i="21" s="1"/>
  <c r="Z65" i="21"/>
  <c r="AR65" i="21" s="1"/>
  <c r="Z76" i="21"/>
  <c r="AR76" i="21" s="1"/>
  <c r="Z72" i="21"/>
  <c r="AR72" i="21" s="1"/>
  <c r="Z66" i="21"/>
  <c r="AR66" i="21" s="1"/>
  <c r="Z56" i="21"/>
  <c r="AR56" i="21" s="1"/>
  <c r="Z80" i="21"/>
  <c r="AR80" i="21" s="1"/>
  <c r="Z77" i="21"/>
  <c r="AR77" i="21" s="1"/>
  <c r="Z86" i="21"/>
  <c r="AR86" i="21" s="1"/>
  <c r="Z58" i="21"/>
  <c r="AR58" i="21" s="1"/>
  <c r="Z59" i="21"/>
  <c r="AR59" i="21" s="1"/>
  <c r="Z51" i="21"/>
  <c r="AR51" i="21" s="1"/>
  <c r="Z83" i="21"/>
  <c r="AR83" i="21" s="1"/>
  <c r="AW81" i="14"/>
  <c r="AC27" i="14"/>
  <c r="AC67" i="14"/>
  <c r="G123" i="21"/>
  <c r="G38" i="14"/>
  <c r="E131" i="21"/>
  <c r="J122" i="14"/>
  <c r="DC25" i="14"/>
  <c r="AD123" i="14"/>
  <c r="AD122" i="14" s="1"/>
  <c r="AD130" i="14" s="1"/>
  <c r="AI5" i="21"/>
  <c r="AW18" i="14"/>
  <c r="AW67" i="14"/>
  <c r="AC6" i="14"/>
  <c r="P5" i="21"/>
  <c r="AC34" i="14"/>
  <c r="AC191" i="14"/>
  <c r="AC193" i="14" s="1"/>
  <c r="AC26" i="14" s="1"/>
  <c r="AC60" i="14"/>
  <c r="AW34" i="14"/>
  <c r="AW60" i="14"/>
  <c r="DC6" i="14"/>
  <c r="BC5" i="21"/>
  <c r="AW27" i="14"/>
  <c r="AW63" i="14"/>
  <c r="AW44" i="14"/>
  <c r="AW52" i="14" s="1"/>
  <c r="CI5" i="14"/>
  <c r="AW11" i="14"/>
  <c r="Z5" i="21"/>
  <c r="H95" i="14"/>
  <c r="H89" i="14"/>
  <c r="H90" i="14"/>
  <c r="H116" i="14" s="1"/>
  <c r="H91" i="14"/>
  <c r="H117" i="14" s="1"/>
  <c r="Y130" i="14"/>
  <c r="Y193" i="14"/>
  <c r="Z130" i="14"/>
  <c r="Y189" i="14"/>
  <c r="AR42" i="21" l="1"/>
  <c r="AR32" i="21"/>
  <c r="AR33" i="21"/>
  <c r="AR41" i="21"/>
  <c r="AR30" i="21"/>
  <c r="AI24" i="21"/>
  <c r="AI191" i="21" s="1"/>
  <c r="AI193" i="21" s="1"/>
  <c r="BP191" i="14"/>
  <c r="BP193" i="14" s="1"/>
  <c r="AI21" i="21"/>
  <c r="AI187" i="21" s="1"/>
  <c r="AI189" i="21" s="1"/>
  <c r="BP187" i="14"/>
  <c r="BP189" i="14" s="1"/>
  <c r="CI187" i="14"/>
  <c r="CI189" i="14" s="1"/>
  <c r="Z187" i="21"/>
  <c r="Z189" i="21" s="1"/>
  <c r="Z191" i="21"/>
  <c r="Z193" i="21" s="1"/>
  <c r="CI191" i="14"/>
  <c r="CI193" i="14" s="1"/>
  <c r="BD123" i="21"/>
  <c r="BD122" i="21" s="1"/>
  <c r="BD130" i="21" s="1"/>
  <c r="BE38" i="21" s="1"/>
  <c r="AS123" i="21"/>
  <c r="AS122" i="21" s="1"/>
  <c r="AS130" i="21" s="1"/>
  <c r="AJ123" i="21"/>
  <c r="AJ122" i="21" s="1"/>
  <c r="AJ130" i="21" s="1"/>
  <c r="AA123" i="21"/>
  <c r="AA122" i="21" s="1"/>
  <c r="AA130" i="21" s="1"/>
  <c r="AC8" i="14"/>
  <c r="AC25" i="14"/>
  <c r="AC18" i="14"/>
  <c r="AC19" i="14" s="1"/>
  <c r="Z81" i="21"/>
  <c r="BC81" i="21"/>
  <c r="DC81" i="14"/>
  <c r="AC81" i="14"/>
  <c r="BP81" i="14"/>
  <c r="DC63" i="14"/>
  <c r="CI44" i="14"/>
  <c r="AC22" i="14"/>
  <c r="AC187" i="14"/>
  <c r="AC189" i="14" s="1"/>
  <c r="AC23" i="14" s="1"/>
  <c r="AC28" i="14"/>
  <c r="CI11" i="14"/>
  <c r="DC44" i="14"/>
  <c r="DC53" i="14" s="1"/>
  <c r="DC34" i="14"/>
  <c r="AC11" i="14"/>
  <c r="AC12" i="14" s="1"/>
  <c r="BP34" i="14"/>
  <c r="CI34" i="14"/>
  <c r="BC44" i="21"/>
  <c r="BC53" i="21" s="1"/>
  <c r="AI34" i="21"/>
  <c r="BC34" i="21"/>
  <c r="AC44" i="14"/>
  <c r="AC53" i="14" s="1"/>
  <c r="AC62" i="14" s="1"/>
  <c r="P8" i="21"/>
  <c r="G122" i="21"/>
  <c r="Q123" i="21"/>
  <c r="Q122" i="21" s="1"/>
  <c r="DC22" i="14"/>
  <c r="DC27" i="14"/>
  <c r="DC28" i="14" s="1"/>
  <c r="BP27" i="14"/>
  <c r="BC27" i="21"/>
  <c r="BC28" i="21" s="1"/>
  <c r="BP11" i="14"/>
  <c r="DC67" i="14"/>
  <c r="DC60" i="14"/>
  <c r="DC11" i="14"/>
  <c r="DC12" i="14" s="1"/>
  <c r="BP18" i="14"/>
  <c r="BP44" i="14"/>
  <c r="BP53" i="14" s="1"/>
  <c r="BC60" i="21"/>
  <c r="AI60" i="21"/>
  <c r="AI61" i="21" s="1"/>
  <c r="DC18" i="14"/>
  <c r="BP63" i="14"/>
  <c r="BP60" i="14"/>
  <c r="BP61" i="14" s="1"/>
  <c r="BP67" i="14"/>
  <c r="BC67" i="21"/>
  <c r="BC18" i="21"/>
  <c r="AW47" i="14"/>
  <c r="AW35" i="14"/>
  <c r="CI63" i="14"/>
  <c r="I46" i="14"/>
  <c r="F46" i="21" s="1"/>
  <c r="I83" i="14"/>
  <c r="I10" i="14"/>
  <c r="F10" i="21" s="1"/>
  <c r="I86" i="14"/>
  <c r="Z60" i="21"/>
  <c r="I58" i="14"/>
  <c r="P34" i="21"/>
  <c r="CI67" i="14"/>
  <c r="I30" i="14"/>
  <c r="I71" i="14"/>
  <c r="I14" i="14"/>
  <c r="I76" i="14"/>
  <c r="F76" i="21" s="1"/>
  <c r="I72" i="14"/>
  <c r="F72" i="21" s="1"/>
  <c r="I75" i="14"/>
  <c r="F75" i="21" s="1"/>
  <c r="I43" i="14"/>
  <c r="F43" i="21" s="1"/>
  <c r="I51" i="14"/>
  <c r="F51" i="21" s="1"/>
  <c r="P18" i="21"/>
  <c r="BC6" i="21"/>
  <c r="BC11" i="21"/>
  <c r="BC12" i="21" s="1"/>
  <c r="BC63" i="21"/>
  <c r="I41" i="14"/>
  <c r="I73" i="14"/>
  <c r="I56" i="14"/>
  <c r="F56" i="21" s="1"/>
  <c r="I59" i="14"/>
  <c r="F59" i="21" s="1"/>
  <c r="I80" i="14"/>
  <c r="I77" i="14"/>
  <c r="F77" i="21" s="1"/>
  <c r="I78" i="14"/>
  <c r="F78" i="21" s="1"/>
  <c r="Z11" i="21"/>
  <c r="AR5" i="21"/>
  <c r="CI60" i="14"/>
  <c r="Z34" i="21"/>
  <c r="I17" i="14"/>
  <c r="F17" i="21" s="1"/>
  <c r="I32" i="14"/>
  <c r="I15" i="14"/>
  <c r="F15" i="21" s="1"/>
  <c r="I79" i="14"/>
  <c r="F79" i="21" s="1"/>
  <c r="I16" i="14"/>
  <c r="F16" i="21" s="1"/>
  <c r="I21" i="14"/>
  <c r="I33" i="14"/>
  <c r="F33" i="21" s="1"/>
  <c r="I9" i="14"/>
  <c r="F9" i="21" s="1"/>
  <c r="I24" i="14"/>
  <c r="Z63" i="21"/>
  <c r="Z44" i="21"/>
  <c r="Z52" i="21" s="1"/>
  <c r="P6" i="21"/>
  <c r="Z18" i="21"/>
  <c r="I5" i="14"/>
  <c r="I65" i="14"/>
  <c r="I50" i="14"/>
  <c r="F50" i="21" s="1"/>
  <c r="I7" i="14"/>
  <c r="AW49" i="14"/>
  <c r="AW45" i="14"/>
  <c r="AW53" i="14"/>
  <c r="AW62" i="14" s="1"/>
  <c r="Z27" i="21"/>
  <c r="P191" i="21"/>
  <c r="P193" i="21" s="1"/>
  <c r="P26" i="21" s="1"/>
  <c r="P25" i="21"/>
  <c r="Z67" i="21"/>
  <c r="I66" i="14"/>
  <c r="F66" i="21" s="1"/>
  <c r="I42" i="14"/>
  <c r="I48" i="14"/>
  <c r="BC22" i="21"/>
  <c r="P60" i="21"/>
  <c r="H103" i="14"/>
  <c r="AA38" i="14"/>
  <c r="AR24" i="21" l="1"/>
  <c r="AR191" i="21" s="1"/>
  <c r="AR193" i="21" s="1"/>
  <c r="AR21" i="21"/>
  <c r="AR187" i="21" s="1"/>
  <c r="AR189" i="21" s="1"/>
  <c r="CI27" i="14"/>
  <c r="P67" i="21"/>
  <c r="AC35" i="14"/>
  <c r="AC69" i="14" s="1"/>
  <c r="P27" i="21"/>
  <c r="P28" i="21" s="1"/>
  <c r="CI81" i="14"/>
  <c r="I81" i="14"/>
  <c r="P81" i="21"/>
  <c r="AR81" i="21"/>
  <c r="AI81" i="21"/>
  <c r="P44" i="21"/>
  <c r="P53" i="21" s="1"/>
  <c r="P62" i="21" s="1"/>
  <c r="CI18" i="14"/>
  <c r="P187" i="21"/>
  <c r="P189" i="21" s="1"/>
  <c r="P23" i="21" s="1"/>
  <c r="CI49" i="14"/>
  <c r="P22" i="21"/>
  <c r="P11" i="21"/>
  <c r="Q130" i="21"/>
  <c r="R19" i="21"/>
  <c r="G130" i="21"/>
  <c r="H19" i="21"/>
  <c r="F42" i="21"/>
  <c r="F73" i="21"/>
  <c r="AI27" i="21"/>
  <c r="BC25" i="21"/>
  <c r="DC62" i="14"/>
  <c r="BP35" i="14"/>
  <c r="BC62" i="21"/>
  <c r="AI44" i="21"/>
  <c r="AI53" i="21" s="1"/>
  <c r="AI62" i="21" s="1"/>
  <c r="DC35" i="14"/>
  <c r="DC36" i="14" s="1"/>
  <c r="DC38" i="14" s="1"/>
  <c r="AI18" i="21"/>
  <c r="AI63" i="21"/>
  <c r="BP62" i="14"/>
  <c r="AI11" i="21"/>
  <c r="AI67" i="21"/>
  <c r="CI47" i="14"/>
  <c r="Z35" i="21"/>
  <c r="AW54" i="14"/>
  <c r="P19" i="21"/>
  <c r="BC35" i="21"/>
  <c r="F86" i="21"/>
  <c r="I6" i="14"/>
  <c r="I11" i="14"/>
  <c r="I12" i="14" s="1"/>
  <c r="F5" i="21"/>
  <c r="I27" i="14"/>
  <c r="I28" i="14" s="1"/>
  <c r="I22" i="14"/>
  <c r="I187" i="14"/>
  <c r="I189" i="14" s="1"/>
  <c r="I23" i="14" s="1"/>
  <c r="F21" i="21"/>
  <c r="I8" i="14"/>
  <c r="F7" i="21"/>
  <c r="F8" i="21" s="1"/>
  <c r="I25" i="14"/>
  <c r="I191" i="14"/>
  <c r="I193" i="14" s="1"/>
  <c r="I26" i="14" s="1"/>
  <c r="F24" i="21"/>
  <c r="I169" i="14"/>
  <c r="I44" i="14"/>
  <c r="I49" i="14" s="1"/>
  <c r="I63" i="14"/>
  <c r="F41" i="21"/>
  <c r="CI53" i="14"/>
  <c r="CI62" i="14" s="1"/>
  <c r="CI45" i="14"/>
  <c r="AR67" i="21"/>
  <c r="I34" i="14"/>
  <c r="F32" i="21"/>
  <c r="F80" i="21"/>
  <c r="I18" i="14"/>
  <c r="F14" i="21"/>
  <c r="F83" i="21"/>
  <c r="AR18" i="21"/>
  <c r="AZ18" i="21" s="1"/>
  <c r="F48" i="21"/>
  <c r="Z45" i="21"/>
  <c r="Z53" i="21"/>
  <c r="Z62" i="21" s="1"/>
  <c r="AR11" i="21"/>
  <c r="AZ11" i="21" s="1"/>
  <c r="Z49" i="21"/>
  <c r="F30" i="21"/>
  <c r="F71" i="21"/>
  <c r="I60" i="14"/>
  <c r="F58" i="21"/>
  <c r="AW69" i="14"/>
  <c r="AW74" i="14" s="1"/>
  <c r="AW82" i="14"/>
  <c r="I67" i="14"/>
  <c r="F65" i="21"/>
  <c r="AR44" i="21"/>
  <c r="AR49" i="21" s="1"/>
  <c r="AR63" i="21"/>
  <c r="Z47" i="21"/>
  <c r="S177" i="8"/>
  <c r="R177" i="8"/>
  <c r="Q177" i="8"/>
  <c r="P177" i="8"/>
  <c r="O177" i="8"/>
  <c r="S176" i="8"/>
  <c r="R176" i="8"/>
  <c r="Q176" i="8"/>
  <c r="P176" i="8"/>
  <c r="O176" i="8"/>
  <c r="I175" i="8"/>
  <c r="H175" i="8"/>
  <c r="G175" i="8"/>
  <c r="F175" i="8"/>
  <c r="O168" i="8"/>
  <c r="P168" i="8"/>
  <c r="Q168" i="8"/>
  <c r="R168" i="8"/>
  <c r="S168" i="8"/>
  <c r="O169" i="8"/>
  <c r="P169" i="8"/>
  <c r="Q169" i="8"/>
  <c r="R169" i="8"/>
  <c r="S169" i="8"/>
  <c r="G167" i="8"/>
  <c r="H167" i="8"/>
  <c r="I167" i="8"/>
  <c r="F167" i="8"/>
  <c r="O185" i="8"/>
  <c r="P185" i="8"/>
  <c r="Q185" i="8"/>
  <c r="R185" i="8"/>
  <c r="S185" i="8"/>
  <c r="S114" i="8"/>
  <c r="R114" i="8"/>
  <c r="Q114" i="8"/>
  <c r="P114" i="8"/>
  <c r="O114" i="8"/>
  <c r="S112" i="8"/>
  <c r="R112" i="8"/>
  <c r="Q112" i="8"/>
  <c r="P112" i="8"/>
  <c r="O112" i="8"/>
  <c r="E113" i="8"/>
  <c r="R167" i="8" l="1"/>
  <c r="S175" i="8"/>
  <c r="Q175" i="8"/>
  <c r="Y113" i="8"/>
  <c r="AQ113" i="8"/>
  <c r="AH113" i="8"/>
  <c r="BA113" i="8"/>
  <c r="S167" i="8"/>
  <c r="O175" i="8"/>
  <c r="Q167" i="8"/>
  <c r="P175" i="8"/>
  <c r="P167" i="8"/>
  <c r="O167" i="8"/>
  <c r="R175" i="8"/>
  <c r="CI35" i="14"/>
  <c r="CI82" i="14" s="1"/>
  <c r="AC82" i="14"/>
  <c r="AC85" i="14" s="1"/>
  <c r="AC92" i="14" s="1"/>
  <c r="AC36" i="14"/>
  <c r="AC37" i="14" s="1"/>
  <c r="P35" i="21"/>
  <c r="P36" i="21" s="1"/>
  <c r="P38" i="21" s="1"/>
  <c r="P12" i="21"/>
  <c r="F81" i="21"/>
  <c r="AC74" i="14"/>
  <c r="G131" i="21"/>
  <c r="H38" i="21"/>
  <c r="R38" i="21"/>
  <c r="AR27" i="21"/>
  <c r="AZ27" i="21" s="1"/>
  <c r="BP82" i="14"/>
  <c r="BP85" i="14" s="1"/>
  <c r="DC37" i="14"/>
  <c r="AR60" i="21"/>
  <c r="DC82" i="14"/>
  <c r="DC85" i="14" s="1"/>
  <c r="DC87" i="14" s="1"/>
  <c r="BP69" i="14"/>
  <c r="BP74" i="14" s="1"/>
  <c r="AI35" i="21"/>
  <c r="AI82" i="21" s="1"/>
  <c r="DC69" i="14"/>
  <c r="AR34" i="21"/>
  <c r="I173" i="8"/>
  <c r="I172" i="8"/>
  <c r="H173" i="8"/>
  <c r="H172" i="8"/>
  <c r="G173" i="8"/>
  <c r="G172" i="8"/>
  <c r="Z54" i="21"/>
  <c r="I35" i="14"/>
  <c r="AR47" i="21"/>
  <c r="F63" i="21"/>
  <c r="F44" i="21"/>
  <c r="F49" i="21" s="1"/>
  <c r="F169" i="21"/>
  <c r="F191" i="21"/>
  <c r="F193" i="21" s="1"/>
  <c r="F26" i="21" s="1"/>
  <c r="F25" i="21"/>
  <c r="AW84" i="14"/>
  <c r="AW85" i="14"/>
  <c r="F60" i="21"/>
  <c r="F18" i="21"/>
  <c r="F34" i="21"/>
  <c r="F187" i="21"/>
  <c r="F189" i="21" s="1"/>
  <c r="F23" i="21" s="1"/>
  <c r="F27" i="21"/>
  <c r="F22" i="21"/>
  <c r="CI69" i="14"/>
  <c r="CI74" i="14" s="1"/>
  <c r="I47" i="14"/>
  <c r="I53" i="14"/>
  <c r="I62" i="14" s="1"/>
  <c r="I45" i="14"/>
  <c r="F67" i="21"/>
  <c r="I19" i="14"/>
  <c r="AR45" i="21"/>
  <c r="AR53" i="21"/>
  <c r="BC36" i="21"/>
  <c r="BC38" i="21" s="1"/>
  <c r="BC69" i="21"/>
  <c r="BC82" i="21"/>
  <c r="Z82" i="21"/>
  <c r="Z69" i="21"/>
  <c r="Z74" i="21" s="1"/>
  <c r="F6" i="21"/>
  <c r="F11" i="21"/>
  <c r="S113" i="8"/>
  <c r="O113" i="8"/>
  <c r="P113" i="8"/>
  <c r="Q113" i="8"/>
  <c r="R113" i="8"/>
  <c r="O193" i="8"/>
  <c r="O192" i="8"/>
  <c r="AC38" i="14" l="1"/>
  <c r="AC84" i="14"/>
  <c r="P69" i="21"/>
  <c r="P74" i="21" s="1"/>
  <c r="P82" i="21"/>
  <c r="P85" i="21" s="1"/>
  <c r="P92" i="21" s="1"/>
  <c r="AR35" i="21"/>
  <c r="AZ35" i="21" s="1"/>
  <c r="BP84" i="14"/>
  <c r="DC88" i="14"/>
  <c r="DC84" i="14"/>
  <c r="AI69" i="21"/>
  <c r="AI74" i="21" s="1"/>
  <c r="AI85" i="21"/>
  <c r="AI87" i="21" s="1"/>
  <c r="AI84" i="21"/>
  <c r="R193" i="8"/>
  <c r="F35" i="21"/>
  <c r="F19" i="21"/>
  <c r="BC85" i="21"/>
  <c r="BC84" i="21"/>
  <c r="AR62" i="21"/>
  <c r="I36" i="14"/>
  <c r="I69" i="14"/>
  <c r="I82" i="14"/>
  <c r="Z85" i="21"/>
  <c r="Z84" i="21"/>
  <c r="P37" i="21"/>
  <c r="BC37" i="21"/>
  <c r="F28" i="21"/>
  <c r="F12" i="21"/>
  <c r="F53" i="21"/>
  <c r="F45" i="21"/>
  <c r="F47" i="21"/>
  <c r="CI85" i="14"/>
  <c r="CI84" i="14"/>
  <c r="BP88" i="14"/>
  <c r="BP87" i="14"/>
  <c r="AC88" i="14"/>
  <c r="AC87" i="14"/>
  <c r="AW88" i="14"/>
  <c r="AW87" i="14"/>
  <c r="E117" i="14"/>
  <c r="E116" i="14"/>
  <c r="Y116" i="14"/>
  <c r="Y117" i="14"/>
  <c r="O194" i="8"/>
  <c r="P193" i="8"/>
  <c r="Q193" i="8"/>
  <c r="S193" i="8"/>
  <c r="S144" i="8"/>
  <c r="S143" i="8" s="1"/>
  <c r="R144" i="8"/>
  <c r="R143" i="8" s="1"/>
  <c r="Q144" i="8"/>
  <c r="Q143" i="8" s="1"/>
  <c r="P144" i="8"/>
  <c r="P143" i="8" s="1"/>
  <c r="O144" i="8"/>
  <c r="O143" i="8" s="1"/>
  <c r="S140" i="8"/>
  <c r="R140" i="8"/>
  <c r="Q140" i="8"/>
  <c r="P140" i="8"/>
  <c r="O140" i="8"/>
  <c r="S139" i="8"/>
  <c r="R139" i="8"/>
  <c r="Q139" i="8"/>
  <c r="P139" i="8"/>
  <c r="O139" i="8"/>
  <c r="S138" i="8"/>
  <c r="R138" i="8"/>
  <c r="Q138" i="8"/>
  <c r="P138" i="8"/>
  <c r="O138" i="8"/>
  <c r="S137" i="8"/>
  <c r="R137" i="8"/>
  <c r="Q137" i="8"/>
  <c r="P137" i="8"/>
  <c r="O137" i="8"/>
  <c r="S136" i="8"/>
  <c r="R136" i="8"/>
  <c r="Q136" i="8"/>
  <c r="P136" i="8"/>
  <c r="O136" i="8"/>
  <c r="S179" i="8"/>
  <c r="R179" i="8"/>
  <c r="Q179" i="8"/>
  <c r="P179" i="8"/>
  <c r="O179" i="8"/>
  <c r="S161" i="8"/>
  <c r="R161" i="8"/>
  <c r="Q161" i="8"/>
  <c r="P161" i="8"/>
  <c r="O161" i="8"/>
  <c r="S160" i="8"/>
  <c r="R160" i="8"/>
  <c r="Q160" i="8"/>
  <c r="P160" i="8"/>
  <c r="O160" i="8"/>
  <c r="S159" i="8"/>
  <c r="R159" i="8"/>
  <c r="Q159" i="8"/>
  <c r="P159" i="8"/>
  <c r="O159" i="8"/>
  <c r="S158" i="8"/>
  <c r="R158" i="8"/>
  <c r="Q158" i="8"/>
  <c r="P158" i="8"/>
  <c r="O158" i="8"/>
  <c r="S155" i="8"/>
  <c r="S154" i="8" s="1"/>
  <c r="R155" i="8"/>
  <c r="R154" i="8" s="1"/>
  <c r="Q155" i="8"/>
  <c r="Q154" i="8" s="1"/>
  <c r="P155" i="8"/>
  <c r="P154" i="8" s="1"/>
  <c r="O155" i="8"/>
  <c r="O154" i="8" s="1"/>
  <c r="S128" i="8"/>
  <c r="R128" i="8"/>
  <c r="Q128" i="8"/>
  <c r="P128" i="8"/>
  <c r="O128" i="8"/>
  <c r="S127" i="8"/>
  <c r="R127" i="8"/>
  <c r="Q127" i="8"/>
  <c r="P127" i="8"/>
  <c r="O127" i="8"/>
  <c r="S126" i="8"/>
  <c r="R126" i="8"/>
  <c r="Q126" i="8"/>
  <c r="P126" i="8"/>
  <c r="O126" i="8"/>
  <c r="S123" i="8"/>
  <c r="S122" i="8" s="1"/>
  <c r="R123" i="8"/>
  <c r="R122" i="8" s="1"/>
  <c r="Q123" i="8"/>
  <c r="Q122" i="8" s="1"/>
  <c r="P123" i="8"/>
  <c r="P122" i="8" s="1"/>
  <c r="O123" i="8"/>
  <c r="O122" i="8" s="1"/>
  <c r="F125" i="8"/>
  <c r="G125" i="8"/>
  <c r="H125" i="8"/>
  <c r="I125" i="8"/>
  <c r="E125" i="8"/>
  <c r="F122" i="8"/>
  <c r="G122" i="8"/>
  <c r="H122" i="8"/>
  <c r="I122" i="8"/>
  <c r="E122" i="8"/>
  <c r="G143" i="8"/>
  <c r="H143" i="8"/>
  <c r="I143" i="8"/>
  <c r="F143" i="8"/>
  <c r="G135" i="8"/>
  <c r="H135" i="8"/>
  <c r="I135" i="8"/>
  <c r="F135" i="8"/>
  <c r="P84" i="21" l="1"/>
  <c r="T19" i="8"/>
  <c r="I74" i="14"/>
  <c r="DC89" i="14"/>
  <c r="AI88" i="21"/>
  <c r="BP91" i="14"/>
  <c r="BP117" i="14" s="1"/>
  <c r="BP90" i="14"/>
  <c r="BP116" i="14" s="1"/>
  <c r="J8" i="8"/>
  <c r="J19" i="8"/>
  <c r="F62" i="21"/>
  <c r="Z88" i="21"/>
  <c r="Z87" i="21"/>
  <c r="AW89" i="14"/>
  <c r="AW91" i="14"/>
  <c r="AW117" i="14" s="1"/>
  <c r="AW90" i="14"/>
  <c r="AW116" i="14" s="1"/>
  <c r="CI88" i="14"/>
  <c r="CI87" i="14"/>
  <c r="P88" i="21"/>
  <c r="P87" i="21"/>
  <c r="AR69" i="21"/>
  <c r="AC89" i="14"/>
  <c r="AC91" i="14"/>
  <c r="AC117" i="14" s="1"/>
  <c r="AC90" i="14"/>
  <c r="AC116" i="14" s="1"/>
  <c r="BP89" i="14"/>
  <c r="I85" i="14"/>
  <c r="I84" i="14"/>
  <c r="F36" i="21"/>
  <c r="F38" i="21" s="1"/>
  <c r="BC88" i="21"/>
  <c r="BC89" i="21" s="1"/>
  <c r="BC87" i="21"/>
  <c r="I37" i="14"/>
  <c r="I38" i="14"/>
  <c r="AR82" i="21"/>
  <c r="P135" i="8"/>
  <c r="P146" i="8" s="1"/>
  <c r="Q135" i="8"/>
  <c r="Q146" i="8" s="1"/>
  <c r="R135" i="8"/>
  <c r="R146" i="8" s="1"/>
  <c r="Q157" i="8"/>
  <c r="Q163" i="8" s="1"/>
  <c r="S157" i="8"/>
  <c r="O135" i="8"/>
  <c r="O146" i="8" s="1"/>
  <c r="E130" i="8"/>
  <c r="S135" i="8"/>
  <c r="R157" i="8"/>
  <c r="R163" i="8" s="1"/>
  <c r="P157" i="8"/>
  <c r="P163" i="8" s="1"/>
  <c r="O157" i="8"/>
  <c r="O163" i="8" s="1"/>
  <c r="S125" i="8"/>
  <c r="F130" i="8"/>
  <c r="I130" i="8"/>
  <c r="G130" i="8"/>
  <c r="O125" i="8"/>
  <c r="O130" i="8" s="1"/>
  <c r="H130" i="8"/>
  <c r="R125" i="8"/>
  <c r="R130" i="8" s="1"/>
  <c r="P125" i="8"/>
  <c r="P130" i="8" s="1"/>
  <c r="Q125" i="8"/>
  <c r="Q130" i="8" s="1"/>
  <c r="F146" i="8"/>
  <c r="I146" i="8"/>
  <c r="H146" i="8"/>
  <c r="G146" i="8"/>
  <c r="H131" i="8" l="1"/>
  <c r="I131" i="8"/>
  <c r="J131" i="8"/>
  <c r="AI89" i="21"/>
  <c r="AI90" i="21"/>
  <c r="AI116" i="21" s="1"/>
  <c r="AI91" i="21"/>
  <c r="AI117" i="21" s="1"/>
  <c r="CI89" i="14"/>
  <c r="CI91" i="14"/>
  <c r="CI117" i="14" s="1"/>
  <c r="CI90" i="14"/>
  <c r="CI116" i="14" s="1"/>
  <c r="S163" i="8"/>
  <c r="S146" i="8"/>
  <c r="J38" i="8"/>
  <c r="S130" i="8"/>
  <c r="T8" i="8"/>
  <c r="F69" i="21"/>
  <c r="F82" i="21"/>
  <c r="F84" i="21" s="1"/>
  <c r="P89" i="21"/>
  <c r="P91" i="21"/>
  <c r="P117" i="21" s="1"/>
  <c r="P90" i="21"/>
  <c r="P116" i="21" s="1"/>
  <c r="Z89" i="21"/>
  <c r="Z91" i="21"/>
  <c r="Z117" i="21" s="1"/>
  <c r="Z90" i="21"/>
  <c r="Z116" i="21" s="1"/>
  <c r="I88" i="14"/>
  <c r="I87" i="14"/>
  <c r="AR85" i="21"/>
  <c r="AR84" i="21"/>
  <c r="AR74" i="21"/>
  <c r="F37" i="21"/>
  <c r="G148" i="8"/>
  <c r="H148" i="8"/>
  <c r="I148" i="8"/>
  <c r="F148" i="8"/>
  <c r="I157" i="8"/>
  <c r="H157" i="8"/>
  <c r="G157" i="8"/>
  <c r="F157" i="8"/>
  <c r="E157" i="8"/>
  <c r="I154" i="8"/>
  <c r="H154" i="8"/>
  <c r="G154" i="8"/>
  <c r="F154" i="8"/>
  <c r="E154" i="8"/>
  <c r="AC148" i="8" l="1"/>
  <c r="AU148" i="8"/>
  <c r="BE148" i="8"/>
  <c r="AL148" i="8"/>
  <c r="Z148" i="8"/>
  <c r="AI148" i="8"/>
  <c r="AR148" i="8"/>
  <c r="BB148" i="8"/>
  <c r="AB148" i="8"/>
  <c r="BD148" i="8"/>
  <c r="AK148" i="8"/>
  <c r="AT148" i="8"/>
  <c r="AA148" i="8"/>
  <c r="BC148" i="8"/>
  <c r="AJ148" i="8"/>
  <c r="AS148" i="8"/>
  <c r="F74" i="21"/>
  <c r="F85" i="21"/>
  <c r="F88" i="21" s="1"/>
  <c r="T38" i="8"/>
  <c r="AR88" i="21"/>
  <c r="AR87" i="21"/>
  <c r="I89" i="14"/>
  <c r="I91" i="14"/>
  <c r="I117" i="14" s="1"/>
  <c r="I95" i="14"/>
  <c r="I103" i="14" s="1"/>
  <c r="I90" i="14"/>
  <c r="I116" i="14" s="1"/>
  <c r="F163" i="8"/>
  <c r="E163" i="8"/>
  <c r="I163" i="8"/>
  <c r="G163" i="8"/>
  <c r="H163" i="8"/>
  <c r="AR91" i="21" l="1"/>
  <c r="AR117" i="21" s="1"/>
  <c r="AR90" i="21"/>
  <c r="AR116" i="21" s="1"/>
  <c r="F87" i="21"/>
  <c r="F91" i="21"/>
  <c r="F117" i="21" s="1"/>
  <c r="F90" i="21"/>
  <c r="F116" i="21" s="1"/>
  <c r="F89" i="21"/>
  <c r="F95" i="21"/>
  <c r="F103" i="21" s="1"/>
  <c r="AR89" i="21"/>
  <c r="O188" i="8"/>
  <c r="Q189" i="8"/>
  <c r="P189" i="8"/>
  <c r="O189" i="8"/>
  <c r="O190" i="8" l="1"/>
  <c r="R189" i="8"/>
  <c r="S189" i="8"/>
  <c r="S184" i="8" l="1"/>
  <c r="R184" i="8"/>
  <c r="Q184" i="8"/>
  <c r="P184" i="8"/>
  <c r="O184" i="8"/>
  <c r="S109" i="8"/>
  <c r="R109" i="8"/>
  <c r="Q109" i="8"/>
  <c r="P109" i="8"/>
  <c r="O109" i="8"/>
  <c r="S107" i="8"/>
  <c r="R107" i="8"/>
  <c r="Q107" i="8"/>
  <c r="P107" i="8"/>
  <c r="O107" i="8"/>
  <c r="S148" i="8"/>
  <c r="Q148" i="8"/>
  <c r="P148" i="8"/>
  <c r="O148" i="8"/>
  <c r="S150" i="8"/>
  <c r="R150" i="8"/>
  <c r="Q150" i="8"/>
  <c r="P150" i="8"/>
  <c r="O150" i="8"/>
  <c r="S149" i="8"/>
  <c r="R149" i="8"/>
  <c r="Q149" i="8"/>
  <c r="P149" i="8"/>
  <c r="O149" i="8"/>
  <c r="O108" i="8" l="1"/>
  <c r="F86" i="8"/>
  <c r="F83" i="8"/>
  <c r="AH2" i="8"/>
  <c r="Y2" i="8"/>
  <c r="R108" i="8" l="1"/>
  <c r="S108" i="8"/>
  <c r="P108" i="8"/>
  <c r="Q108" i="8"/>
  <c r="P83" i="8"/>
  <c r="P79" i="8"/>
  <c r="P77" i="8"/>
  <c r="P75" i="8"/>
  <c r="P72" i="8"/>
  <c r="P66" i="8"/>
  <c r="P59" i="8"/>
  <c r="P56" i="8"/>
  <c r="P50" i="8"/>
  <c r="P46" i="8"/>
  <c r="P42" i="8"/>
  <c r="P33" i="8"/>
  <c r="P30" i="8"/>
  <c r="P21" i="8"/>
  <c r="P16" i="8"/>
  <c r="P14" i="8"/>
  <c r="BB86" i="8"/>
  <c r="BB80" i="8"/>
  <c r="BB78" i="8"/>
  <c r="BB76" i="8"/>
  <c r="BB73" i="8"/>
  <c r="BB71" i="8"/>
  <c r="BB65" i="8"/>
  <c r="BB58" i="8"/>
  <c r="BB51" i="8"/>
  <c r="BB48" i="8"/>
  <c r="BB43" i="8"/>
  <c r="BB41" i="8"/>
  <c r="BB32" i="8"/>
  <c r="BB17" i="8"/>
  <c r="BB15" i="8"/>
  <c r="BB10" i="8"/>
  <c r="BB7" i="8"/>
  <c r="AI86" i="8"/>
  <c r="AI80" i="8"/>
  <c r="AI78" i="8"/>
  <c r="AI76" i="8"/>
  <c r="AI73" i="8"/>
  <c r="AI71" i="8"/>
  <c r="AI65" i="8"/>
  <c r="AI58" i="8"/>
  <c r="AI51" i="8"/>
  <c r="AI48" i="8"/>
  <c r="AI43" i="8"/>
  <c r="AI41" i="8"/>
  <c r="AI32" i="8"/>
  <c r="AI17" i="8"/>
  <c r="AI15" i="8"/>
  <c r="AI10" i="8"/>
  <c r="AI7" i="8"/>
  <c r="Z86" i="8"/>
  <c r="Z80" i="8"/>
  <c r="AI83" i="8"/>
  <c r="AI79" i="8"/>
  <c r="AI77" i="8"/>
  <c r="AI75" i="8"/>
  <c r="AI72" i="8"/>
  <c r="AI66" i="8"/>
  <c r="AI59" i="8"/>
  <c r="AI56" i="8"/>
  <c r="AI50" i="8"/>
  <c r="P80" i="8"/>
  <c r="P76" i="8"/>
  <c r="P71" i="8"/>
  <c r="P58" i="8"/>
  <c r="P48" i="8"/>
  <c r="Z42" i="8"/>
  <c r="BB30" i="8"/>
  <c r="Z17" i="8"/>
  <c r="AR17" i="8" s="1"/>
  <c r="AI14" i="8"/>
  <c r="Z7" i="8"/>
  <c r="BB77" i="8"/>
  <c r="P43" i="8"/>
  <c r="Z76" i="8"/>
  <c r="P32" i="8"/>
  <c r="BB79" i="8"/>
  <c r="BB75" i="8"/>
  <c r="BB66" i="8"/>
  <c r="BB56" i="8"/>
  <c r="BB46" i="8"/>
  <c r="AI30" i="8"/>
  <c r="P17" i="8"/>
  <c r="P7" i="8"/>
  <c r="P86" i="8"/>
  <c r="BB50" i="8"/>
  <c r="AI9" i="8"/>
  <c r="Z79" i="8"/>
  <c r="Z75" i="8"/>
  <c r="Z66" i="8"/>
  <c r="Z56" i="8"/>
  <c r="AI46" i="8"/>
  <c r="P41" i="8"/>
  <c r="Z30" i="8"/>
  <c r="BB16" i="8"/>
  <c r="Z10" i="8"/>
  <c r="BB72" i="8"/>
  <c r="AI42" i="8"/>
  <c r="Z78" i="8"/>
  <c r="Z73" i="8"/>
  <c r="Z51" i="8"/>
  <c r="BB33" i="8"/>
  <c r="Z24" i="8"/>
  <c r="Z192" i="8" s="1"/>
  <c r="Z194" i="8" s="1"/>
  <c r="AI16" i="8"/>
  <c r="P10" i="8"/>
  <c r="Z33" i="8"/>
  <c r="BB14" i="8"/>
  <c r="P78" i="8"/>
  <c r="P73" i="8"/>
  <c r="P65" i="8"/>
  <c r="P51" i="8"/>
  <c r="Z43" i="8"/>
  <c r="AI33" i="8"/>
  <c r="P24" i="8"/>
  <c r="Z16" i="8"/>
  <c r="BB9" i="8"/>
  <c r="BB59" i="8"/>
  <c r="Z15" i="8"/>
  <c r="AR15" i="8" s="1"/>
  <c r="Z83" i="8"/>
  <c r="BB83" i="8"/>
  <c r="Z77" i="8"/>
  <c r="AR77" i="8" s="1"/>
  <c r="Z72" i="8"/>
  <c r="Z59" i="8"/>
  <c r="Z50" i="8"/>
  <c r="BB42" i="8"/>
  <c r="P15" i="8"/>
  <c r="Z9" i="8"/>
  <c r="Z48" i="8"/>
  <c r="P9" i="8"/>
  <c r="R148" i="8"/>
  <c r="AR78" i="8" l="1"/>
  <c r="AR48" i="8"/>
  <c r="AR59" i="8"/>
  <c r="AR56" i="8"/>
  <c r="AR66" i="8"/>
  <c r="AR76" i="8"/>
  <c r="AR43" i="8"/>
  <c r="AR75" i="8"/>
  <c r="AR30" i="8"/>
  <c r="P81" i="8"/>
  <c r="AI81" i="8"/>
  <c r="BB81" i="8"/>
  <c r="AR50" i="8"/>
  <c r="AR51" i="8"/>
  <c r="AR72" i="8"/>
  <c r="AR9" i="8"/>
  <c r="AR16" i="8"/>
  <c r="AR86" i="8"/>
  <c r="AR10" i="8"/>
  <c r="AR83" i="8"/>
  <c r="AR73" i="8"/>
  <c r="AR42" i="8"/>
  <c r="BB21" i="8"/>
  <c r="BB188" i="8" s="1"/>
  <c r="BB190" i="8" s="1"/>
  <c r="AI24" i="8"/>
  <c r="AI21" i="8"/>
  <c r="AI188" i="8" s="1"/>
  <c r="AI190" i="8" s="1"/>
  <c r="AR7" i="8"/>
  <c r="AR80" i="8"/>
  <c r="AR33" i="8"/>
  <c r="AR79" i="8"/>
  <c r="BB24" i="8"/>
  <c r="T90" i="8"/>
  <c r="T116" i="8" s="1"/>
  <c r="AL9" i="8"/>
  <c r="BE9" i="8"/>
  <c r="AX9" i="14"/>
  <c r="CJ9" i="14" s="1"/>
  <c r="S9" i="8"/>
  <c r="AL43" i="8"/>
  <c r="AX43" i="14"/>
  <c r="CJ43" i="14" s="1"/>
  <c r="S43" i="8"/>
  <c r="BE43" i="8"/>
  <c r="AL10" i="8"/>
  <c r="BE10" i="8"/>
  <c r="AX10" i="14"/>
  <c r="CJ10" i="14" s="1"/>
  <c r="S10" i="8"/>
  <c r="AL17" i="8"/>
  <c r="AX17" i="14"/>
  <c r="CJ17" i="14" s="1"/>
  <c r="S17" i="8"/>
  <c r="BE17" i="8"/>
  <c r="AL51" i="8"/>
  <c r="AX51" i="14"/>
  <c r="CJ51" i="14" s="1"/>
  <c r="BE51" i="8"/>
  <c r="S72" i="8"/>
  <c r="BE72" i="8"/>
  <c r="AX72" i="14"/>
  <c r="CJ72" i="14" s="1"/>
  <c r="AL72" i="8"/>
  <c r="S83" i="8"/>
  <c r="BE83" i="8"/>
  <c r="AX83" i="14"/>
  <c r="CJ83" i="14" s="1"/>
  <c r="AL83" i="8"/>
  <c r="F51" i="8"/>
  <c r="F10" i="8"/>
  <c r="AL75" i="8"/>
  <c r="AX75" i="14"/>
  <c r="CJ75" i="14" s="1"/>
  <c r="S75" i="8"/>
  <c r="BE75" i="8"/>
  <c r="AL76" i="8"/>
  <c r="AX76" i="14"/>
  <c r="CJ76" i="14" s="1"/>
  <c r="BE76" i="8"/>
  <c r="S76" i="8"/>
  <c r="BE86" i="8"/>
  <c r="AL86" i="8"/>
  <c r="AX86" i="14"/>
  <c r="CJ86" i="14" s="1"/>
  <c r="AL56" i="8"/>
  <c r="AX56" i="14"/>
  <c r="CJ56" i="14" s="1"/>
  <c r="BE56" i="8"/>
  <c r="S56" i="8"/>
  <c r="AX30" i="14"/>
  <c r="CJ30" i="14" s="1"/>
  <c r="BE30" i="8"/>
  <c r="AL30" i="8"/>
  <c r="BE59" i="8"/>
  <c r="AL59" i="8"/>
  <c r="AX59" i="14"/>
  <c r="CJ59" i="14" s="1"/>
  <c r="S59" i="8"/>
  <c r="BE77" i="8"/>
  <c r="AL77" i="8"/>
  <c r="AX77" i="14"/>
  <c r="CJ77" i="14" s="1"/>
  <c r="S77" i="8"/>
  <c r="AL7" i="8"/>
  <c r="AX7" i="14"/>
  <c r="CJ7" i="14" s="1"/>
  <c r="BE7" i="8"/>
  <c r="S7" i="8"/>
  <c r="AL73" i="8"/>
  <c r="AX73" i="14"/>
  <c r="CJ73" i="14" s="1"/>
  <c r="BE73" i="8"/>
  <c r="S73" i="8"/>
  <c r="Z71" i="8"/>
  <c r="AL78" i="8"/>
  <c r="AX78" i="14"/>
  <c r="CJ78" i="14" s="1"/>
  <c r="S78" i="8"/>
  <c r="BE78" i="8"/>
  <c r="AX42" i="14"/>
  <c r="CJ42" i="14" s="1"/>
  <c r="BE42" i="8"/>
  <c r="AL42" i="8"/>
  <c r="S42" i="8"/>
  <c r="AL24" i="8"/>
  <c r="AL192" i="8" s="1"/>
  <c r="AL194" i="8" s="1"/>
  <c r="AX24" i="14"/>
  <c r="S24" i="8"/>
  <c r="BE24" i="8"/>
  <c r="BE192" i="8" s="1"/>
  <c r="BE194" i="8" s="1"/>
  <c r="AX16" i="14"/>
  <c r="CJ16" i="14" s="1"/>
  <c r="BE16" i="8"/>
  <c r="AL16" i="8"/>
  <c r="AX33" i="14"/>
  <c r="CJ33" i="14" s="1"/>
  <c r="BE33" i="8"/>
  <c r="AL33" i="8"/>
  <c r="S33" i="8"/>
  <c r="BE66" i="8"/>
  <c r="AL66" i="8"/>
  <c r="AX66" i="14"/>
  <c r="CJ66" i="14" s="1"/>
  <c r="S66" i="8"/>
  <c r="AX79" i="14"/>
  <c r="CJ79" i="14" s="1"/>
  <c r="BE79" i="8"/>
  <c r="AL79" i="8"/>
  <c r="S79" i="8"/>
  <c r="AL15" i="8"/>
  <c r="AX15" i="14"/>
  <c r="CJ15" i="14" s="1"/>
  <c r="S15" i="8"/>
  <c r="BE15" i="8"/>
  <c r="AL48" i="8"/>
  <c r="AX48" i="14"/>
  <c r="CJ48" i="14" s="1"/>
  <c r="BE48" i="8"/>
  <c r="S50" i="8"/>
  <c r="AX50" i="14"/>
  <c r="CJ50" i="14" s="1"/>
  <c r="BE50" i="8"/>
  <c r="AL50" i="8"/>
  <c r="AL80" i="8"/>
  <c r="AX80" i="14"/>
  <c r="CJ80" i="14" s="1"/>
  <c r="BE80" i="8"/>
  <c r="S80" i="8"/>
  <c r="Z58" i="8"/>
  <c r="AR58" i="8" s="1"/>
  <c r="Z41" i="8"/>
  <c r="AR41" i="8" s="1"/>
  <c r="BB34" i="8"/>
  <c r="P188" i="8"/>
  <c r="P190" i="8" s="1"/>
  <c r="F66" i="8"/>
  <c r="P5" i="8"/>
  <c r="F30" i="8"/>
  <c r="F72" i="8"/>
  <c r="Z5" i="8"/>
  <c r="F73" i="8"/>
  <c r="F43" i="8"/>
  <c r="F48" i="8"/>
  <c r="AI60" i="8"/>
  <c r="AI61" i="8" s="1"/>
  <c r="F33" i="8"/>
  <c r="F75" i="8"/>
  <c r="F78" i="8"/>
  <c r="AI67" i="8"/>
  <c r="F42" i="8"/>
  <c r="F77" i="8"/>
  <c r="F15" i="8"/>
  <c r="Z46" i="8"/>
  <c r="AR46" i="8" s="1"/>
  <c r="F7" i="8"/>
  <c r="F79" i="8"/>
  <c r="F24" i="8"/>
  <c r="P192" i="8"/>
  <c r="P194" i="8" s="1"/>
  <c r="P26" i="8" s="1"/>
  <c r="BB18" i="8"/>
  <c r="BB5" i="8"/>
  <c r="Z14" i="8"/>
  <c r="AR14" i="8" s="1"/>
  <c r="F76" i="8"/>
  <c r="AI34" i="8"/>
  <c r="BB60" i="8"/>
  <c r="F50" i="8"/>
  <c r="Z32" i="8"/>
  <c r="AR32" i="8" s="1"/>
  <c r="Z21" i="8"/>
  <c r="Z65" i="8"/>
  <c r="AR65" i="8" s="1"/>
  <c r="F17" i="8"/>
  <c r="AI18" i="8"/>
  <c r="F80" i="8"/>
  <c r="BB67" i="8"/>
  <c r="F56" i="8"/>
  <c r="F9" i="8"/>
  <c r="AI5" i="8"/>
  <c r="AI11" i="8" s="1"/>
  <c r="F16" i="8"/>
  <c r="F59" i="8"/>
  <c r="AX191" i="14" l="1"/>
  <c r="AX193" i="14" s="1"/>
  <c r="CJ24" i="14"/>
  <c r="AR21" i="8"/>
  <c r="AR188" i="8" s="1"/>
  <c r="AR190" i="8" s="1"/>
  <c r="Z188" i="8"/>
  <c r="Z190" i="8" s="1"/>
  <c r="BB25" i="8"/>
  <c r="BB192" i="8"/>
  <c r="BB194" i="8" s="1"/>
  <c r="AR24" i="8"/>
  <c r="AR192" i="8" s="1"/>
  <c r="AR194" i="8" s="1"/>
  <c r="AI192" i="8"/>
  <c r="AI194" i="8" s="1"/>
  <c r="AR71" i="8"/>
  <c r="AR81" i="8" s="1"/>
  <c r="Z81" i="8"/>
  <c r="DD191" i="14"/>
  <c r="DD193" i="14" s="1"/>
  <c r="AC24" i="8"/>
  <c r="AC7" i="8"/>
  <c r="AU7" i="8" s="1"/>
  <c r="AC17" i="8"/>
  <c r="AU17" i="8" s="1"/>
  <c r="AC16" i="8"/>
  <c r="AU16" i="8" s="1"/>
  <c r="AC80" i="8"/>
  <c r="AU80" i="8" s="1"/>
  <c r="AC79" i="8"/>
  <c r="AU79" i="8" s="1"/>
  <c r="AC78" i="8"/>
  <c r="AU78" i="8" s="1"/>
  <c r="AC73" i="8"/>
  <c r="AU73" i="8" s="1"/>
  <c r="AC56" i="8"/>
  <c r="AU56" i="8" s="1"/>
  <c r="AC75" i="8"/>
  <c r="AU75" i="8" s="1"/>
  <c r="AC51" i="8"/>
  <c r="AU51" i="8" s="1"/>
  <c r="AC9" i="8"/>
  <c r="AU9" i="8" s="1"/>
  <c r="AC15" i="8"/>
  <c r="AU15" i="8" s="1"/>
  <c r="AC59" i="8"/>
  <c r="AU59" i="8" s="1"/>
  <c r="AC50" i="8"/>
  <c r="AU50" i="8" s="1"/>
  <c r="AC86" i="8"/>
  <c r="AU86" i="8" s="1"/>
  <c r="AC43" i="8"/>
  <c r="AU43" i="8" s="1"/>
  <c r="AC48" i="8"/>
  <c r="AU48" i="8" s="1"/>
  <c r="AC66" i="8"/>
  <c r="AU66" i="8" s="1"/>
  <c r="AC33" i="8"/>
  <c r="AU33" i="8" s="1"/>
  <c r="AC30" i="8"/>
  <c r="AU30" i="8" s="1"/>
  <c r="AC76" i="8"/>
  <c r="AU76" i="8" s="1"/>
  <c r="AC72" i="8"/>
  <c r="AU72" i="8" s="1"/>
  <c r="AC10" i="8"/>
  <c r="AU10" i="8" s="1"/>
  <c r="AC77" i="8"/>
  <c r="AU77" i="8" s="1"/>
  <c r="AC42" i="8"/>
  <c r="AU42" i="8" s="1"/>
  <c r="AC83" i="8"/>
  <c r="AU83" i="8" s="1"/>
  <c r="F25" i="8"/>
  <c r="F192" i="8"/>
  <c r="F194" i="8" s="1"/>
  <c r="F26" i="8" s="1"/>
  <c r="BB27" i="8"/>
  <c r="BB28" i="8" s="1"/>
  <c r="BB22" i="8"/>
  <c r="AI27" i="8"/>
  <c r="AI35" i="8" s="1"/>
  <c r="F58" i="8"/>
  <c r="F60" i="8" s="1"/>
  <c r="BB63" i="8"/>
  <c r="BB44" i="8"/>
  <c r="BB53" i="8" s="1"/>
  <c r="BB62" i="8" s="1"/>
  <c r="F21" i="8"/>
  <c r="F188" i="8" s="1"/>
  <c r="F190" i="8" s="1"/>
  <c r="F23" i="8" s="1"/>
  <c r="AL41" i="8"/>
  <c r="S65" i="8"/>
  <c r="BE46" i="8"/>
  <c r="I73" i="8"/>
  <c r="AX14" i="14"/>
  <c r="CJ14" i="14" s="1"/>
  <c r="AX58" i="14"/>
  <c r="CJ58" i="14" s="1"/>
  <c r="F14" i="8"/>
  <c r="AI63" i="8"/>
  <c r="AI44" i="8"/>
  <c r="AI53" i="8" s="1"/>
  <c r="AI62" i="8" s="1"/>
  <c r="P6" i="8"/>
  <c r="P11" i="8"/>
  <c r="P12" i="8" s="1"/>
  <c r="I80" i="8"/>
  <c r="S71" i="8"/>
  <c r="S48" i="8"/>
  <c r="I15" i="8"/>
  <c r="S16" i="8"/>
  <c r="AX65" i="14"/>
  <c r="CJ65" i="14" s="1"/>
  <c r="I78" i="8"/>
  <c r="BE32" i="8"/>
  <c r="AL14" i="8"/>
  <c r="AL58" i="8"/>
  <c r="F65" i="8"/>
  <c r="F67" i="8" s="1"/>
  <c r="Z67" i="8"/>
  <c r="AR67" i="8"/>
  <c r="AR18" i="8"/>
  <c r="Z18" i="8"/>
  <c r="I50" i="8"/>
  <c r="I42" i="8"/>
  <c r="S32" i="8"/>
  <c r="S21" i="8"/>
  <c r="F5" i="8"/>
  <c r="BE71" i="8"/>
  <c r="BE81" i="8" s="1"/>
  <c r="P8" i="8"/>
  <c r="P18" i="8"/>
  <c r="P19" i="8" s="1"/>
  <c r="Z27" i="8"/>
  <c r="AX71" i="14"/>
  <c r="CJ71" i="14" s="1"/>
  <c r="BE41" i="8"/>
  <c r="I33" i="8"/>
  <c r="AL65" i="8"/>
  <c r="I59" i="8"/>
  <c r="AX32" i="14"/>
  <c r="CJ32" i="14" s="1"/>
  <c r="BE14" i="8"/>
  <c r="P67" i="8"/>
  <c r="I72" i="8"/>
  <c r="I17" i="8"/>
  <c r="F71" i="8"/>
  <c r="F81" i="8" s="1"/>
  <c r="P60" i="8"/>
  <c r="AR5" i="8"/>
  <c r="AR11" i="8" s="1"/>
  <c r="Z11" i="8"/>
  <c r="P34" i="8"/>
  <c r="AL71" i="8"/>
  <c r="AL81" i="8" s="1"/>
  <c r="AL32" i="8"/>
  <c r="S58" i="8"/>
  <c r="I75" i="8"/>
  <c r="S51" i="8"/>
  <c r="I9" i="8"/>
  <c r="I66" i="8"/>
  <c r="S46" i="8"/>
  <c r="I77" i="8"/>
  <c r="S30" i="8"/>
  <c r="I56" i="8"/>
  <c r="BE58" i="8"/>
  <c r="I83" i="8"/>
  <c r="AX21" i="14"/>
  <c r="F32" i="8"/>
  <c r="F34" i="8" s="1"/>
  <c r="P44" i="8"/>
  <c r="P53" i="8" s="1"/>
  <c r="S41" i="8"/>
  <c r="AL46" i="8"/>
  <c r="I7" i="8"/>
  <c r="I76" i="8"/>
  <c r="I10" i="8"/>
  <c r="AR34" i="8"/>
  <c r="Z34" i="8"/>
  <c r="BB6" i="8"/>
  <c r="BB11" i="8"/>
  <c r="F46" i="8"/>
  <c r="Z63" i="8"/>
  <c r="Z44" i="8"/>
  <c r="F41" i="8"/>
  <c r="P27" i="8"/>
  <c r="Z60" i="8"/>
  <c r="AR60" i="8"/>
  <c r="AX41" i="14"/>
  <c r="CJ41" i="14" s="1"/>
  <c r="I79" i="8"/>
  <c r="BE65" i="8"/>
  <c r="AX46" i="14"/>
  <c r="CJ46" i="14" s="1"/>
  <c r="I24" i="8"/>
  <c r="S14" i="8"/>
  <c r="I43" i="8"/>
  <c r="S81" i="8" l="1"/>
  <c r="AX187" i="14"/>
  <c r="AX189" i="14" s="1"/>
  <c r="CJ21" i="14"/>
  <c r="AU24" i="8"/>
  <c r="AU192" i="8" s="1"/>
  <c r="AU194" i="8" s="1"/>
  <c r="AC192" i="8"/>
  <c r="AC194" i="8" s="1"/>
  <c r="AX81" i="14"/>
  <c r="BE21" i="8"/>
  <c r="BE188" i="8" s="1"/>
  <c r="BE190" i="8" s="1"/>
  <c r="AL21" i="8"/>
  <c r="AL188" i="8" s="1"/>
  <c r="AL190" i="8" s="1"/>
  <c r="S192" i="8"/>
  <c r="S194" i="8" s="1"/>
  <c r="S26" i="8" s="1"/>
  <c r="I8" i="8"/>
  <c r="BE18" i="8"/>
  <c r="BE34" i="8"/>
  <c r="BE67" i="8"/>
  <c r="BE60" i="8"/>
  <c r="AL67" i="8"/>
  <c r="AL60" i="8"/>
  <c r="AL34" i="8"/>
  <c r="BE25" i="8"/>
  <c r="DD187" i="14"/>
  <c r="DD189" i="14" s="1"/>
  <c r="AD191" i="14"/>
  <c r="AD193" i="14" s="1"/>
  <c r="AD26" i="14" s="1"/>
  <c r="AD25" i="14"/>
  <c r="J43" i="14"/>
  <c r="J17" i="14"/>
  <c r="J76" i="14"/>
  <c r="J10" i="14"/>
  <c r="DD5" i="14"/>
  <c r="J83" i="14"/>
  <c r="J77" i="14"/>
  <c r="J73" i="14"/>
  <c r="J79" i="14"/>
  <c r="J24" i="14"/>
  <c r="BQ5" i="14"/>
  <c r="BQ11" i="14" s="1"/>
  <c r="J15" i="14"/>
  <c r="J42" i="14"/>
  <c r="AX60" i="14"/>
  <c r="J78" i="14"/>
  <c r="J72" i="14"/>
  <c r="AX5" i="14"/>
  <c r="J7" i="14"/>
  <c r="J66" i="14"/>
  <c r="J80" i="14"/>
  <c r="J50" i="14"/>
  <c r="J33" i="14"/>
  <c r="J9" i="14"/>
  <c r="J56" i="14"/>
  <c r="J59" i="14"/>
  <c r="J75" i="14"/>
  <c r="I25" i="8"/>
  <c r="I192" i="8"/>
  <c r="I194" i="8" s="1"/>
  <c r="I26" i="8" s="1"/>
  <c r="P62" i="8"/>
  <c r="AI82" i="8"/>
  <c r="AI85" i="8" s="1"/>
  <c r="AI88" i="8" s="1"/>
  <c r="AI89" i="8" s="1"/>
  <c r="AI69" i="8"/>
  <c r="AR27" i="8"/>
  <c r="AR35" i="8" s="1"/>
  <c r="P35" i="8"/>
  <c r="AC46" i="8"/>
  <c r="AU46" i="8" s="1"/>
  <c r="BB12" i="8"/>
  <c r="BB35" i="8"/>
  <c r="BB69" i="8" s="1"/>
  <c r="I30" i="8"/>
  <c r="AC71" i="8"/>
  <c r="F6" i="8"/>
  <c r="F11" i="8"/>
  <c r="F12" i="8" s="1"/>
  <c r="I16" i="8"/>
  <c r="AC14" i="8"/>
  <c r="AU14" i="8" s="1"/>
  <c r="F27" i="8"/>
  <c r="F28" i="8" s="1"/>
  <c r="F22" i="8"/>
  <c r="AC41" i="8"/>
  <c r="AU41" i="8" s="1"/>
  <c r="F63" i="8"/>
  <c r="F44" i="8"/>
  <c r="BE5" i="8"/>
  <c r="Z49" i="8"/>
  <c r="Z45" i="8"/>
  <c r="Z53" i="8"/>
  <c r="Z62" i="8" s="1"/>
  <c r="Z52" i="8"/>
  <c r="S5" i="8"/>
  <c r="AC5" i="8"/>
  <c r="S188" i="8"/>
  <c r="S190" i="8" s="1"/>
  <c r="AL5" i="8"/>
  <c r="AL11" i="8" s="1"/>
  <c r="AR44" i="8"/>
  <c r="AR63" i="8"/>
  <c r="S8" i="8"/>
  <c r="AC21" i="8"/>
  <c r="Z35" i="8"/>
  <c r="AL18" i="8"/>
  <c r="I48" i="8"/>
  <c r="AC58" i="8"/>
  <c r="AU58" i="8" s="1"/>
  <c r="Z47" i="8"/>
  <c r="AC32" i="8"/>
  <c r="AU32" i="8" s="1"/>
  <c r="F18" i="8"/>
  <c r="I51" i="8"/>
  <c r="AC65" i="8"/>
  <c r="AU65" i="8" s="1"/>
  <c r="CJ191" i="14" l="1"/>
  <c r="CJ193" i="14" s="1"/>
  <c r="BQ191" i="14"/>
  <c r="BQ193" i="14" s="1"/>
  <c r="AL61" i="8"/>
  <c r="AL64" i="8"/>
  <c r="AU21" i="8"/>
  <c r="AU188" i="8" s="1"/>
  <c r="AU190" i="8" s="1"/>
  <c r="AC188" i="8"/>
  <c r="AC190" i="8" s="1"/>
  <c r="AD81" i="14"/>
  <c r="AD27" i="14"/>
  <c r="AD28" i="14" s="1"/>
  <c r="DD81" i="14"/>
  <c r="AU71" i="8"/>
  <c r="AU81" i="8" s="1"/>
  <c r="AC81" i="8"/>
  <c r="CJ81" i="14"/>
  <c r="BQ81" i="14"/>
  <c r="AU67" i="8"/>
  <c r="AD8" i="14"/>
  <c r="J16" i="14"/>
  <c r="J51" i="14"/>
  <c r="J58" i="14"/>
  <c r="J60" i="14" s="1"/>
  <c r="AU18" i="8"/>
  <c r="J21" i="14"/>
  <c r="AU34" i="8"/>
  <c r="J41" i="14"/>
  <c r="AD34" i="14"/>
  <c r="DD60" i="14"/>
  <c r="AD67" i="14"/>
  <c r="DD67" i="14"/>
  <c r="DD44" i="14"/>
  <c r="DD53" i="14" s="1"/>
  <c r="AD60" i="14"/>
  <c r="DD34" i="14"/>
  <c r="DD18" i="14"/>
  <c r="J32" i="14"/>
  <c r="J34" i="14" s="1"/>
  <c r="J46" i="14"/>
  <c r="J48" i="14"/>
  <c r="AU60" i="8"/>
  <c r="BQ34" i="14"/>
  <c r="J65" i="14"/>
  <c r="J67" i="14" s="1"/>
  <c r="AD44" i="14"/>
  <c r="BQ18" i="14"/>
  <c r="J71" i="14"/>
  <c r="J81" i="14" s="1"/>
  <c r="J14" i="14"/>
  <c r="J5" i="14"/>
  <c r="AD5" i="14"/>
  <c r="J30" i="14"/>
  <c r="J8" i="14"/>
  <c r="J191" i="14"/>
  <c r="J193" i="14" s="1"/>
  <c r="J26" i="14" s="1"/>
  <c r="J25" i="14"/>
  <c r="BQ63" i="14"/>
  <c r="BQ44" i="14"/>
  <c r="BQ53" i="14" s="1"/>
  <c r="CJ18" i="14"/>
  <c r="AX18" i="14"/>
  <c r="AX11" i="14"/>
  <c r="CJ5" i="14"/>
  <c r="CJ11" i="14" s="1"/>
  <c r="AX63" i="14"/>
  <c r="AX44" i="14"/>
  <c r="AX47" i="14" s="1"/>
  <c r="CJ34" i="14"/>
  <c r="AX34" i="14"/>
  <c r="DD6" i="14"/>
  <c r="DD11" i="14"/>
  <c r="DD12" i="14" s="1"/>
  <c r="BQ67" i="14"/>
  <c r="AX27" i="14"/>
  <c r="CJ60" i="14"/>
  <c r="BQ60" i="14"/>
  <c r="BQ61" i="14" s="1"/>
  <c r="CJ67" i="14"/>
  <c r="AX67" i="14"/>
  <c r="DD25" i="14"/>
  <c r="AI84" i="8"/>
  <c r="AI87" i="8"/>
  <c r="P82" i="8"/>
  <c r="P85" i="8" s="1"/>
  <c r="P92" i="8" s="1"/>
  <c r="Z54" i="8"/>
  <c r="Z69" i="8"/>
  <c r="Z74" i="8" s="1"/>
  <c r="P36" i="8"/>
  <c r="P69" i="8"/>
  <c r="AI74" i="8"/>
  <c r="AL27" i="8"/>
  <c r="AL35" i="8" s="1"/>
  <c r="BE27" i="8"/>
  <c r="BE28" i="8" s="1"/>
  <c r="BE22" i="8"/>
  <c r="Z82" i="8"/>
  <c r="S60" i="8"/>
  <c r="S18" i="8"/>
  <c r="AC63" i="8"/>
  <c r="AC44" i="8"/>
  <c r="I65" i="8"/>
  <c r="I67" i="8" s="1"/>
  <c r="AC11" i="8"/>
  <c r="AU5" i="8"/>
  <c r="S6" i="8"/>
  <c r="S11" i="8"/>
  <c r="I58" i="8"/>
  <c r="I60" i="8" s="1"/>
  <c r="I14" i="8"/>
  <c r="AC18" i="8"/>
  <c r="AL63" i="8"/>
  <c r="AL44" i="8"/>
  <c r="AL53" i="8" s="1"/>
  <c r="AL62" i="8" s="1"/>
  <c r="BE6" i="8"/>
  <c r="BE11" i="8"/>
  <c r="BE12" i="8" s="1"/>
  <c r="I71" i="8"/>
  <c r="I81" i="8" s="1"/>
  <c r="AC27" i="8"/>
  <c r="S27" i="8"/>
  <c r="I5" i="8"/>
  <c r="I21" i="8"/>
  <c r="BB36" i="8"/>
  <c r="BB82" i="8"/>
  <c r="S67" i="8"/>
  <c r="S34" i="8"/>
  <c r="AC67" i="8"/>
  <c r="BE44" i="8"/>
  <c r="BE53" i="8" s="1"/>
  <c r="BE62" i="8" s="1"/>
  <c r="BE63" i="8"/>
  <c r="S44" i="8"/>
  <c r="I32" i="8"/>
  <c r="I34" i="8" s="1"/>
  <c r="I46" i="8"/>
  <c r="AC60" i="8"/>
  <c r="I41" i="8"/>
  <c r="AR45" i="8"/>
  <c r="AR53" i="8"/>
  <c r="AR62" i="8" s="1"/>
  <c r="AR69" i="8" s="1"/>
  <c r="AR74" i="8" s="1"/>
  <c r="AR49" i="8"/>
  <c r="AR47" i="8"/>
  <c r="F35" i="8"/>
  <c r="AC34" i="8"/>
  <c r="F47" i="8"/>
  <c r="F45" i="8"/>
  <c r="F49" i="8"/>
  <c r="F53" i="8"/>
  <c r="F62" i="8" s="1"/>
  <c r="CJ187" i="14" l="1"/>
  <c r="CJ189" i="14" s="1"/>
  <c r="BQ187" i="14"/>
  <c r="BQ189" i="14" s="1"/>
  <c r="AD22" i="14"/>
  <c r="AD187" i="14"/>
  <c r="AD189" i="14" s="1"/>
  <c r="AD23" i="14" s="1"/>
  <c r="AD18" i="14"/>
  <c r="AD19" i="14" s="1"/>
  <c r="DD62" i="14"/>
  <c r="DD63" i="14"/>
  <c r="AD53" i="14"/>
  <c r="AD62" i="14" s="1"/>
  <c r="DD27" i="14"/>
  <c r="DD35" i="14" s="1"/>
  <c r="DD22" i="14"/>
  <c r="AU11" i="8"/>
  <c r="S53" i="8"/>
  <c r="S12" i="8"/>
  <c r="BQ27" i="14"/>
  <c r="BQ35" i="14" s="1"/>
  <c r="I170" i="8"/>
  <c r="I188" i="8"/>
  <c r="I190" i="8" s="1"/>
  <c r="I23" i="8" s="1"/>
  <c r="J6" i="14"/>
  <c r="AX35" i="14"/>
  <c r="AD6" i="14"/>
  <c r="AD11" i="14"/>
  <c r="AD12" i="14" s="1"/>
  <c r="J11" i="14"/>
  <c r="J18" i="14"/>
  <c r="J63" i="14"/>
  <c r="J44" i="14"/>
  <c r="BQ62" i="14"/>
  <c r="AX52" i="14"/>
  <c r="AX45" i="14"/>
  <c r="AX53" i="14"/>
  <c r="AX62" i="14" s="1"/>
  <c r="AX49" i="14"/>
  <c r="CJ63" i="14"/>
  <c r="CJ44" i="14"/>
  <c r="CJ47" i="14" s="1"/>
  <c r="J187" i="14"/>
  <c r="J189" i="14" s="1"/>
  <c r="J23" i="14" s="1"/>
  <c r="J27" i="14"/>
  <c r="J22" i="14"/>
  <c r="P84" i="8"/>
  <c r="AC47" i="8"/>
  <c r="AL69" i="8"/>
  <c r="AL74" i="8" s="1"/>
  <c r="F69" i="8"/>
  <c r="P74" i="8"/>
  <c r="P38" i="8"/>
  <c r="AU27" i="8"/>
  <c r="BB37" i="8"/>
  <c r="BB38" i="8"/>
  <c r="Z84" i="8"/>
  <c r="Z85" i="8"/>
  <c r="AR82" i="8"/>
  <c r="AC35" i="8"/>
  <c r="S19" i="8"/>
  <c r="S35" i="8"/>
  <c r="I6" i="8"/>
  <c r="I11" i="8"/>
  <c r="AL82" i="8"/>
  <c r="AC49" i="8"/>
  <c r="AC52" i="8"/>
  <c r="AC45" i="8"/>
  <c r="AC53" i="8"/>
  <c r="AC62" i="8" s="1"/>
  <c r="F36" i="8"/>
  <c r="F82" i="8"/>
  <c r="I18" i="8"/>
  <c r="I27" i="8"/>
  <c r="I22" i="8"/>
  <c r="AU63" i="8"/>
  <c r="AU44" i="8"/>
  <c r="I63" i="8"/>
  <c r="I44" i="8"/>
  <c r="BB85" i="8"/>
  <c r="BB84" i="8"/>
  <c r="BE35" i="8"/>
  <c r="BE69" i="8" s="1"/>
  <c r="P88" i="8"/>
  <c r="P87" i="8"/>
  <c r="F74" i="8" l="1"/>
  <c r="S62" i="8"/>
  <c r="CJ27" i="14"/>
  <c r="CJ35" i="14" s="1"/>
  <c r="DD28" i="14"/>
  <c r="AU47" i="8"/>
  <c r="AU35" i="8"/>
  <c r="I47" i="8"/>
  <c r="I12" i="8"/>
  <c r="J12" i="14"/>
  <c r="J28" i="14"/>
  <c r="BQ69" i="14"/>
  <c r="BQ74" i="14" s="1"/>
  <c r="J35" i="14"/>
  <c r="AD35" i="14"/>
  <c r="AD82" i="14" s="1"/>
  <c r="AX54" i="14"/>
  <c r="BQ82" i="14"/>
  <c r="BQ84" i="14" s="1"/>
  <c r="J19" i="14"/>
  <c r="DD69" i="14"/>
  <c r="DD36" i="14"/>
  <c r="DD82" i="14"/>
  <c r="CJ45" i="14"/>
  <c r="CJ53" i="14"/>
  <c r="CJ62" i="14" s="1"/>
  <c r="CJ49" i="14"/>
  <c r="AX69" i="14"/>
  <c r="AX74" i="14" s="1"/>
  <c r="AX82" i="14"/>
  <c r="J47" i="14"/>
  <c r="J53" i="14"/>
  <c r="J45" i="14"/>
  <c r="J49" i="14"/>
  <c r="P91" i="8"/>
  <c r="P117" i="8" s="1"/>
  <c r="AC69" i="8"/>
  <c r="AC74" i="8" s="1"/>
  <c r="I28" i="8"/>
  <c r="AC54" i="8"/>
  <c r="BB88" i="8"/>
  <c r="BB87" i="8"/>
  <c r="I19" i="8"/>
  <c r="I35" i="8"/>
  <c r="F85" i="8"/>
  <c r="F84" i="8"/>
  <c r="S36" i="8"/>
  <c r="AR84" i="8"/>
  <c r="AR85" i="8"/>
  <c r="BE36" i="8"/>
  <c r="BE82" i="8"/>
  <c r="I53" i="8"/>
  <c r="I45" i="8"/>
  <c r="I49" i="8"/>
  <c r="F38" i="8"/>
  <c r="F37" i="8"/>
  <c r="AC82" i="8"/>
  <c r="Z88" i="8"/>
  <c r="Z87" i="8"/>
  <c r="AU49" i="8"/>
  <c r="AU53" i="8"/>
  <c r="AU45" i="8"/>
  <c r="AL84" i="8"/>
  <c r="AL85" i="8"/>
  <c r="P89" i="8"/>
  <c r="P90" i="8"/>
  <c r="P116" i="8" s="1"/>
  <c r="S82" i="8" l="1"/>
  <c r="S85" i="8" s="1"/>
  <c r="S92" i="8" s="1"/>
  <c r="S69" i="8"/>
  <c r="CJ69" i="14"/>
  <c r="CJ74" i="14" s="1"/>
  <c r="AU62" i="8"/>
  <c r="AU82" i="8" s="1"/>
  <c r="I62" i="8"/>
  <c r="I82" i="8" s="1"/>
  <c r="AD36" i="14"/>
  <c r="AD37" i="14" s="1"/>
  <c r="J62" i="14"/>
  <c r="AD69" i="14"/>
  <c r="BQ85" i="14"/>
  <c r="BQ88" i="14" s="1"/>
  <c r="AX85" i="14"/>
  <c r="AX84" i="14"/>
  <c r="CJ82" i="14"/>
  <c r="J36" i="14"/>
  <c r="AD85" i="14"/>
  <c r="AD92" i="14" s="1"/>
  <c r="AD84" i="14"/>
  <c r="DD38" i="14"/>
  <c r="DD37" i="14"/>
  <c r="DD85" i="14"/>
  <c r="DD84" i="14"/>
  <c r="Z91" i="8"/>
  <c r="Z117" i="8" s="1"/>
  <c r="BB89" i="8"/>
  <c r="AL87" i="8"/>
  <c r="AL88" i="8"/>
  <c r="S38" i="8"/>
  <c r="BE84" i="8"/>
  <c r="BE85" i="8"/>
  <c r="Z89" i="8"/>
  <c r="Z90" i="8"/>
  <c r="Z116" i="8" s="1"/>
  <c r="AC84" i="8"/>
  <c r="AC85" i="8"/>
  <c r="BE38" i="8"/>
  <c r="BE37" i="8"/>
  <c r="F88" i="8"/>
  <c r="F95" i="8" s="1"/>
  <c r="F87" i="8"/>
  <c r="AR88" i="8"/>
  <c r="AR89" i="8" s="1"/>
  <c r="AR87" i="8"/>
  <c r="I36" i="8"/>
  <c r="S84" i="8" l="1"/>
  <c r="AD74" i="14"/>
  <c r="S74" i="8"/>
  <c r="J69" i="14"/>
  <c r="J82" i="14"/>
  <c r="AD38" i="14"/>
  <c r="AU84" i="8"/>
  <c r="I69" i="8"/>
  <c r="AU69" i="8"/>
  <c r="BQ89" i="14"/>
  <c r="BQ91" i="14"/>
  <c r="BQ117" i="14" s="1"/>
  <c r="BQ90" i="14"/>
  <c r="BQ116" i="14" s="1"/>
  <c r="BQ87" i="14"/>
  <c r="J38" i="14"/>
  <c r="J37" i="14"/>
  <c r="DD88" i="14"/>
  <c r="DD89" i="14" s="1"/>
  <c r="DD87" i="14"/>
  <c r="CJ85" i="14"/>
  <c r="CJ84" i="14"/>
  <c r="AX88" i="14"/>
  <c r="AX87" i="14"/>
  <c r="F90" i="8"/>
  <c r="F116" i="8" s="1"/>
  <c r="F91" i="8"/>
  <c r="F117" i="8" s="1"/>
  <c r="BD7" i="8"/>
  <c r="Q79" i="8"/>
  <c r="BD66" i="8"/>
  <c r="BC33" i="8"/>
  <c r="AK10" i="8"/>
  <c r="R83" i="8"/>
  <c r="AA51" i="8"/>
  <c r="BD48" i="8"/>
  <c r="Q73" i="8"/>
  <c r="AJ15" i="8"/>
  <c r="AA75" i="8"/>
  <c r="BC17" i="8"/>
  <c r="BC76" i="8"/>
  <c r="BD75" i="8"/>
  <c r="Q77" i="8"/>
  <c r="BD76" i="8"/>
  <c r="R86" i="8"/>
  <c r="AK80" i="8"/>
  <c r="Q9" i="8"/>
  <c r="AA9" i="8"/>
  <c r="BC78" i="8"/>
  <c r="BD59" i="8"/>
  <c r="AK77" i="8"/>
  <c r="AA72" i="8"/>
  <c r="BC72" i="8"/>
  <c r="Q56" i="8"/>
  <c r="AJ30" i="8"/>
  <c r="AA66" i="8"/>
  <c r="R17" i="8"/>
  <c r="BD78" i="8"/>
  <c r="AL89" i="8"/>
  <c r="AU85" i="8"/>
  <c r="I84" i="8"/>
  <c r="I85" i="8"/>
  <c r="I37" i="8"/>
  <c r="I38" i="8"/>
  <c r="AA83" i="8"/>
  <c r="AA79" i="8"/>
  <c r="AA77" i="8"/>
  <c r="AA59" i="8"/>
  <c r="AA56" i="8"/>
  <c r="AA50" i="8"/>
  <c r="AA42" i="8"/>
  <c r="AA33" i="8"/>
  <c r="AA30" i="8"/>
  <c r="AA15" i="8"/>
  <c r="AJ9" i="8"/>
  <c r="Q83" i="8"/>
  <c r="Q75" i="8"/>
  <c r="Q66" i="8"/>
  <c r="Q59" i="8"/>
  <c r="Q50" i="8"/>
  <c r="Q42" i="8"/>
  <c r="Q33" i="8"/>
  <c r="Q30" i="8"/>
  <c r="Q15" i="8"/>
  <c r="Q14" i="8"/>
  <c r="BC9" i="8"/>
  <c r="BC86" i="8"/>
  <c r="BC73" i="8"/>
  <c r="BC71" i="8"/>
  <c r="BC65" i="8"/>
  <c r="BC51" i="8"/>
  <c r="BC48" i="8"/>
  <c r="BC43" i="8"/>
  <c r="BC32" i="8"/>
  <c r="BC16" i="8"/>
  <c r="Q7" i="8"/>
  <c r="Q10" i="8"/>
  <c r="AJ86" i="8"/>
  <c r="AJ80" i="8"/>
  <c r="AJ78" i="8"/>
  <c r="AJ76" i="8"/>
  <c r="AJ73" i="8"/>
  <c r="AJ71" i="8"/>
  <c r="AJ58" i="8"/>
  <c r="AJ51" i="8"/>
  <c r="AJ48" i="8"/>
  <c r="AJ43" i="8"/>
  <c r="AJ41" i="8"/>
  <c r="AJ17" i="8"/>
  <c r="AJ16" i="8"/>
  <c r="AA7" i="8"/>
  <c r="AA10" i="8"/>
  <c r="Q86" i="8"/>
  <c r="Q80" i="8"/>
  <c r="Q78" i="8"/>
  <c r="Q76" i="8"/>
  <c r="Q71" i="8"/>
  <c r="Q65" i="8"/>
  <c r="Q58" i="8"/>
  <c r="Q51" i="8"/>
  <c r="Q48" i="8"/>
  <c r="Q43" i="8"/>
  <c r="Q41" i="8"/>
  <c r="Q32" i="8"/>
  <c r="Q24" i="8"/>
  <c r="Q17" i="8"/>
  <c r="Q16" i="8"/>
  <c r="BC7" i="8"/>
  <c r="BC83" i="8"/>
  <c r="BC79" i="8"/>
  <c r="BC77" i="8"/>
  <c r="BC75" i="8"/>
  <c r="BC66" i="8"/>
  <c r="BC59" i="8"/>
  <c r="BC56" i="8"/>
  <c r="BC50" i="8"/>
  <c r="BC46" i="8"/>
  <c r="BC42" i="8"/>
  <c r="BC30" i="8"/>
  <c r="BC15" i="8"/>
  <c r="BC14" i="8"/>
  <c r="AA76" i="8"/>
  <c r="AA16" i="8"/>
  <c r="AJ46" i="8"/>
  <c r="AJ75" i="8"/>
  <c r="AJ56" i="8"/>
  <c r="AJ33" i="8"/>
  <c r="AJ14" i="8"/>
  <c r="AJ66" i="8"/>
  <c r="AA86" i="8"/>
  <c r="AA73" i="8"/>
  <c r="AJ7" i="8"/>
  <c r="AJ83" i="8"/>
  <c r="AJ72" i="8"/>
  <c r="AJ50" i="8"/>
  <c r="AJ79" i="8"/>
  <c r="BC10" i="8"/>
  <c r="AA80" i="8"/>
  <c r="AA48" i="8"/>
  <c r="AA24" i="8"/>
  <c r="AA192" i="8" s="1"/>
  <c r="AA194" i="8" s="1"/>
  <c r="AJ10" i="8"/>
  <c r="AA78" i="8"/>
  <c r="AA43" i="8"/>
  <c r="AA17" i="8"/>
  <c r="AJ77" i="8"/>
  <c r="AJ59" i="8"/>
  <c r="AJ42" i="8"/>
  <c r="F89" i="8"/>
  <c r="AC87" i="8"/>
  <c r="AC88" i="8"/>
  <c r="R80" i="8"/>
  <c r="R78" i="8"/>
  <c r="R76" i="8"/>
  <c r="R73" i="8"/>
  <c r="R71" i="8"/>
  <c r="R65" i="8"/>
  <c r="R58" i="8"/>
  <c r="R48" i="8"/>
  <c r="R43" i="8"/>
  <c r="R41" i="8"/>
  <c r="R32" i="8"/>
  <c r="R24" i="8"/>
  <c r="R15" i="8"/>
  <c r="R10" i="8"/>
  <c r="R7" i="8"/>
  <c r="BD83" i="8"/>
  <c r="BD79" i="8"/>
  <c r="BD77" i="8"/>
  <c r="BD72" i="8"/>
  <c r="BD56" i="8"/>
  <c r="BD50" i="8"/>
  <c r="BD46" i="8"/>
  <c r="BD42" i="8"/>
  <c r="BD33" i="8"/>
  <c r="BD30" i="8"/>
  <c r="BD21" i="8"/>
  <c r="BD188" i="8" s="1"/>
  <c r="BD190" i="8" s="1"/>
  <c r="BD16" i="8"/>
  <c r="BD14" i="8"/>
  <c r="BD9" i="8"/>
  <c r="CZ5" i="14"/>
  <c r="AK83" i="8"/>
  <c r="AK79" i="8"/>
  <c r="AK75" i="8"/>
  <c r="AK72" i="8"/>
  <c r="AK66" i="8"/>
  <c r="AK59" i="8"/>
  <c r="AK50" i="8"/>
  <c r="AK46" i="8"/>
  <c r="AK42" i="8"/>
  <c r="AK33" i="8"/>
  <c r="AK30" i="8"/>
  <c r="AK21" i="8"/>
  <c r="AK188" i="8" s="1"/>
  <c r="AK190" i="8" s="1"/>
  <c r="AK16" i="8"/>
  <c r="AK14" i="8"/>
  <c r="AK9" i="8"/>
  <c r="AT21" i="14"/>
  <c r="AT5" i="14"/>
  <c r="R79" i="8"/>
  <c r="R77" i="8"/>
  <c r="R75" i="8"/>
  <c r="R72" i="8"/>
  <c r="R66" i="8"/>
  <c r="R59" i="8"/>
  <c r="R56" i="8"/>
  <c r="R50" i="8"/>
  <c r="R46" i="8"/>
  <c r="R42" i="8"/>
  <c r="R33" i="8"/>
  <c r="BD86" i="8"/>
  <c r="BD80" i="8"/>
  <c r="BD73" i="8"/>
  <c r="BD71" i="8"/>
  <c r="BD65" i="8"/>
  <c r="BD58" i="8"/>
  <c r="BD51" i="8"/>
  <c r="BD43" i="8"/>
  <c r="BD41" i="8"/>
  <c r="BD32" i="8"/>
  <c r="BD17" i="8"/>
  <c r="BD15" i="8"/>
  <c r="BD10" i="8"/>
  <c r="AK86" i="8"/>
  <c r="AK78" i="8"/>
  <c r="AK76" i="8"/>
  <c r="AK73" i="8"/>
  <c r="AK71" i="8"/>
  <c r="AK65" i="8"/>
  <c r="AK51" i="8"/>
  <c r="AK48" i="8"/>
  <c r="AK43" i="8"/>
  <c r="AK41" i="8"/>
  <c r="AK32" i="8"/>
  <c r="AK17" i="8"/>
  <c r="AK15" i="8"/>
  <c r="AK7" i="8"/>
  <c r="AT58" i="14"/>
  <c r="CF58" i="14" s="1"/>
  <c r="R21" i="8"/>
  <c r="Z5" i="14"/>
  <c r="AT51" i="14"/>
  <c r="CF51" i="14" s="1"/>
  <c r="R16" i="8"/>
  <c r="R14" i="8"/>
  <c r="AT71" i="14"/>
  <c r="CF71" i="14" s="1"/>
  <c r="R30" i="8"/>
  <c r="R9" i="8"/>
  <c r="AT65" i="14"/>
  <c r="CF65" i="14" s="1"/>
  <c r="BE87" i="8"/>
  <c r="BE88" i="8"/>
  <c r="AS80" i="8" l="1"/>
  <c r="AS48" i="8"/>
  <c r="AS86" i="8"/>
  <c r="AT187" i="14"/>
  <c r="AT189" i="14" s="1"/>
  <c r="CF21" i="14"/>
  <c r="AS15" i="8"/>
  <c r="AS78" i="8"/>
  <c r="AS76" i="8"/>
  <c r="BD81" i="8"/>
  <c r="AJ81" i="8"/>
  <c r="AK81" i="8"/>
  <c r="R81" i="8"/>
  <c r="AS59" i="8"/>
  <c r="AS17" i="8"/>
  <c r="AS43" i="8"/>
  <c r="AS73" i="8"/>
  <c r="AS10" i="8"/>
  <c r="AS50" i="8"/>
  <c r="AS75" i="8"/>
  <c r="BC24" i="8"/>
  <c r="BC192" i="8" s="1"/>
  <c r="BC194" i="8" s="1"/>
  <c r="AS77" i="8"/>
  <c r="AS9" i="8"/>
  <c r="AS51" i="8"/>
  <c r="BD24" i="8"/>
  <c r="AJ21" i="8"/>
  <c r="AJ188" i="8" s="1"/>
  <c r="AJ190" i="8" s="1"/>
  <c r="AJ24" i="8"/>
  <c r="AS30" i="8"/>
  <c r="AS79" i="8"/>
  <c r="AK24" i="8"/>
  <c r="AK192" i="8" s="1"/>
  <c r="AK194" i="8" s="1"/>
  <c r="AS33" i="8"/>
  <c r="AS83" i="8"/>
  <c r="AS42" i="8"/>
  <c r="AS66" i="8"/>
  <c r="AS16" i="8"/>
  <c r="AS7" i="8"/>
  <c r="AS56" i="8"/>
  <c r="AS72" i="8"/>
  <c r="I74" i="8"/>
  <c r="J74" i="14"/>
  <c r="J84" i="14"/>
  <c r="J85" i="14"/>
  <c r="AU74" i="8"/>
  <c r="AU87" i="8"/>
  <c r="R188" i="8"/>
  <c r="R190" i="8" s="1"/>
  <c r="R192" i="8"/>
  <c r="R194" i="8" s="1"/>
  <c r="R26" i="8" s="1"/>
  <c r="CZ187" i="14"/>
  <c r="CZ189" i="14" s="1"/>
  <c r="AX91" i="14"/>
  <c r="AX117" i="14" s="1"/>
  <c r="AX90" i="14"/>
  <c r="AX116" i="14" s="1"/>
  <c r="AX89" i="14"/>
  <c r="CJ88" i="14"/>
  <c r="CJ87" i="14"/>
  <c r="Z6" i="14"/>
  <c r="CZ6" i="14"/>
  <c r="AB73" i="8"/>
  <c r="AT73" i="8" s="1"/>
  <c r="AT73" i="14"/>
  <c r="CF73" i="14" s="1"/>
  <c r="AB76" i="8"/>
  <c r="AT76" i="8" s="1"/>
  <c r="AT76" i="14"/>
  <c r="CF76" i="14" s="1"/>
  <c r="AB7" i="8"/>
  <c r="AT7" i="8" s="1"/>
  <c r="AT7" i="14"/>
  <c r="CF7" i="14" s="1"/>
  <c r="AB43" i="8"/>
  <c r="AT43" i="8" s="1"/>
  <c r="AT43" i="14"/>
  <c r="CF43" i="14" s="1"/>
  <c r="AB78" i="8"/>
  <c r="AT78" i="8" s="1"/>
  <c r="AT78" i="14"/>
  <c r="CF78" i="14" s="1"/>
  <c r="AB33" i="8"/>
  <c r="AT33" i="8" s="1"/>
  <c r="AT33" i="14"/>
  <c r="CF33" i="14" s="1"/>
  <c r="AB83" i="8"/>
  <c r="AT83" i="8" s="1"/>
  <c r="AT83" i="14"/>
  <c r="CF83" i="14" s="1"/>
  <c r="AB50" i="8"/>
  <c r="AT50" i="8" s="1"/>
  <c r="AT50" i="14"/>
  <c r="CF50" i="14" s="1"/>
  <c r="AB56" i="8"/>
  <c r="AT56" i="14"/>
  <c r="CF56" i="14" s="1"/>
  <c r="AB10" i="8"/>
  <c r="AT10" i="8" s="1"/>
  <c r="AT10" i="14"/>
  <c r="CF10" i="14" s="1"/>
  <c r="AB80" i="8"/>
  <c r="AT80" i="8" s="1"/>
  <c r="AT80" i="14"/>
  <c r="CF80" i="14" s="1"/>
  <c r="AB59" i="8"/>
  <c r="AT59" i="8" s="1"/>
  <c r="AT59" i="14"/>
  <c r="CF59" i="14" s="1"/>
  <c r="AB48" i="8"/>
  <c r="AT48" i="8" s="1"/>
  <c r="AT48" i="14"/>
  <c r="CF48" i="14" s="1"/>
  <c r="AB9" i="8"/>
  <c r="AT9" i="8" s="1"/>
  <c r="AT9" i="14"/>
  <c r="CF9" i="14" s="1"/>
  <c r="AB66" i="8"/>
  <c r="AT66" i="8" s="1"/>
  <c r="AT66" i="14"/>
  <c r="CF66" i="14" s="1"/>
  <c r="AB17" i="8"/>
  <c r="AT17" i="8" s="1"/>
  <c r="AT17" i="14"/>
  <c r="CF17" i="14" s="1"/>
  <c r="CZ191" i="14"/>
  <c r="CZ193" i="14" s="1"/>
  <c r="AB16" i="8"/>
  <c r="AT16" i="8" s="1"/>
  <c r="AT16" i="14"/>
  <c r="CF16" i="14" s="1"/>
  <c r="AB72" i="8"/>
  <c r="AT72" i="8" s="1"/>
  <c r="AT72" i="14"/>
  <c r="CF72" i="14" s="1"/>
  <c r="AB15" i="8"/>
  <c r="AT15" i="8" s="1"/>
  <c r="AT15" i="14"/>
  <c r="CF15" i="14" s="1"/>
  <c r="AB77" i="8"/>
  <c r="AT77" i="8" s="1"/>
  <c r="AT77" i="14"/>
  <c r="CF77" i="14" s="1"/>
  <c r="AB24" i="8"/>
  <c r="AB192" i="8" s="1"/>
  <c r="AB194" i="8" s="1"/>
  <c r="AT24" i="14"/>
  <c r="AB86" i="8"/>
  <c r="AT86" i="8" s="1"/>
  <c r="AT86" i="14"/>
  <c r="CF86" i="14" s="1"/>
  <c r="AB30" i="8"/>
  <c r="AT30" i="8" s="1"/>
  <c r="AT30" i="14"/>
  <c r="CF30" i="14" s="1"/>
  <c r="AB79" i="8"/>
  <c r="AT79" i="8" s="1"/>
  <c r="AT79" i="14"/>
  <c r="CF79" i="14" s="1"/>
  <c r="AB42" i="8"/>
  <c r="AT42" i="8" s="1"/>
  <c r="AT42" i="14"/>
  <c r="CF42" i="14" s="1"/>
  <c r="AC91" i="8"/>
  <c r="AC117" i="8" s="1"/>
  <c r="AK56" i="8"/>
  <c r="BC41" i="8"/>
  <c r="Q21" i="8"/>
  <c r="Q72" i="8"/>
  <c r="BC80" i="8"/>
  <c r="BC81" i="8" s="1"/>
  <c r="R51" i="8"/>
  <c r="AJ65" i="8"/>
  <c r="AB46" i="8"/>
  <c r="AT46" i="8" s="1"/>
  <c r="BC58" i="8"/>
  <c r="Q46" i="8"/>
  <c r="AJ32" i="8"/>
  <c r="AK58" i="8"/>
  <c r="AU88" i="8"/>
  <c r="BE89" i="8"/>
  <c r="G76" i="8"/>
  <c r="H72" i="8"/>
  <c r="H73" i="8"/>
  <c r="BC5" i="8"/>
  <c r="G43" i="8"/>
  <c r="G78" i="8"/>
  <c r="BC67" i="8"/>
  <c r="G50" i="8"/>
  <c r="G83" i="8"/>
  <c r="H33" i="8"/>
  <c r="AB21" i="8"/>
  <c r="BD5" i="8"/>
  <c r="H76" i="8"/>
  <c r="AA65" i="8"/>
  <c r="G9" i="8"/>
  <c r="G48" i="8"/>
  <c r="G56" i="8"/>
  <c r="AA46" i="8"/>
  <c r="AS46" i="8" s="1"/>
  <c r="AB65" i="8"/>
  <c r="AT65" i="8" s="1"/>
  <c r="H24" i="8"/>
  <c r="Q5" i="8"/>
  <c r="G79" i="8"/>
  <c r="H9" i="8"/>
  <c r="AB51" i="8"/>
  <c r="AT51" i="8" s="1"/>
  <c r="H42" i="8"/>
  <c r="H77" i="8"/>
  <c r="H43" i="8"/>
  <c r="H78" i="8"/>
  <c r="AA32" i="8"/>
  <c r="BC18" i="8"/>
  <c r="G51" i="8"/>
  <c r="G86" i="8"/>
  <c r="BC34" i="8"/>
  <c r="G15" i="8"/>
  <c r="G59" i="8"/>
  <c r="AJ18" i="8"/>
  <c r="AB71" i="8"/>
  <c r="R5" i="8"/>
  <c r="H16" i="8"/>
  <c r="H79" i="8"/>
  <c r="H7" i="8"/>
  <c r="H8" i="8" s="1"/>
  <c r="H48" i="8"/>
  <c r="H80" i="8"/>
  <c r="G16" i="8"/>
  <c r="G66" i="8"/>
  <c r="AA14" i="8"/>
  <c r="AS14" i="8" s="1"/>
  <c r="AB58" i="8"/>
  <c r="H10" i="8"/>
  <c r="G17" i="8"/>
  <c r="G30" i="8"/>
  <c r="H66" i="8"/>
  <c r="AB5" i="8"/>
  <c r="H15" i="8"/>
  <c r="AC90" i="8"/>
  <c r="AC116" i="8" s="1"/>
  <c r="AC89" i="8"/>
  <c r="AA41" i="8"/>
  <c r="AS41" i="8" s="1"/>
  <c r="G24" i="8"/>
  <c r="Q192" i="8"/>
  <c r="Q194" i="8" s="1"/>
  <c r="Q26" i="8" s="1"/>
  <c r="AJ60" i="8"/>
  <c r="G10" i="8"/>
  <c r="G33" i="8"/>
  <c r="G75" i="8"/>
  <c r="AA21" i="8"/>
  <c r="H50" i="8"/>
  <c r="H59" i="8"/>
  <c r="H17" i="8"/>
  <c r="AJ5" i="8"/>
  <c r="AJ11" i="8" s="1"/>
  <c r="AA71" i="8"/>
  <c r="G73" i="8"/>
  <c r="G7" i="8"/>
  <c r="G8" i="8" s="1"/>
  <c r="G42" i="8"/>
  <c r="G77" i="8"/>
  <c r="Q81" i="8" l="1"/>
  <c r="AT191" i="14"/>
  <c r="AT193" i="14" s="1"/>
  <c r="CF24" i="14"/>
  <c r="AJ61" i="8"/>
  <c r="AJ64" i="8"/>
  <c r="AS21" i="8"/>
  <c r="AS188" i="8" s="1"/>
  <c r="AS190" i="8" s="1"/>
  <c r="AA188" i="8"/>
  <c r="AA190" i="8" s="1"/>
  <c r="AT21" i="8"/>
  <c r="AT188" i="8" s="1"/>
  <c r="AT190" i="8" s="1"/>
  <c r="AB188" i="8"/>
  <c r="AB190" i="8" s="1"/>
  <c r="AS24" i="8"/>
  <c r="AS192" i="8" s="1"/>
  <c r="AS194" i="8" s="1"/>
  <c r="AJ192" i="8"/>
  <c r="AJ194" i="8" s="1"/>
  <c r="BD25" i="8"/>
  <c r="BD192" i="8"/>
  <c r="BD194" i="8" s="1"/>
  <c r="AT24" i="8"/>
  <c r="AT192" i="8" s="1"/>
  <c r="AT194" i="8" s="1"/>
  <c r="AT58" i="8"/>
  <c r="Z81" i="14"/>
  <c r="AS71" i="8"/>
  <c r="AS81" i="8" s="1"/>
  <c r="AA81" i="8"/>
  <c r="AT71" i="8"/>
  <c r="CZ81" i="14"/>
  <c r="BM81" i="14"/>
  <c r="AS32" i="8"/>
  <c r="BC25" i="8"/>
  <c r="AS65" i="8"/>
  <c r="BC21" i="8"/>
  <c r="AT56" i="8"/>
  <c r="Z27" i="14"/>
  <c r="Z187" i="14"/>
  <c r="Z189" i="14" s="1"/>
  <c r="Z23" i="14" s="1"/>
  <c r="F65" i="14"/>
  <c r="Z34" i="14"/>
  <c r="F71" i="14"/>
  <c r="Z67" i="14"/>
  <c r="CJ89" i="14"/>
  <c r="CJ91" i="14"/>
  <c r="CJ117" i="14" s="1"/>
  <c r="CJ90" i="14"/>
  <c r="CJ116" i="14" s="1"/>
  <c r="Z44" i="14"/>
  <c r="AU89" i="8"/>
  <c r="AU91" i="8"/>
  <c r="Z18" i="14"/>
  <c r="Z19" i="14" s="1"/>
  <c r="Z60" i="14"/>
  <c r="AJ34" i="8"/>
  <c r="G72" i="8"/>
  <c r="BC63" i="8"/>
  <c r="Q27" i="8"/>
  <c r="Z22" i="14"/>
  <c r="F21" i="14"/>
  <c r="F187" i="14" s="1"/>
  <c r="F189" i="14" s="1"/>
  <c r="F23" i="14" s="1"/>
  <c r="AJ67" i="8"/>
  <c r="BD34" i="8"/>
  <c r="G46" i="8"/>
  <c r="BM44" i="14"/>
  <c r="G32" i="8"/>
  <c r="G34" i="8" s="1"/>
  <c r="BD67" i="8"/>
  <c r="AK18" i="8"/>
  <c r="BD60" i="8"/>
  <c r="AK34" i="8"/>
  <c r="AA5" i="8"/>
  <c r="AS5" i="8" s="1"/>
  <c r="AS11" i="8" s="1"/>
  <c r="AA58" i="8"/>
  <c r="AS58" i="8" s="1"/>
  <c r="BD18" i="8"/>
  <c r="AK67" i="8"/>
  <c r="F7" i="14"/>
  <c r="F8" i="14" s="1"/>
  <c r="CZ63" i="14"/>
  <c r="BM18" i="14"/>
  <c r="CZ18" i="14"/>
  <c r="AT11" i="14"/>
  <c r="BM67" i="14"/>
  <c r="CZ44" i="14"/>
  <c r="CZ53" i="14" s="1"/>
  <c r="F59" i="14"/>
  <c r="CZ60" i="14"/>
  <c r="F50" i="14"/>
  <c r="CZ67" i="14"/>
  <c r="CZ34" i="14"/>
  <c r="CZ11" i="14"/>
  <c r="CZ12" i="14" s="1"/>
  <c r="F48" i="14"/>
  <c r="F30" i="14"/>
  <c r="F76" i="14"/>
  <c r="F77" i="14"/>
  <c r="F42" i="14"/>
  <c r="F83" i="14"/>
  <c r="F43" i="14"/>
  <c r="F79" i="14"/>
  <c r="F86" i="14"/>
  <c r="F15" i="14"/>
  <c r="F16" i="14"/>
  <c r="F24" i="14"/>
  <c r="F17" i="14"/>
  <c r="F9" i="14"/>
  <c r="F80" i="14"/>
  <c r="F10" i="14"/>
  <c r="F73" i="14"/>
  <c r="F33" i="14"/>
  <c r="H30" i="8"/>
  <c r="F78" i="14"/>
  <c r="H86" i="8"/>
  <c r="AK5" i="8"/>
  <c r="AK11" i="8" s="1"/>
  <c r="BM5" i="14"/>
  <c r="AB75" i="8"/>
  <c r="AT75" i="8" s="1"/>
  <c r="F72" i="14"/>
  <c r="AB14" i="8"/>
  <c r="AT14" i="8" s="1"/>
  <c r="AK60" i="8"/>
  <c r="AB41" i="8"/>
  <c r="AT41" i="8" s="1"/>
  <c r="H83" i="8"/>
  <c r="G25" i="8"/>
  <c r="G192" i="8"/>
  <c r="G194" i="8" s="1"/>
  <c r="G26" i="8" s="1"/>
  <c r="H25" i="8"/>
  <c r="H192" i="8"/>
  <c r="H194" i="8" s="1"/>
  <c r="H26" i="8" s="1"/>
  <c r="G5" i="8"/>
  <c r="AB32" i="8"/>
  <c r="AT32" i="8" s="1"/>
  <c r="H46" i="8"/>
  <c r="G21" i="8"/>
  <c r="G188" i="8" s="1"/>
  <c r="G190" i="8" s="1"/>
  <c r="G23" i="8" s="1"/>
  <c r="H41" i="8"/>
  <c r="H170" i="8" s="1"/>
  <c r="H58" i="8"/>
  <c r="H60" i="8" s="1"/>
  <c r="H51" i="8"/>
  <c r="H75" i="8"/>
  <c r="G80" i="8"/>
  <c r="AJ27" i="8"/>
  <c r="AK27" i="8"/>
  <c r="AB60" i="8"/>
  <c r="R6" i="8"/>
  <c r="R11" i="8"/>
  <c r="Q6" i="8"/>
  <c r="Q11" i="8"/>
  <c r="AB67" i="8"/>
  <c r="AJ44" i="8"/>
  <c r="AJ53" i="8" s="1"/>
  <c r="AJ62" i="8" s="1"/>
  <c r="AJ63" i="8"/>
  <c r="AA67" i="8"/>
  <c r="H5" i="8"/>
  <c r="BD6" i="8"/>
  <c r="BD11" i="8"/>
  <c r="BD12" i="8" s="1"/>
  <c r="AA44" i="8"/>
  <c r="G65" i="8"/>
  <c r="G67" i="8" s="1"/>
  <c r="AK44" i="8"/>
  <c r="AK53" i="8" s="1"/>
  <c r="G14" i="8"/>
  <c r="BC6" i="8"/>
  <c r="BC11" i="8"/>
  <c r="BC12" i="8" s="1"/>
  <c r="BD27" i="8"/>
  <c r="BD22" i="8"/>
  <c r="Q67" i="8"/>
  <c r="BC44" i="8"/>
  <c r="BC53" i="8" s="1"/>
  <c r="Q44" i="8"/>
  <c r="Q18" i="8"/>
  <c r="R44" i="8"/>
  <c r="Q8" i="8"/>
  <c r="AB11" i="8"/>
  <c r="R67" i="8"/>
  <c r="AA27" i="8"/>
  <c r="BD44" i="8"/>
  <c r="BD53" i="8" s="1"/>
  <c r="BD63" i="8"/>
  <c r="AS18" i="8"/>
  <c r="AA18" i="8"/>
  <c r="R8" i="8"/>
  <c r="R27" i="8"/>
  <c r="AB27" i="8"/>
  <c r="R34" i="8"/>
  <c r="R18" i="8"/>
  <c r="H65" i="8"/>
  <c r="H67" i="8" s="1"/>
  <c r="H21" i="8"/>
  <c r="H188" i="8" s="1"/>
  <c r="H190" i="8" s="1"/>
  <c r="H23" i="8" s="1"/>
  <c r="AA34" i="8"/>
  <c r="Q34" i="8"/>
  <c r="G71" i="8"/>
  <c r="R60" i="8"/>
  <c r="H71" i="8"/>
  <c r="Q60" i="8"/>
  <c r="CF191" i="14" l="1"/>
  <c r="CF193" i="14" s="1"/>
  <c r="BM191" i="14"/>
  <c r="BM193" i="14" s="1"/>
  <c r="CF187" i="14"/>
  <c r="CF189" i="14" s="1"/>
  <c r="BM187" i="14"/>
  <c r="BM189" i="14" s="1"/>
  <c r="AK61" i="8"/>
  <c r="AK64" i="8"/>
  <c r="BC22" i="8"/>
  <c r="BC188" i="8"/>
  <c r="BC190" i="8" s="1"/>
  <c r="BC27" i="8"/>
  <c r="BC28" i="8" s="1"/>
  <c r="AB81" i="8"/>
  <c r="AT81" i="8"/>
  <c r="H81" i="8"/>
  <c r="CZ22" i="14"/>
  <c r="G81" i="8"/>
  <c r="Z28" i="14"/>
  <c r="Z8" i="14"/>
  <c r="Z191" i="14"/>
  <c r="Z193" i="14" s="1"/>
  <c r="Z26" i="14" s="1"/>
  <c r="Z25" i="14"/>
  <c r="Z11" i="14"/>
  <c r="Z12" i="14" s="1"/>
  <c r="BC60" i="8"/>
  <c r="BC62" i="8" s="1"/>
  <c r="Q53" i="8"/>
  <c r="Q62" i="8" s="1"/>
  <c r="AS34" i="8"/>
  <c r="F27" i="14"/>
  <c r="F28" i="14" s="1"/>
  <c r="Q188" i="8"/>
  <c r="Q190" i="8" s="1"/>
  <c r="AJ35" i="8"/>
  <c r="AJ82" i="8" s="1"/>
  <c r="AS67" i="8"/>
  <c r="F22" i="14"/>
  <c r="AS60" i="8"/>
  <c r="G58" i="8"/>
  <c r="G60" i="8" s="1"/>
  <c r="AT14" i="14"/>
  <c r="CF14" i="14" s="1"/>
  <c r="AT41" i="14"/>
  <c r="CF41" i="14" s="1"/>
  <c r="AT75" i="14"/>
  <c r="CF75" i="14" s="1"/>
  <c r="AT46" i="14"/>
  <c r="CF46" i="14" s="1"/>
  <c r="AT32" i="14"/>
  <c r="CF32" i="14" s="1"/>
  <c r="AT27" i="14"/>
  <c r="AA11" i="8"/>
  <c r="AA35" i="8" s="1"/>
  <c r="G41" i="8"/>
  <c r="G170" i="8" s="1"/>
  <c r="AT18" i="8"/>
  <c r="BD62" i="8"/>
  <c r="AA63" i="8"/>
  <c r="AA60" i="8"/>
  <c r="AT67" i="8"/>
  <c r="AT5" i="8"/>
  <c r="AT11" i="8" s="1"/>
  <c r="H32" i="8"/>
  <c r="H34" i="8" s="1"/>
  <c r="AT34" i="8"/>
  <c r="AB18" i="8"/>
  <c r="AB63" i="8"/>
  <c r="F75" i="14"/>
  <c r="F81" i="14" s="1"/>
  <c r="BM27" i="14"/>
  <c r="F56" i="14"/>
  <c r="F66" i="14"/>
  <c r="F67" i="14" s="1"/>
  <c r="BM34" i="14"/>
  <c r="BM11" i="14"/>
  <c r="CF5" i="14"/>
  <c r="CF67" i="14"/>
  <c r="AT67" i="14"/>
  <c r="CZ25" i="14"/>
  <c r="CZ27" i="14"/>
  <c r="CZ35" i="14" s="1"/>
  <c r="BM53" i="14"/>
  <c r="F191" i="14"/>
  <c r="F193" i="14" s="1"/>
  <c r="F26" i="14" s="1"/>
  <c r="F25" i="14"/>
  <c r="AT60" i="14"/>
  <c r="CZ62" i="14"/>
  <c r="AK35" i="8"/>
  <c r="AB44" i="8"/>
  <c r="AB52" i="8" s="1"/>
  <c r="R53" i="8"/>
  <c r="R62" i="8" s="1"/>
  <c r="F51" i="14"/>
  <c r="AK62" i="8"/>
  <c r="H56" i="8"/>
  <c r="H63" i="8" s="1"/>
  <c r="AT60" i="8"/>
  <c r="AK63" i="8"/>
  <c r="F46" i="14"/>
  <c r="H14" i="8"/>
  <c r="AB34" i="8"/>
  <c r="R12" i="8"/>
  <c r="AA47" i="8"/>
  <c r="AT27" i="8"/>
  <c r="AS27" i="8"/>
  <c r="BD35" i="8"/>
  <c r="R19" i="8"/>
  <c r="R35" i="8"/>
  <c r="Q12" i="8"/>
  <c r="Q35" i="8"/>
  <c r="Q19" i="8"/>
  <c r="H44" i="8"/>
  <c r="H47" i="8" s="1"/>
  <c r="G27" i="8"/>
  <c r="G22" i="8"/>
  <c r="AT44" i="8"/>
  <c r="AT47" i="8" s="1"/>
  <c r="AS44" i="8"/>
  <c r="H27" i="8"/>
  <c r="H22" i="8"/>
  <c r="AA53" i="8"/>
  <c r="AA45" i="8"/>
  <c r="AA49" i="8"/>
  <c r="AA52" i="8"/>
  <c r="G6" i="8"/>
  <c r="G11" i="8"/>
  <c r="G12" i="8" s="1"/>
  <c r="BD28" i="8"/>
  <c r="G18" i="8"/>
  <c r="H11" i="8"/>
  <c r="H12" i="8" s="1"/>
  <c r="H6" i="8"/>
  <c r="BC35" i="8" l="1"/>
  <c r="BC69" i="8" s="1"/>
  <c r="CF81" i="14"/>
  <c r="AT81" i="14"/>
  <c r="AJ69" i="8"/>
  <c r="AJ74" i="8" s="1"/>
  <c r="AS63" i="8"/>
  <c r="AS35" i="8"/>
  <c r="Z35" i="14"/>
  <c r="Z36" i="14" s="1"/>
  <c r="Z38" i="14" s="1"/>
  <c r="BM35" i="14"/>
  <c r="AT34" i="14"/>
  <c r="G63" i="8"/>
  <c r="BM60" i="14"/>
  <c r="BM61" i="14" s="1"/>
  <c r="AT18" i="14"/>
  <c r="Z53" i="14"/>
  <c r="Z62" i="14" s="1"/>
  <c r="AB35" i="8"/>
  <c r="AA62" i="8"/>
  <c r="AA69" i="8" s="1"/>
  <c r="AA74" i="8" s="1"/>
  <c r="AB53" i="8"/>
  <c r="AB62" i="8" s="1"/>
  <c r="G44" i="8"/>
  <c r="G47" i="8" s="1"/>
  <c r="AT35" i="8"/>
  <c r="AB49" i="8"/>
  <c r="H18" i="8"/>
  <c r="H19" i="8" s="1"/>
  <c r="F14" i="14"/>
  <c r="F32" i="14"/>
  <c r="F34" i="14" s="1"/>
  <c r="AT63" i="14"/>
  <c r="AT44" i="14"/>
  <c r="CF27" i="14"/>
  <c r="F5" i="14"/>
  <c r="CZ28" i="14"/>
  <c r="CF60" i="14"/>
  <c r="F58" i="14"/>
  <c r="F60" i="14" s="1"/>
  <c r="F41" i="14"/>
  <c r="CF11" i="14"/>
  <c r="BM63" i="14"/>
  <c r="AK69" i="8"/>
  <c r="AB45" i="8"/>
  <c r="AB47" i="8"/>
  <c r="AK82" i="8"/>
  <c r="AK84" i="8" s="1"/>
  <c r="AT63" i="8"/>
  <c r="R69" i="8"/>
  <c r="Q69" i="8"/>
  <c r="BD36" i="8"/>
  <c r="BD38" i="8" s="1"/>
  <c r="BD69" i="8"/>
  <c r="BD82" i="8"/>
  <c r="BD84" i="8" s="1"/>
  <c r="G28" i="8"/>
  <c r="AA54" i="8"/>
  <c r="AS45" i="8"/>
  <c r="AS53" i="8"/>
  <c r="AS62" i="8" s="1"/>
  <c r="AS49" i="8"/>
  <c r="H45" i="8"/>
  <c r="H53" i="8"/>
  <c r="H62" i="8" s="1"/>
  <c r="H49" i="8"/>
  <c r="AS47" i="8"/>
  <c r="AJ84" i="8"/>
  <c r="AJ85" i="8"/>
  <c r="G19" i="8"/>
  <c r="G35" i="8"/>
  <c r="H28" i="8"/>
  <c r="Q82" i="8"/>
  <c r="Q36" i="8"/>
  <c r="R36" i="8"/>
  <c r="R82" i="8"/>
  <c r="AT53" i="8"/>
  <c r="AT62" i="8" s="1"/>
  <c r="AT45" i="8"/>
  <c r="AT49" i="8"/>
  <c r="BC82" i="8" l="1"/>
  <c r="BC84" i="8" s="1"/>
  <c r="BC36" i="8"/>
  <c r="BC37" i="8" s="1"/>
  <c r="AS69" i="8"/>
  <c r="AS74" i="8" s="1"/>
  <c r="Z37" i="14"/>
  <c r="Z69" i="14"/>
  <c r="CF18" i="14"/>
  <c r="CF34" i="14"/>
  <c r="AT35" i="14"/>
  <c r="BM62" i="14"/>
  <c r="BM82" i="14" s="1"/>
  <c r="Z82" i="14"/>
  <c r="Z84" i="14" s="1"/>
  <c r="AB82" i="8"/>
  <c r="AB84" i="8" s="1"/>
  <c r="AB69" i="8"/>
  <c r="AB74" i="8" s="1"/>
  <c r="AA82" i="8"/>
  <c r="AA84" i="8" s="1"/>
  <c r="G49" i="8"/>
  <c r="G53" i="8"/>
  <c r="G62" i="8" s="1"/>
  <c r="G69" i="8" s="1"/>
  <c r="AT69" i="8"/>
  <c r="AT74" i="8" s="1"/>
  <c r="G45" i="8"/>
  <c r="H35" i="8"/>
  <c r="H36" i="8" s="1"/>
  <c r="AB54" i="8"/>
  <c r="AK85" i="8"/>
  <c r="AK88" i="8" s="1"/>
  <c r="AK74" i="8"/>
  <c r="F6" i="14"/>
  <c r="F11" i="14"/>
  <c r="F12" i="14" s="1"/>
  <c r="CZ82" i="14"/>
  <c r="CZ36" i="14"/>
  <c r="CZ69" i="14"/>
  <c r="F63" i="14"/>
  <c r="F44" i="14"/>
  <c r="AT52" i="14"/>
  <c r="AT45" i="14"/>
  <c r="AT53" i="14"/>
  <c r="AT62" i="14" s="1"/>
  <c r="AT49" i="14"/>
  <c r="AT47" i="14"/>
  <c r="F18" i="14"/>
  <c r="CF63" i="14"/>
  <c r="CF44" i="14"/>
  <c r="BD37" i="8"/>
  <c r="BD85" i="8"/>
  <c r="BD88" i="8" s="1"/>
  <c r="R74" i="8"/>
  <c r="Q74" i="8"/>
  <c r="AS82" i="8"/>
  <c r="AS84" i="8" s="1"/>
  <c r="R38" i="8"/>
  <c r="AJ87" i="8"/>
  <c r="AJ88" i="8"/>
  <c r="R84" i="8"/>
  <c r="R85" i="8"/>
  <c r="R92" i="8" s="1"/>
  <c r="Q38" i="8"/>
  <c r="AT82" i="8"/>
  <c r="G36" i="8"/>
  <c r="Q84" i="8"/>
  <c r="Q85" i="8"/>
  <c r="Q92" i="8" s="1"/>
  <c r="BC38" i="8" l="1"/>
  <c r="BC85" i="8"/>
  <c r="BC88" i="8" s="1"/>
  <c r="BC89" i="8" s="1"/>
  <c r="G74" i="8"/>
  <c r="Z74" i="14"/>
  <c r="CF35" i="14"/>
  <c r="AT69" i="14"/>
  <c r="AT74" i="14" s="1"/>
  <c r="BM69" i="14"/>
  <c r="BM74" i="14" s="1"/>
  <c r="F35" i="14"/>
  <c r="Z85" i="14"/>
  <c r="AB85" i="8"/>
  <c r="AB87" i="8" s="1"/>
  <c r="AA85" i="8"/>
  <c r="AA87" i="8" s="1"/>
  <c r="G82" i="8"/>
  <c r="G84" i="8" s="1"/>
  <c r="AK87" i="8"/>
  <c r="H82" i="8"/>
  <c r="H85" i="8" s="1"/>
  <c r="H69" i="8"/>
  <c r="CZ38" i="14"/>
  <c r="CZ37" i="14"/>
  <c r="CF49" i="14"/>
  <c r="CF53" i="14"/>
  <c r="CF62" i="14" s="1"/>
  <c r="CF45" i="14"/>
  <c r="CF47" i="14"/>
  <c r="CZ85" i="14"/>
  <c r="CZ84" i="14"/>
  <c r="AT82" i="14"/>
  <c r="F47" i="14"/>
  <c r="F53" i="14"/>
  <c r="F62" i="14" s="1"/>
  <c r="F45" i="14"/>
  <c r="F49" i="14"/>
  <c r="AT54" i="14"/>
  <c r="F19" i="14"/>
  <c r="BM85" i="14"/>
  <c r="BM84" i="14"/>
  <c r="BD87" i="8"/>
  <c r="AJ89" i="8"/>
  <c r="AK89" i="8"/>
  <c r="BD89" i="8"/>
  <c r="AS85" i="8"/>
  <c r="AS87" i="8" s="1"/>
  <c r="Q88" i="8"/>
  <c r="Q87" i="8"/>
  <c r="AT84" i="8"/>
  <c r="AT85" i="8"/>
  <c r="H37" i="8"/>
  <c r="H38" i="8"/>
  <c r="G38" i="8"/>
  <c r="G37" i="8"/>
  <c r="R88" i="8"/>
  <c r="R87" i="8"/>
  <c r="Z88" i="14" l="1"/>
  <c r="Z89" i="14" s="1"/>
  <c r="Z92" i="14"/>
  <c r="BC87" i="8"/>
  <c r="H74" i="8"/>
  <c r="AB88" i="8"/>
  <c r="H84" i="8"/>
  <c r="Z87" i="14"/>
  <c r="Z90" i="14"/>
  <c r="Z116" i="14" s="1"/>
  <c r="AA88" i="8"/>
  <c r="G85" i="8"/>
  <c r="G87" i="8" s="1"/>
  <c r="F36" i="14"/>
  <c r="F69" i="14"/>
  <c r="F82" i="14"/>
  <c r="CF82" i="14"/>
  <c r="CF69" i="14"/>
  <c r="CF74" i="14" s="1"/>
  <c r="AT85" i="14"/>
  <c r="AT84" i="14"/>
  <c r="BM88" i="14"/>
  <c r="BM89" i="14" s="1"/>
  <c r="BM87" i="14"/>
  <c r="CZ88" i="14"/>
  <c r="CZ89" i="14" s="1"/>
  <c r="CZ87" i="14"/>
  <c r="Q91" i="8"/>
  <c r="Q117" i="8" s="1"/>
  <c r="R91" i="8"/>
  <c r="R117" i="8" s="1"/>
  <c r="AS88" i="8"/>
  <c r="H88" i="8"/>
  <c r="H87" i="8"/>
  <c r="AT88" i="8"/>
  <c r="AT87" i="8"/>
  <c r="R90" i="8"/>
  <c r="R116" i="8" s="1"/>
  <c r="R89" i="8"/>
  <c r="Q89" i="8"/>
  <c r="Q90" i="8"/>
  <c r="Q116" i="8" s="1"/>
  <c r="Z91" i="14" l="1"/>
  <c r="Z117" i="14" s="1"/>
  <c r="AB89" i="8"/>
  <c r="AB90" i="8"/>
  <c r="AB116" i="8" s="1"/>
  <c r="F74" i="14"/>
  <c r="H91" i="8"/>
  <c r="H117" i="8" s="1"/>
  <c r="H95" i="8"/>
  <c r="H103" i="8" s="1"/>
  <c r="AB91" i="8"/>
  <c r="AB117" i="8" s="1"/>
  <c r="AT89" i="8"/>
  <c r="AS89" i="8"/>
  <c r="AA89" i="8"/>
  <c r="AA90" i="8"/>
  <c r="AA116" i="8" s="1"/>
  <c r="G88" i="8"/>
  <c r="AA91" i="8"/>
  <c r="AA117" i="8" s="1"/>
  <c r="CF85" i="14"/>
  <c r="CF84" i="14"/>
  <c r="F85" i="14"/>
  <c r="F84" i="14"/>
  <c r="AT88" i="14"/>
  <c r="AT87" i="14"/>
  <c r="F38" i="14"/>
  <c r="F37" i="14"/>
  <c r="H90" i="8"/>
  <c r="H116" i="8" s="1"/>
  <c r="H89" i="8"/>
  <c r="G91" i="8" l="1"/>
  <c r="G117" i="8" s="1"/>
  <c r="G95" i="8"/>
  <c r="G89" i="8"/>
  <c r="G90" i="8"/>
  <c r="G116" i="8" s="1"/>
  <c r="CF88" i="14"/>
  <c r="CF89" i="14" s="1"/>
  <c r="CF87" i="14"/>
  <c r="AT90" i="14"/>
  <c r="AT116" i="14" s="1"/>
  <c r="AT91" i="14"/>
  <c r="AT117" i="14" s="1"/>
  <c r="AT89" i="14"/>
  <c r="F88" i="14"/>
  <c r="F95" i="14" s="1"/>
  <c r="F103" i="14" s="1"/>
  <c r="F87" i="14"/>
  <c r="F91" i="14" l="1"/>
  <c r="F117" i="14" s="1"/>
  <c r="F90" i="14"/>
  <c r="F116" i="14" s="1"/>
  <c r="F89" i="14"/>
  <c r="S86" i="8"/>
  <c r="AD87" i="14" l="1"/>
  <c r="J86" i="14"/>
  <c r="J88" i="14" s="1"/>
  <c r="I86" i="8"/>
  <c r="S88" i="8"/>
  <c r="S87" i="8"/>
  <c r="J87" i="14" l="1"/>
  <c r="AD88" i="14"/>
  <c r="AD89" i="14" s="1"/>
  <c r="S91" i="8"/>
  <c r="S117" i="8" s="1"/>
  <c r="J95" i="14"/>
  <c r="J103" i="14" s="1"/>
  <c r="J91" i="14"/>
  <c r="J117" i="14" s="1"/>
  <c r="J90" i="14"/>
  <c r="J116" i="14" s="1"/>
  <c r="J89" i="14"/>
  <c r="S89" i="8"/>
  <c r="S90" i="8"/>
  <c r="S116" i="8" s="1"/>
  <c r="I88" i="8"/>
  <c r="I87" i="8"/>
  <c r="AD91" i="14" l="1"/>
  <c r="AD117" i="14" s="1"/>
  <c r="AD90" i="14"/>
  <c r="AD116" i="14" s="1"/>
  <c r="I91" i="8"/>
  <c r="I117" i="8" s="1"/>
  <c r="I95" i="8"/>
  <c r="I90" i="8"/>
  <c r="I116" i="8" s="1"/>
  <c r="I89" i="8"/>
  <c r="I103" i="8" l="1"/>
  <c r="I104" i="8"/>
  <c r="P37" i="8"/>
  <c r="S37" i="8"/>
  <c r="R37" i="8"/>
  <c r="Q37" i="8"/>
  <c r="S28" i="8"/>
  <c r="S23" i="8"/>
  <c r="P28" i="8"/>
  <c r="P23" i="8"/>
  <c r="R28" i="8"/>
  <c r="R22" i="8"/>
  <c r="R25" i="8"/>
  <c r="R23" i="8"/>
  <c r="Q23" i="8" l="1"/>
  <c r="Q28" i="8"/>
  <c r="P22" i="8"/>
  <c r="S25" i="8"/>
  <c r="Q25" i="8"/>
  <c r="P25" i="8"/>
  <c r="S22" i="8"/>
  <c r="Q22" i="8"/>
  <c r="F19" i="8"/>
  <c r="F8" i="8" l="1"/>
  <c r="AE122" i="14" l="1"/>
  <c r="K122" i="14"/>
  <c r="L19" i="14" l="1"/>
  <c r="AF19" i="14"/>
  <c r="K19" i="14"/>
  <c r="DE38" i="14"/>
  <c r="AE19" i="14"/>
  <c r="AE130" i="14"/>
  <c r="K38" i="14" l="1"/>
  <c r="L38" i="14"/>
  <c r="AF38" i="14"/>
  <c r="AE38" i="14"/>
  <c r="R123" i="19" l="1"/>
  <c r="R122" i="19" s="1"/>
  <c r="H122" i="19"/>
  <c r="H38" i="19"/>
  <c r="R19" i="19" l="1"/>
  <c r="BD38" i="19"/>
  <c r="H19" i="19"/>
  <c r="R130" i="19"/>
  <c r="R38" i="19" l="1"/>
  <c r="AO167" i="14" l="1"/>
  <c r="AO166" i="14" s="1"/>
  <c r="L167" i="21"/>
  <c r="L166" i="21" s="1"/>
  <c r="U166" i="14"/>
  <c r="U172" i="14" s="1"/>
  <c r="M166" i="21" l="1"/>
  <c r="L169" i="21"/>
  <c r="L172" i="21"/>
  <c r="BI167" i="21"/>
  <c r="BI166" i="21" s="1"/>
  <c r="AO167" i="21"/>
  <c r="AO166" i="21" s="1"/>
  <c r="U169" i="14"/>
  <c r="AF167" i="21"/>
  <c r="AF166" i="21" s="1"/>
  <c r="V167" i="21"/>
  <c r="U171" i="14"/>
  <c r="M167" i="21"/>
  <c r="L171" i="21"/>
  <c r="AX167" i="21"/>
  <c r="AX166" i="21" l="1"/>
  <c r="AZ166" i="21" s="1"/>
  <c r="AZ167" i="21"/>
  <c r="V166" i="21"/>
  <c r="W166" i="21" s="1"/>
  <c r="W167" i="21"/>
  <c r="L101" i="21" l="1"/>
  <c r="L103" i="21" s="1"/>
  <c r="M103" i="21" s="1"/>
  <c r="U103" i="14"/>
</calcChain>
</file>

<file path=xl/sharedStrings.xml><?xml version="1.0" encoding="utf-8"?>
<sst xmlns="http://schemas.openxmlformats.org/spreadsheetml/2006/main" count="8291" uniqueCount="262">
  <si>
    <t>Sales Revenue - goods and services</t>
  </si>
  <si>
    <t>Profit share from associates</t>
  </si>
  <si>
    <t>Cost of sales - good and services</t>
  </si>
  <si>
    <t>Interest Expense</t>
  </si>
  <si>
    <t>Foreign currency differences</t>
  </si>
  <si>
    <t>Board of directors allowances</t>
  </si>
  <si>
    <t>Income tax</t>
  </si>
  <si>
    <t xml:space="preserve">Net Profit for the year after tax </t>
  </si>
  <si>
    <t>Non controlling interest</t>
  </si>
  <si>
    <t xml:space="preserve">Net Income </t>
  </si>
  <si>
    <t xml:space="preserve">Total Financing </t>
  </si>
  <si>
    <t>Total Expenses</t>
  </si>
  <si>
    <t>Income From Financing Activities</t>
  </si>
  <si>
    <t>Other Interest Expenses</t>
  </si>
  <si>
    <t>Net Interest Income</t>
  </si>
  <si>
    <t xml:space="preserve">Fee &amp; Commission Income </t>
  </si>
  <si>
    <t>Fee &amp; commission expenses</t>
  </si>
  <si>
    <t>Net Financing Fee &amp; Commission Income</t>
  </si>
  <si>
    <t>Net Revenue from portfolio Transfer</t>
  </si>
  <si>
    <t>Off Balance Sheet Portfolio Management Fee</t>
  </si>
  <si>
    <t>Profit share from Associates</t>
  </si>
  <si>
    <t>Net Sales and cost</t>
  </si>
  <si>
    <t>Financing Operating Income</t>
  </si>
  <si>
    <t>Insurance</t>
  </si>
  <si>
    <t>GWP</t>
  </si>
  <si>
    <t>Provisions of unearned premiums</t>
  </si>
  <si>
    <t>Outward reinsurance premiums</t>
  </si>
  <si>
    <t>Net Claims</t>
  </si>
  <si>
    <t>Net Commissions &amp; Production Costs</t>
  </si>
  <si>
    <t xml:space="preserve">Policies Issuance Revenue </t>
  </si>
  <si>
    <t>Fluctuations Provision</t>
  </si>
  <si>
    <t>Fee Income Insurance</t>
  </si>
  <si>
    <t>Fee Expenses Insurance</t>
  </si>
  <si>
    <t xml:space="preserve">Net Insurance Fee Income </t>
  </si>
  <si>
    <t>Insurance operating income</t>
  </si>
  <si>
    <t>Other operating income</t>
  </si>
  <si>
    <t>Other operating expense</t>
  </si>
  <si>
    <t>Net operating income/expense</t>
  </si>
  <si>
    <t>Depreciation / Amortization</t>
  </si>
  <si>
    <t>Other Expenses</t>
  </si>
  <si>
    <t xml:space="preserve">Marketing Expenses </t>
  </si>
  <si>
    <t>Provisions</t>
  </si>
  <si>
    <t>Other Finance cost - R.O.U</t>
  </si>
  <si>
    <t>EBT</t>
  </si>
  <si>
    <t>Other</t>
  </si>
  <si>
    <t>Total group</t>
  </si>
  <si>
    <t>Securitization Profit / loss</t>
  </si>
  <si>
    <t>Depreciation / amortization</t>
  </si>
  <si>
    <t>Total</t>
  </si>
  <si>
    <t>Securitization</t>
  </si>
  <si>
    <t>Discounting &amp; Sukuk</t>
  </si>
  <si>
    <t>Checker</t>
  </si>
  <si>
    <t>Total New Lending</t>
  </si>
  <si>
    <t>Insurance Brokerage Premiums</t>
  </si>
  <si>
    <t>NIM %</t>
  </si>
  <si>
    <t>Fee Income %</t>
  </si>
  <si>
    <t>Net Revenue From Portfolio Transfer %</t>
  </si>
  <si>
    <t>Off BS NIM %</t>
  </si>
  <si>
    <t>Financing Revenue (mn)</t>
  </si>
  <si>
    <t>Financing Revenue to New Lending %</t>
  </si>
  <si>
    <t>Financing Revenue to Portfolio %</t>
  </si>
  <si>
    <t>NEP %</t>
  </si>
  <si>
    <t>Loss %</t>
  </si>
  <si>
    <t>Commissions &amp; Production %</t>
  </si>
  <si>
    <t>Brokerage Net Commission %</t>
  </si>
  <si>
    <t>Implied Tax Rate %</t>
  </si>
  <si>
    <t>Minorities %</t>
  </si>
  <si>
    <t>Total Transferred Portfolio</t>
  </si>
  <si>
    <t>Transferred Portfolio for Consolidated</t>
  </si>
  <si>
    <t>Insurance Activities</t>
  </si>
  <si>
    <t>Brokerage Activities</t>
  </si>
  <si>
    <t>G&amp;A Expense %</t>
  </si>
  <si>
    <t>Combined %</t>
  </si>
  <si>
    <t>Consolidated P&amp;L</t>
  </si>
  <si>
    <t>Financing Business</t>
  </si>
  <si>
    <t>Financing-Segment Report Note No. (    )</t>
  </si>
  <si>
    <t>Total Insurance Business</t>
  </si>
  <si>
    <t>Other Business Lines Note No (    )</t>
  </si>
  <si>
    <t>personnel expenses</t>
  </si>
  <si>
    <t>Insurance Revenue (mn)</t>
  </si>
  <si>
    <t>Insurance Equity</t>
  </si>
  <si>
    <t>CFH Equity After Minorities &amp; OCI</t>
  </si>
  <si>
    <t>Financing Equity</t>
  </si>
  <si>
    <t>ROE %</t>
  </si>
  <si>
    <t>ROA %</t>
  </si>
  <si>
    <t>Revenue from portfolio Transfer</t>
  </si>
  <si>
    <t>Securitization Surplus / Deficit</t>
  </si>
  <si>
    <t>Early payment expense - Sukuk/Discounting</t>
  </si>
  <si>
    <t>Other Interest Income</t>
  </si>
  <si>
    <t>Investment income</t>
  </si>
  <si>
    <t>Underwriting income</t>
  </si>
  <si>
    <t>Net Fee Income %</t>
  </si>
  <si>
    <t>Revenue From Portfolio Transfer %</t>
  </si>
  <si>
    <t>Cost to Income %</t>
  </si>
  <si>
    <t>Associates Portfolio</t>
  </si>
  <si>
    <t xml:space="preserve">Insurance </t>
  </si>
  <si>
    <t>Notes</t>
  </si>
  <si>
    <t>Promotion &amp; Underwriting Fees</t>
  </si>
  <si>
    <t>Fee Income excluding P&amp;U Fees</t>
  </si>
  <si>
    <t>Fee Income Excluding P&amp;U Fees %</t>
  </si>
  <si>
    <t>Total Operating Income</t>
  </si>
  <si>
    <t>Net Earned Premium</t>
  </si>
  <si>
    <t xml:space="preserve">Balance Sheet Highlights </t>
  </si>
  <si>
    <t xml:space="preserve">Consolidated Equity </t>
  </si>
  <si>
    <t xml:space="preserve">ROE </t>
  </si>
  <si>
    <t xml:space="preserve">Portfolio and Portfolio Under Management </t>
  </si>
  <si>
    <t xml:space="preserve">On Balance Sheet Portfolio </t>
  </si>
  <si>
    <t xml:space="preserve">Sukuk </t>
  </si>
  <si>
    <t xml:space="preserve">Discounting </t>
  </si>
  <si>
    <t xml:space="preserve">JV's </t>
  </si>
  <si>
    <t xml:space="preserve">1) Portfolio </t>
  </si>
  <si>
    <t xml:space="preserve">1) Debt </t>
  </si>
  <si>
    <t xml:space="preserve">On Balance Sheet Debt  </t>
  </si>
  <si>
    <t xml:space="preserve">Total Debt and Off Balance Sheet Liability </t>
  </si>
  <si>
    <t xml:space="preserve">2) Off Balance Sheet Liability </t>
  </si>
  <si>
    <t xml:space="preserve">Debt and off balance sheet liability </t>
  </si>
  <si>
    <t xml:space="preserve">Finance </t>
  </si>
  <si>
    <t xml:space="preserve">Auto Credit </t>
  </si>
  <si>
    <t xml:space="preserve">Consumer Finance </t>
  </si>
  <si>
    <t xml:space="preserve">Trucks </t>
  </si>
  <si>
    <t xml:space="preserve">Mortgages </t>
  </si>
  <si>
    <t>Transferred Portfolio for Associates</t>
  </si>
  <si>
    <t>Assets Under Management</t>
  </si>
  <si>
    <t>Associates New Lending</t>
  </si>
  <si>
    <t>Consolidated New Lending</t>
  </si>
  <si>
    <t>New Lending &amp; Transferred Portfolio</t>
  </si>
  <si>
    <t>Commission Expense %</t>
  </si>
  <si>
    <t>Commission Expense Excluding P&amp;U Fees %</t>
  </si>
  <si>
    <t>Fee &amp; Commission Expense</t>
  </si>
  <si>
    <t>Monthly Avg CFH Equity After Minorities &amp; OCI</t>
  </si>
  <si>
    <t>Monthly Avg Financing Equity</t>
  </si>
  <si>
    <t>Monthly Avg Insurance Equity</t>
  </si>
  <si>
    <t>Monthly Average ROE %</t>
  </si>
  <si>
    <t>Money Market Fund</t>
  </si>
  <si>
    <t>Insurance Brokerage # of Policies</t>
  </si>
  <si>
    <t>Insurance Companies</t>
  </si>
  <si>
    <t>Insurance Brokerage</t>
  </si>
  <si>
    <t>Non Life</t>
  </si>
  <si>
    <t>Life</t>
  </si>
  <si>
    <t>Number of Policies</t>
  </si>
  <si>
    <t xml:space="preserve">2) Portfolio Under Management </t>
  </si>
  <si>
    <t xml:space="preserve">Total Portfolio and Portfolio under Management </t>
  </si>
  <si>
    <t xml:space="preserve">Securitization </t>
  </si>
  <si>
    <t>Group share of profit</t>
  </si>
  <si>
    <t>Segment report - 2019</t>
  </si>
  <si>
    <t>Segment report - 2020</t>
  </si>
  <si>
    <t>Segment report - 2021</t>
  </si>
  <si>
    <t>Segment report - 2018</t>
  </si>
  <si>
    <t>Note #</t>
  </si>
  <si>
    <t>48-1</t>
  </si>
  <si>
    <t>48-3</t>
  </si>
  <si>
    <t>48-1&amp;3</t>
  </si>
  <si>
    <t>Net Earned Premuim</t>
  </si>
  <si>
    <t>Segment report - Q3/2020</t>
  </si>
  <si>
    <t>Segment report - Q3/2021</t>
  </si>
  <si>
    <t>Segment report - Q4/2020</t>
  </si>
  <si>
    <t>Segment report - Q4/2021</t>
  </si>
  <si>
    <t>Q3-2020</t>
  </si>
  <si>
    <t>Q4-2020</t>
  </si>
  <si>
    <t>Q3-2021</t>
  </si>
  <si>
    <t>Q4-2021</t>
  </si>
  <si>
    <t>Group share of profite</t>
  </si>
  <si>
    <t>Segment report - Q1/2021</t>
  </si>
  <si>
    <t>Segmant report - Q1/2021</t>
  </si>
  <si>
    <t>Segment report - Q1/2022</t>
  </si>
  <si>
    <t>Q1-2021</t>
  </si>
  <si>
    <t>Q1-2022</t>
  </si>
  <si>
    <t>Segment report - 2022</t>
  </si>
  <si>
    <t>Working Capital Financing</t>
  </si>
  <si>
    <t>Life Weight</t>
  </si>
  <si>
    <t>Non Life Weight</t>
  </si>
  <si>
    <t>Adjusted Net Income</t>
  </si>
  <si>
    <t>Net Income</t>
  </si>
  <si>
    <t>Segment report - Q2/2022</t>
  </si>
  <si>
    <t>Segment report - Q2/2021</t>
  </si>
  <si>
    <t>Q2-2021</t>
  </si>
  <si>
    <t>Q2-2022</t>
  </si>
  <si>
    <t>Segment report - H1/2021</t>
  </si>
  <si>
    <t>Segment report - H1/2022</t>
  </si>
  <si>
    <t>H1-2021</t>
  </si>
  <si>
    <t>H1-2022</t>
  </si>
  <si>
    <t>%</t>
  </si>
  <si>
    <t>Expected Credit loss Provision</t>
  </si>
  <si>
    <t>Segment report - Q3/2022</t>
  </si>
  <si>
    <t>Q3-2022</t>
  </si>
  <si>
    <t>9M-2021</t>
  </si>
  <si>
    <t>9M-2022</t>
  </si>
  <si>
    <t>Net effect of new Rent standard</t>
  </si>
  <si>
    <t>Q4-2022</t>
  </si>
  <si>
    <t>ESOP</t>
  </si>
  <si>
    <t>Brokerage Equity</t>
  </si>
  <si>
    <t>Monthly Avg Brokerage Equity</t>
  </si>
  <si>
    <t>Tech Investments</t>
  </si>
  <si>
    <t>Segment report - Q1/2023</t>
  </si>
  <si>
    <t>Q1-2023</t>
  </si>
  <si>
    <t>Promotion &amp; Underwriting Income</t>
  </si>
  <si>
    <t>Fee Income excluding P&amp;U Income</t>
  </si>
  <si>
    <t>Segment report - Q2/2023</t>
  </si>
  <si>
    <t>Q2-2023</t>
  </si>
  <si>
    <t>Segment report - H1/2023</t>
  </si>
  <si>
    <t>H1-2023</t>
  </si>
  <si>
    <t xml:space="preserve">Debt and Off-Balance Sheet Liability </t>
  </si>
  <si>
    <t>Segment report - Q3/2023</t>
  </si>
  <si>
    <t>Q3-2023</t>
  </si>
  <si>
    <t>9M-2023</t>
  </si>
  <si>
    <t>Segment report - 2023</t>
  </si>
  <si>
    <t>Q4-2023</t>
  </si>
  <si>
    <t>Segment report - Q4/2022</t>
  </si>
  <si>
    <t>Segment report - Q4/2023</t>
  </si>
  <si>
    <t>Special provision</t>
  </si>
  <si>
    <t>Non-recurring marketing expense</t>
  </si>
  <si>
    <t>Tax adjustments</t>
  </si>
  <si>
    <t>Capital Gain</t>
  </si>
  <si>
    <t>Non-recurring sale of assets post tax</t>
  </si>
  <si>
    <t>Segment report - Q1/2024</t>
  </si>
  <si>
    <t>Q1-2024</t>
  </si>
  <si>
    <t>Segment report - Q2/2024</t>
  </si>
  <si>
    <t>Segment report - H1/2024</t>
  </si>
  <si>
    <t>Q2-2024</t>
  </si>
  <si>
    <t>H1-2024</t>
  </si>
  <si>
    <t>Segment report - Q3/2024</t>
  </si>
  <si>
    <t>Q3-2024</t>
  </si>
  <si>
    <t>9M-2024</t>
  </si>
  <si>
    <t xml:space="preserve">Financing </t>
  </si>
  <si>
    <t>Dividends</t>
  </si>
  <si>
    <t>Segment report - 2024</t>
  </si>
  <si>
    <t>Q4-2024</t>
  </si>
  <si>
    <t>Segment report - Q4/2024</t>
  </si>
  <si>
    <t>FY-24 vs. FY-23</t>
  </si>
  <si>
    <t>Segment report - Q1/2025</t>
  </si>
  <si>
    <t>Q1-2025</t>
  </si>
  <si>
    <t>Insurance Service Expenses</t>
  </si>
  <si>
    <t>Surplus (deficit) of insurance activity</t>
  </si>
  <si>
    <t>Reinsurance expenses</t>
  </si>
  <si>
    <t>Reinsurance revenue</t>
  </si>
  <si>
    <t>Surplus (deficit) of reinsurance activity</t>
  </si>
  <si>
    <t>Net Insurance Financing Income (Expenses)</t>
  </si>
  <si>
    <t>Net Reinsurance Financing Income (Expenses)</t>
  </si>
  <si>
    <t>Insurance Activity Surplus (Deficit)</t>
  </si>
  <si>
    <t>Reinsurance Activity Surplus (Deficit)</t>
  </si>
  <si>
    <t>Financing-'Segment IFRS17' Report Note No. (    )</t>
  </si>
  <si>
    <t>Insurance Revenue</t>
  </si>
  <si>
    <t>Q4-24 ws. Q4-23</t>
  </si>
  <si>
    <t>Segment report - Q2/2025</t>
  </si>
  <si>
    <t>Segment report - H1/2025</t>
  </si>
  <si>
    <t>H1-2025</t>
  </si>
  <si>
    <t>Q2-2025</t>
  </si>
  <si>
    <t>Discounting</t>
  </si>
  <si>
    <t>Fixed Assets Financing</t>
  </si>
  <si>
    <t>Segment report - Q3/2025</t>
  </si>
  <si>
    <t>9M-2025</t>
  </si>
  <si>
    <t>Q3-2025</t>
  </si>
  <si>
    <t>Q4-2025</t>
  </si>
  <si>
    <t>h</t>
  </si>
  <si>
    <t>Personnel expenses</t>
  </si>
  <si>
    <t>Segment report - 2025</t>
  </si>
  <si>
    <t>Segment report - Q4/2025</t>
  </si>
  <si>
    <t xml:space="preserve">Others </t>
  </si>
  <si>
    <t>Financing-Segment</t>
  </si>
  <si>
    <t>Q4-25 vs. Q4-24</t>
  </si>
  <si>
    <t>FY-25 vs. FY-24</t>
  </si>
  <si>
    <t>Financing ROA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</si>
</sst>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  <numFmt numFmtId="167" formatCode="_-* #,##0.00_-;_-* #,##0.00\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sz val="1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u/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Arabic Transparent"/>
    </font>
    <font>
      <sz val="11"/>
      <color theme="1"/>
      <name val="Aptos"/>
      <family val="2"/>
    </font>
    <font>
      <sz val="11"/>
      <name val="Calibri"/>
      <family val="2"/>
      <scheme val="minor"/>
    </font>
    <font>
      <sz val="11"/>
      <color theme="1"/>
      <name val="Simplified Arabic"/>
      <family val="1"/>
      <charset val="178"/>
    </font>
    <font>
      <b/>
      <u val="singleAccounting"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304">
    <xf numFmtId="0" fontId="0" fillId="0" borderId="0" xfId="0"/>
    <xf numFmtId="43" fontId="0" fillId="0" borderId="0" xfId="1" applyFont="1"/>
    <xf numFmtId="164" fontId="0" fillId="0" borderId="0" xfId="1" applyNumberFormat="1" applyFont="1"/>
    <xf numFmtId="164" fontId="0" fillId="0" borderId="0" xfId="0" applyNumberFormat="1"/>
    <xf numFmtId="164" fontId="0" fillId="2" borderId="0" xfId="1" applyNumberFormat="1" applyFont="1" applyFill="1"/>
    <xf numFmtId="0" fontId="2" fillId="0" borderId="1" xfId="0" applyFont="1" applyBorder="1"/>
    <xf numFmtId="0" fontId="2" fillId="0" borderId="0" xfId="0" applyFont="1"/>
    <xf numFmtId="164" fontId="2" fillId="0" borderId="0" xfId="1" applyNumberFormat="1" applyFont="1" applyBorder="1"/>
    <xf numFmtId="0" fontId="4" fillId="2" borderId="0" xfId="0" applyFont="1" applyFill="1" applyAlignment="1">
      <alignment horizontal="center" vertical="center" wrapText="1"/>
    </xf>
    <xf numFmtId="43" fontId="2" fillId="2" borderId="0" xfId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43" fontId="0" fillId="0" borderId="0" xfId="0" applyNumberFormat="1"/>
    <xf numFmtId="0" fontId="0" fillId="0" borderId="1" xfId="0" applyBorder="1"/>
    <xf numFmtId="0" fontId="0" fillId="0" borderId="4" xfId="0" applyBorder="1"/>
    <xf numFmtId="164" fontId="0" fillId="0" borderId="0" xfId="1" applyNumberFormat="1" applyFont="1" applyFill="1"/>
    <xf numFmtId="0" fontId="2" fillId="0" borderId="4" xfId="0" applyFont="1" applyBorder="1"/>
    <xf numFmtId="164" fontId="2" fillId="0" borderId="4" xfId="1" applyNumberFormat="1" applyFont="1" applyBorder="1"/>
    <xf numFmtId="164" fontId="7" fillId="0" borderId="1" xfId="1" applyNumberFormat="1" applyFont="1" applyBorder="1"/>
    <xf numFmtId="0" fontId="5" fillId="0" borderId="1" xfId="0" applyFont="1" applyBorder="1"/>
    <xf numFmtId="164" fontId="5" fillId="0" borderId="1" xfId="1" applyNumberFormat="1" applyFont="1" applyBorder="1"/>
    <xf numFmtId="164" fontId="2" fillId="0" borderId="4" xfId="1" applyNumberFormat="1" applyFont="1" applyFill="1" applyBorder="1"/>
    <xf numFmtId="0" fontId="6" fillId="4" borderId="0" xfId="0" applyFont="1" applyFill="1" applyAlignment="1">
      <alignment vertical="center"/>
    </xf>
    <xf numFmtId="164" fontId="0" fillId="0" borderId="4" xfId="1" applyNumberFormat="1" applyFont="1" applyBorder="1"/>
    <xf numFmtId="0" fontId="4" fillId="2" borderId="0" xfId="0" applyFont="1" applyFill="1" applyAlignment="1">
      <alignment horizontal="center" vertical="center"/>
    </xf>
    <xf numFmtId="0" fontId="5" fillId="0" borderId="3" xfId="0" applyFont="1" applyBorder="1"/>
    <xf numFmtId="164" fontId="2" fillId="2" borderId="0" xfId="1" applyNumberFormat="1" applyFont="1" applyFill="1" applyAlignment="1">
      <alignment horizontal="center" vertical="center"/>
    </xf>
    <xf numFmtId="43" fontId="0" fillId="0" borderId="4" xfId="1" applyFont="1" applyBorder="1"/>
    <xf numFmtId="164" fontId="0" fillId="0" borderId="4" xfId="1" applyNumberFormat="1" applyFont="1" applyFill="1" applyBorder="1"/>
    <xf numFmtId="0" fontId="8" fillId="0" borderId="6" xfId="0" applyFont="1" applyBorder="1" applyAlignment="1">
      <alignment horizontal="centerContinuous" vertical="center"/>
    </xf>
    <xf numFmtId="0" fontId="8" fillId="4" borderId="6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centerContinuous" vertical="center"/>
    </xf>
    <xf numFmtId="0" fontId="9" fillId="0" borderId="6" xfId="0" applyFont="1" applyBorder="1"/>
    <xf numFmtId="0" fontId="10" fillId="0" borderId="7" xfId="0" applyFont="1" applyBorder="1" applyAlignment="1">
      <alignment horizontal="right" vertical="center"/>
    </xf>
    <xf numFmtId="0" fontId="10" fillId="2" borderId="7" xfId="0" applyFont="1" applyFill="1" applyBorder="1" applyAlignment="1">
      <alignment horizontal="right" vertical="center"/>
    </xf>
    <xf numFmtId="0" fontId="9" fillId="0" borderId="7" xfId="0" applyFont="1" applyBorder="1" applyAlignment="1">
      <alignment horizontal="right"/>
    </xf>
    <xf numFmtId="0" fontId="9" fillId="0" borderId="0" xfId="0" applyFont="1"/>
    <xf numFmtId="0" fontId="11" fillId="0" borderId="0" xfId="0" applyFont="1"/>
    <xf numFmtId="164" fontId="9" fillId="0" borderId="0" xfId="1" applyNumberFormat="1" applyFont="1"/>
    <xf numFmtId="0" fontId="12" fillId="0" borderId="0" xfId="0" applyFont="1"/>
    <xf numFmtId="165" fontId="12" fillId="0" borderId="0" xfId="3" applyNumberFormat="1" applyFont="1" applyFill="1"/>
    <xf numFmtId="164" fontId="12" fillId="0" borderId="0" xfId="1" applyNumberFormat="1" applyFont="1" applyFill="1"/>
    <xf numFmtId="164" fontId="9" fillId="0" borderId="0" xfId="0" applyNumberFormat="1" applyFont="1"/>
    <xf numFmtId="0" fontId="10" fillId="0" borderId="1" xfId="0" applyFont="1" applyBorder="1"/>
    <xf numFmtId="164" fontId="10" fillId="0" borderId="1" xfId="0" applyNumberFormat="1" applyFont="1" applyBorder="1"/>
    <xf numFmtId="0" fontId="10" fillId="0" borderId="0" xfId="0" applyFont="1"/>
    <xf numFmtId="0" fontId="10" fillId="0" borderId="4" xfId="0" applyFont="1" applyBorder="1"/>
    <xf numFmtId="164" fontId="10" fillId="0" borderId="4" xfId="0" applyNumberFormat="1" applyFont="1" applyBorder="1"/>
    <xf numFmtId="164" fontId="10" fillId="0" borderId="4" xfId="1" applyNumberFormat="1" applyFont="1" applyBorder="1"/>
    <xf numFmtId="164" fontId="10" fillId="0" borderId="0" xfId="0" applyNumberFormat="1" applyFont="1"/>
    <xf numFmtId="0" fontId="10" fillId="0" borderId="2" xfId="0" applyFont="1" applyBorder="1"/>
    <xf numFmtId="164" fontId="10" fillId="0" borderId="2" xfId="1" applyNumberFormat="1" applyFont="1" applyBorder="1"/>
    <xf numFmtId="164" fontId="10" fillId="0" borderId="2" xfId="1" applyNumberFormat="1" applyFont="1" applyFill="1" applyBorder="1"/>
    <xf numFmtId="164" fontId="10" fillId="0" borderId="0" xfId="1" applyNumberFormat="1" applyFont="1" applyFill="1" applyBorder="1"/>
    <xf numFmtId="0" fontId="9" fillId="0" borderId="2" xfId="0" applyFont="1" applyBorder="1"/>
    <xf numFmtId="164" fontId="9" fillId="0" borderId="2" xfId="0" applyNumberFormat="1" applyFont="1" applyBorder="1"/>
    <xf numFmtId="0" fontId="9" fillId="0" borderId="3" xfId="0" applyFont="1" applyBorder="1"/>
    <xf numFmtId="164" fontId="9" fillId="0" borderId="3" xfId="0" applyNumberFormat="1" applyFont="1" applyBorder="1"/>
    <xf numFmtId="164" fontId="10" fillId="0" borderId="2" xfId="0" applyNumberFormat="1" applyFont="1" applyBorder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0" fillId="0" borderId="0" xfId="1" applyNumberFormat="1" applyFont="1" applyBorder="1"/>
    <xf numFmtId="0" fontId="10" fillId="2" borderId="7" xfId="0" applyFont="1" applyFill="1" applyBorder="1" applyAlignment="1">
      <alignment horizontal="left" vertical="center"/>
    </xf>
    <xf numFmtId="0" fontId="9" fillId="6" borderId="0" xfId="0" applyFont="1" applyFill="1"/>
    <xf numFmtId="0" fontId="13" fillId="6" borderId="0" xfId="0" applyFont="1" applyFill="1"/>
    <xf numFmtId="164" fontId="16" fillId="6" borderId="0" xfId="0" applyNumberFormat="1" applyFont="1" applyFill="1" applyAlignment="1">
      <alignment horizontal="right"/>
    </xf>
    <xf numFmtId="164" fontId="13" fillId="6" borderId="0" xfId="0" applyNumberFormat="1" applyFont="1" applyFill="1" applyAlignment="1">
      <alignment horizontal="right"/>
    </xf>
    <xf numFmtId="164" fontId="16" fillId="0" borderId="0" xfId="0" applyNumberFormat="1" applyFont="1" applyAlignment="1">
      <alignment horizontal="right"/>
    </xf>
    <xf numFmtId="164" fontId="16" fillId="5" borderId="0" xfId="0" applyNumberFormat="1" applyFont="1" applyFill="1" applyAlignment="1">
      <alignment horizontal="right"/>
    </xf>
    <xf numFmtId="164" fontId="13" fillId="0" borderId="0" xfId="0" applyNumberFormat="1" applyFont="1" applyAlignment="1">
      <alignment horizontal="right"/>
    </xf>
    <xf numFmtId="0" fontId="13" fillId="0" borderId="0" xfId="0" applyFont="1"/>
    <xf numFmtId="164" fontId="17" fillId="0" borderId="5" xfId="0" applyNumberFormat="1" applyFont="1" applyBorder="1" applyAlignment="1">
      <alignment horizontal="right"/>
    </xf>
    <xf numFmtId="164" fontId="9" fillId="0" borderId="0" xfId="1" applyNumberFormat="1" applyFont="1" applyFill="1" applyBorder="1"/>
    <xf numFmtId="164" fontId="10" fillId="0" borderId="5" xfId="1" applyNumberFormat="1" applyFont="1" applyFill="1" applyBorder="1"/>
    <xf numFmtId="164" fontId="10" fillId="0" borderId="5" xfId="1" applyNumberFormat="1" applyFont="1" applyBorder="1"/>
    <xf numFmtId="164" fontId="18" fillId="0" borderId="0" xfId="1" applyNumberFormat="1" applyFont="1"/>
    <xf numFmtId="0" fontId="13" fillId="6" borderId="0" xfId="0" applyFont="1" applyFill="1" applyAlignment="1">
      <alignment horizontal="left"/>
    </xf>
    <xf numFmtId="0" fontId="17" fillId="6" borderId="5" xfId="0" applyFont="1" applyFill="1" applyBorder="1"/>
    <xf numFmtId="0" fontId="17" fillId="6" borderId="4" xfId="0" applyFont="1" applyFill="1" applyBorder="1"/>
    <xf numFmtId="0" fontId="10" fillId="6" borderId="4" xfId="0" applyFont="1" applyFill="1" applyBorder="1"/>
    <xf numFmtId="0" fontId="8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left"/>
    </xf>
    <xf numFmtId="0" fontId="8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left"/>
    </xf>
    <xf numFmtId="0" fontId="10" fillId="3" borderId="0" xfId="0" applyFont="1" applyFill="1"/>
    <xf numFmtId="164" fontId="10" fillId="3" borderId="0" xfId="0" applyNumberFormat="1" applyFont="1" applyFill="1"/>
    <xf numFmtId="0" fontId="17" fillId="3" borderId="0" xfId="0" applyFont="1" applyFill="1"/>
    <xf numFmtId="164" fontId="17" fillId="3" borderId="0" xfId="1" applyNumberFormat="1" applyFont="1" applyFill="1"/>
    <xf numFmtId="164" fontId="17" fillId="0" borderId="0" xfId="1" applyNumberFormat="1" applyFont="1" applyFill="1"/>
    <xf numFmtId="164" fontId="17" fillId="0" borderId="0" xfId="1" applyNumberFormat="1" applyFont="1" applyFill="1" applyBorder="1"/>
    <xf numFmtId="164" fontId="9" fillId="0" borderId="0" xfId="0" applyNumberFormat="1" applyFont="1" applyAlignment="1">
      <alignment horizontal="right"/>
    </xf>
    <xf numFmtId="0" fontId="10" fillId="0" borderId="3" xfId="0" applyFont="1" applyBorder="1"/>
    <xf numFmtId="164" fontId="10" fillId="0" borderId="3" xfId="0" applyNumberFormat="1" applyFont="1" applyBorder="1" applyAlignment="1">
      <alignment horizontal="right"/>
    </xf>
    <xf numFmtId="164" fontId="12" fillId="0" borderId="0" xfId="1" applyNumberFormat="1" applyFont="1"/>
    <xf numFmtId="164" fontId="19" fillId="5" borderId="0" xfId="1" applyNumberFormat="1" applyFont="1" applyFill="1"/>
    <xf numFmtId="164" fontId="16" fillId="5" borderId="0" xfId="1" applyNumberFormat="1" applyFont="1" applyFill="1"/>
    <xf numFmtId="164" fontId="16" fillId="5" borderId="0" xfId="1" applyNumberFormat="1" applyFont="1" applyFill="1" applyBorder="1"/>
    <xf numFmtId="0" fontId="17" fillId="0" borderId="4" xfId="0" applyFont="1" applyBorder="1"/>
    <xf numFmtId="164" fontId="13" fillId="0" borderId="4" xfId="0" applyNumberFormat="1" applyFont="1" applyBorder="1" applyAlignment="1">
      <alignment horizontal="right"/>
    </xf>
    <xf numFmtId="0" fontId="17" fillId="0" borderId="0" xfId="0" applyFont="1"/>
    <xf numFmtId="164" fontId="17" fillId="0" borderId="5" xfId="1" applyNumberFormat="1" applyFont="1" applyBorder="1"/>
    <xf numFmtId="164" fontId="0" fillId="0" borderId="0" xfId="1" applyNumberFormat="1" applyFont="1" applyBorder="1"/>
    <xf numFmtId="165" fontId="9" fillId="0" borderId="0" xfId="0" applyNumberFormat="1" applyFont="1"/>
    <xf numFmtId="0" fontId="13" fillId="6" borderId="4" xfId="0" applyFont="1" applyFill="1" applyBorder="1"/>
    <xf numFmtId="164" fontId="9" fillId="0" borderId="4" xfId="0" applyNumberFormat="1" applyFont="1" applyBorder="1"/>
    <xf numFmtId="0" fontId="11" fillId="0" borderId="0" xfId="0" applyFont="1" applyAlignment="1">
      <alignment horizontal="left"/>
    </xf>
    <xf numFmtId="17" fontId="9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17" fillId="3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7" fillId="6" borderId="4" xfId="0" applyFont="1" applyFill="1" applyBorder="1" applyAlignment="1">
      <alignment horizontal="left"/>
    </xf>
    <xf numFmtId="0" fontId="10" fillId="6" borderId="4" xfId="0" applyFont="1" applyFill="1" applyBorder="1" applyAlignment="1">
      <alignment horizontal="left"/>
    </xf>
    <xf numFmtId="0" fontId="17" fillId="0" borderId="0" xfId="0" applyFont="1" applyAlignment="1">
      <alignment horizontal="left"/>
    </xf>
    <xf numFmtId="0" fontId="17" fillId="6" borderId="5" xfId="0" applyFont="1" applyFill="1" applyBorder="1" applyAlignment="1">
      <alignment horizontal="left"/>
    </xf>
    <xf numFmtId="0" fontId="17" fillId="0" borderId="4" xfId="0" applyFont="1" applyBorder="1" applyAlignment="1">
      <alignment horizontal="left"/>
    </xf>
    <xf numFmtId="164" fontId="10" fillId="0" borderId="5" xfId="1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3" fillId="6" borderId="4" xfId="0" applyFont="1" applyFill="1" applyBorder="1" applyAlignment="1">
      <alignment horizontal="left"/>
    </xf>
    <xf numFmtId="0" fontId="10" fillId="2" borderId="7" xfId="0" applyFont="1" applyFill="1" applyBorder="1" applyAlignment="1">
      <alignment horizontal="center" vertical="center"/>
    </xf>
    <xf numFmtId="166" fontId="10" fillId="0" borderId="0" xfId="1" applyNumberFormat="1" applyFont="1" applyBorder="1"/>
    <xf numFmtId="9" fontId="10" fillId="0" borderId="0" xfId="3" applyFont="1" applyBorder="1"/>
    <xf numFmtId="9" fontId="9" fillId="0" borderId="0" xfId="3" applyFont="1"/>
    <xf numFmtId="165" fontId="9" fillId="0" borderId="0" xfId="3" applyNumberFormat="1" applyFont="1"/>
    <xf numFmtId="9" fontId="9" fillId="6" borderId="0" xfId="3" applyFont="1" applyFill="1"/>
    <xf numFmtId="0" fontId="6" fillId="4" borderId="0" xfId="0" applyFont="1" applyFill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43" fontId="0" fillId="2" borderId="0" xfId="1" applyFont="1" applyFill="1"/>
    <xf numFmtId="0" fontId="0" fillId="0" borderId="0" xfId="0" applyAlignment="1">
      <alignment wrapText="1"/>
    </xf>
    <xf numFmtId="0" fontId="8" fillId="0" borderId="6" xfId="0" applyFont="1" applyBorder="1" applyAlignment="1">
      <alignment horizontal="center" vertical="center"/>
    </xf>
    <xf numFmtId="164" fontId="18" fillId="0" borderId="0" xfId="1" applyNumberFormat="1" applyFont="1" applyFill="1"/>
    <xf numFmtId="43" fontId="2" fillId="0" borderId="4" xfId="1" applyFont="1" applyBorder="1"/>
    <xf numFmtId="43" fontId="2" fillId="0" borderId="4" xfId="0" applyNumberFormat="1" applyFont="1" applyBorder="1"/>
    <xf numFmtId="165" fontId="10" fillId="0" borderId="0" xfId="3" applyNumberFormat="1" applyFont="1" applyBorder="1"/>
    <xf numFmtId="9" fontId="10" fillId="0" borderId="2" xfId="3" applyFont="1" applyFill="1" applyBorder="1"/>
    <xf numFmtId="9" fontId="10" fillId="0" borderId="0" xfId="3" applyFont="1" applyFill="1"/>
    <xf numFmtId="165" fontId="10" fillId="0" borderId="1" xfId="3" applyNumberFormat="1" applyFont="1" applyFill="1" applyBorder="1"/>
    <xf numFmtId="164" fontId="16" fillId="0" borderId="0" xfId="1" applyNumberFormat="1" applyFont="1" applyFill="1"/>
    <xf numFmtId="164" fontId="16" fillId="0" borderId="0" xfId="1" applyNumberFormat="1" applyFont="1" applyFill="1" applyBorder="1"/>
    <xf numFmtId="9" fontId="16" fillId="0" borderId="0" xfId="3" applyFont="1" applyFill="1" applyBorder="1"/>
    <xf numFmtId="164" fontId="10" fillId="2" borderId="7" xfId="0" applyNumberFormat="1" applyFont="1" applyFill="1" applyBorder="1" applyAlignment="1">
      <alignment horizontal="right" vertical="center"/>
    </xf>
    <xf numFmtId="0" fontId="13" fillId="6" borderId="2" xfId="0" applyFont="1" applyFill="1" applyBorder="1"/>
    <xf numFmtId="0" fontId="13" fillId="6" borderId="2" xfId="0" applyFont="1" applyFill="1" applyBorder="1" applyAlignment="1">
      <alignment horizontal="left"/>
    </xf>
    <xf numFmtId="164" fontId="13" fillId="0" borderId="2" xfId="0" applyNumberFormat="1" applyFont="1" applyBorder="1" applyAlignment="1">
      <alignment horizontal="right"/>
    </xf>
    <xf numFmtId="164" fontId="9" fillId="0" borderId="2" xfId="1" applyNumberFormat="1" applyFont="1" applyBorder="1"/>
    <xf numFmtId="164" fontId="0" fillId="0" borderId="1" xfId="1" applyNumberFormat="1" applyFont="1" applyBorder="1"/>
    <xf numFmtId="164" fontId="0" fillId="0" borderId="1" xfId="1" applyNumberFormat="1" applyFont="1" applyFill="1" applyBorder="1"/>
    <xf numFmtId="164" fontId="9" fillId="0" borderId="0" xfId="1" applyNumberFormat="1" applyFont="1" applyBorder="1"/>
    <xf numFmtId="164" fontId="13" fillId="0" borderId="0" xfId="1" applyNumberFormat="1" applyFont="1" applyFill="1"/>
    <xf numFmtId="164" fontId="17" fillId="0" borderId="4" xfId="1" applyNumberFormat="1" applyFont="1" applyFill="1" applyBorder="1"/>
    <xf numFmtId="164" fontId="13" fillId="0" borderId="0" xfId="1" applyNumberFormat="1" applyFont="1" applyFill="1" applyBorder="1"/>
    <xf numFmtId="9" fontId="13" fillId="0" borderId="0" xfId="3" applyFont="1" applyFill="1" applyBorder="1"/>
    <xf numFmtId="164" fontId="13" fillId="0" borderId="0" xfId="0" applyNumberFormat="1" applyFont="1"/>
    <xf numFmtId="164" fontId="13" fillId="0" borderId="4" xfId="0" applyNumberFormat="1" applyFont="1" applyBorder="1"/>
    <xf numFmtId="0" fontId="20" fillId="0" borderId="0" xfId="0" applyFont="1"/>
    <xf numFmtId="164" fontId="21" fillId="0" borderId="0" xfId="1" applyNumberFormat="1" applyFont="1" applyFill="1"/>
    <xf numFmtId="165" fontId="10" fillId="0" borderId="0" xfId="0" applyNumberFormat="1" applyFont="1"/>
    <xf numFmtId="9" fontId="8" fillId="4" borderId="6" xfId="3" applyFont="1" applyFill="1" applyBorder="1" applyAlignment="1">
      <alignment horizontal="center" vertical="center"/>
    </xf>
    <xf numFmtId="9" fontId="10" fillId="2" borderId="7" xfId="3" applyFont="1" applyFill="1" applyBorder="1" applyAlignment="1">
      <alignment horizontal="right" vertical="center"/>
    </xf>
    <xf numFmtId="9" fontId="12" fillId="0" borderId="0" xfId="3" applyFont="1" applyFill="1"/>
    <xf numFmtId="9" fontId="10" fillId="0" borderId="1" xfId="3" applyFont="1" applyBorder="1"/>
    <xf numFmtId="9" fontId="11" fillId="0" borderId="0" xfId="3" applyFont="1"/>
    <xf numFmtId="9" fontId="10" fillId="0" borderId="0" xfId="3" applyFont="1"/>
    <xf numFmtId="9" fontId="10" fillId="0" borderId="4" xfId="3" applyFont="1" applyBorder="1"/>
    <xf numFmtId="9" fontId="10" fillId="0" borderId="2" xfId="3" applyFont="1" applyBorder="1"/>
    <xf numFmtId="9" fontId="9" fillId="0" borderId="2" xfId="3" applyFont="1" applyBorder="1"/>
    <xf numFmtId="9" fontId="9" fillId="0" borderId="3" xfId="3" applyFont="1" applyBorder="1"/>
    <xf numFmtId="9" fontId="17" fillId="3" borderId="0" xfId="3" applyFont="1" applyFill="1"/>
    <xf numFmtId="9" fontId="10" fillId="3" borderId="0" xfId="3" applyFont="1" applyFill="1"/>
    <xf numFmtId="9" fontId="14" fillId="0" borderId="0" xfId="3" applyFont="1"/>
    <xf numFmtId="9" fontId="8" fillId="4" borderId="6" xfId="3" applyFont="1" applyFill="1" applyBorder="1" applyAlignment="1">
      <alignment horizontal="centerContinuous" vertical="center"/>
    </xf>
    <xf numFmtId="9" fontId="13" fillId="0" borderId="0" xfId="3" applyFont="1" applyFill="1" applyAlignment="1">
      <alignment horizontal="right"/>
    </xf>
    <xf numFmtId="9" fontId="16" fillId="5" borderId="0" xfId="3" applyFont="1" applyFill="1" applyAlignment="1">
      <alignment horizontal="right"/>
    </xf>
    <xf numFmtId="9" fontId="13" fillId="6" borderId="0" xfId="3" applyFont="1" applyFill="1" applyAlignment="1">
      <alignment horizontal="right"/>
    </xf>
    <xf numFmtId="9" fontId="16" fillId="6" borderId="0" xfId="3" applyFont="1" applyFill="1" applyAlignment="1">
      <alignment horizontal="right"/>
    </xf>
    <xf numFmtId="9" fontId="8" fillId="4" borderId="6" xfId="3" applyFont="1" applyFill="1" applyBorder="1" applyAlignment="1">
      <alignment horizontal="left" vertical="center"/>
    </xf>
    <xf numFmtId="9" fontId="10" fillId="2" borderId="7" xfId="3" applyFont="1" applyFill="1" applyBorder="1" applyAlignment="1">
      <alignment horizontal="left" vertical="center"/>
    </xf>
    <xf numFmtId="9" fontId="13" fillId="0" borderId="4" xfId="3" applyFont="1" applyBorder="1" applyAlignment="1">
      <alignment horizontal="right"/>
    </xf>
    <xf numFmtId="9" fontId="17" fillId="0" borderId="5" xfId="3" applyFont="1" applyFill="1" applyBorder="1" applyAlignment="1">
      <alignment horizontal="right"/>
    </xf>
    <xf numFmtId="9" fontId="21" fillId="0" borderId="0" xfId="3" applyFont="1" applyFill="1"/>
    <xf numFmtId="9" fontId="16" fillId="5" borderId="0" xfId="3" applyFont="1" applyFill="1"/>
    <xf numFmtId="9" fontId="10" fillId="0" borderId="5" xfId="3" applyFont="1" applyBorder="1"/>
    <xf numFmtId="9" fontId="10" fillId="0" borderId="3" xfId="3" applyFont="1" applyFill="1" applyBorder="1" applyAlignment="1">
      <alignment horizontal="right"/>
    </xf>
    <xf numFmtId="9" fontId="16" fillId="0" borderId="0" xfId="3" applyFont="1" applyFill="1" applyBorder="1" applyAlignment="1">
      <alignment horizontal="right"/>
    </xf>
    <xf numFmtId="9" fontId="17" fillId="0" borderId="5" xfId="3" applyFont="1" applyBorder="1"/>
    <xf numFmtId="9" fontId="9" fillId="0" borderId="4" xfId="3" applyFont="1" applyBorder="1"/>
    <xf numFmtId="9" fontId="16" fillId="5" borderId="0" xfId="3" applyFont="1" applyFill="1" applyBorder="1"/>
    <xf numFmtId="9" fontId="9" fillId="0" borderId="0" xfId="3" applyFont="1" applyFill="1"/>
    <xf numFmtId="9" fontId="18" fillId="0" borderId="0" xfId="3" applyFont="1" applyFill="1"/>
    <xf numFmtId="9" fontId="9" fillId="0" borderId="3" xfId="3" applyFont="1" applyFill="1" applyBorder="1"/>
    <xf numFmtId="9" fontId="17" fillId="0" borderId="5" xfId="3" applyFont="1" applyBorder="1" applyAlignment="1">
      <alignment horizontal="right"/>
    </xf>
    <xf numFmtId="164" fontId="9" fillId="0" borderId="0" xfId="3" applyNumberFormat="1" applyFont="1"/>
    <xf numFmtId="164" fontId="16" fillId="0" borderId="0" xfId="3" applyNumberFormat="1" applyFont="1" applyFill="1" applyBorder="1"/>
    <xf numFmtId="164" fontId="9" fillId="0" borderId="0" xfId="1" applyNumberFormat="1" applyFont="1" applyFill="1"/>
    <xf numFmtId="9" fontId="9" fillId="0" borderId="0" xfId="3" applyFont="1" applyBorder="1"/>
    <xf numFmtId="0" fontId="9" fillId="0" borderId="0" xfId="0" applyFont="1" applyAlignment="1">
      <alignment horizontal="right"/>
    </xf>
    <xf numFmtId="0" fontId="8" fillId="4" borderId="6" xfId="0" applyFont="1" applyFill="1" applyBorder="1" applyAlignment="1">
      <alignment horizontal="right" vertical="center"/>
    </xf>
    <xf numFmtId="10" fontId="12" fillId="0" borderId="0" xfId="3" applyNumberFormat="1" applyFont="1" applyFill="1"/>
    <xf numFmtId="164" fontId="2" fillId="0" borderId="4" xfId="0" applyNumberFormat="1" applyFont="1" applyBorder="1"/>
    <xf numFmtId="9" fontId="16" fillId="0" borderId="0" xfId="3" applyFont="1" applyFill="1" applyAlignment="1">
      <alignment horizontal="right"/>
    </xf>
    <xf numFmtId="164" fontId="16" fillId="5" borderId="4" xfId="0" applyNumberFormat="1" applyFont="1" applyFill="1" applyBorder="1" applyAlignment="1">
      <alignment horizontal="right"/>
    </xf>
    <xf numFmtId="9" fontId="16" fillId="5" borderId="4" xfId="3" applyFont="1" applyFill="1" applyBorder="1" applyAlignment="1">
      <alignment horizontal="right"/>
    </xf>
    <xf numFmtId="9" fontId="10" fillId="0" borderId="0" xfId="3" applyFont="1" applyFill="1" applyBorder="1" applyAlignment="1">
      <alignment horizontal="right" vertical="center"/>
    </xf>
    <xf numFmtId="9" fontId="9" fillId="0" borderId="0" xfId="3" applyFont="1" applyFill="1" applyBorder="1"/>
    <xf numFmtId="9" fontId="9" fillId="6" borderId="0" xfId="3" applyFont="1" applyFill="1" applyBorder="1"/>
    <xf numFmtId="43" fontId="0" fillId="0" borderId="1" xfId="0" applyNumberFormat="1" applyBorder="1"/>
    <xf numFmtId="43" fontId="2" fillId="0" borderId="0" xfId="1" applyFont="1" applyBorder="1"/>
    <xf numFmtId="43" fontId="0" fillId="0" borderId="1" xfId="1" applyFont="1" applyBorder="1"/>
    <xf numFmtId="43" fontId="0" fillId="0" borderId="0" xfId="1" applyFont="1" applyBorder="1"/>
    <xf numFmtId="164" fontId="10" fillId="0" borderId="0" xfId="3" applyNumberFormat="1" applyFont="1" applyBorder="1"/>
    <xf numFmtId="164" fontId="9" fillId="7" borderId="0" xfId="1" applyNumberFormat="1" applyFont="1" applyFill="1"/>
    <xf numFmtId="9" fontId="11" fillId="0" borderId="0" xfId="3" applyFont="1" applyFill="1"/>
    <xf numFmtId="164" fontId="14" fillId="0" borderId="0" xfId="1" applyNumberFormat="1" applyFont="1"/>
    <xf numFmtId="43" fontId="9" fillId="0" borderId="0" xfId="0" applyNumberFormat="1" applyFont="1"/>
    <xf numFmtId="3" fontId="23" fillId="0" borderId="0" xfId="0" applyNumberFormat="1" applyFont="1"/>
    <xf numFmtId="164" fontId="10" fillId="0" borderId="0" xfId="1" applyNumberFormat="1" applyFont="1"/>
    <xf numFmtId="43" fontId="10" fillId="0" borderId="0" xfId="1" applyFont="1"/>
    <xf numFmtId="3" fontId="24" fillId="0" borderId="0" xfId="0" applyNumberFormat="1" applyFont="1"/>
    <xf numFmtId="9" fontId="24" fillId="0" borderId="0" xfId="3" applyFont="1"/>
    <xf numFmtId="9" fontId="9" fillId="0" borderId="0" xfId="0" applyNumberFormat="1" applyFont="1"/>
    <xf numFmtId="164" fontId="9" fillId="0" borderId="0" xfId="3" applyNumberFormat="1" applyFont="1" applyFill="1"/>
    <xf numFmtId="165" fontId="10" fillId="0" borderId="0" xfId="3" applyNumberFormat="1" applyFont="1" applyFill="1"/>
    <xf numFmtId="164" fontId="11" fillId="0" borderId="0" xfId="3" applyNumberFormat="1" applyFont="1" applyFill="1"/>
    <xf numFmtId="164" fontId="0" fillId="0" borderId="0" xfId="1" applyNumberFormat="1" applyFont="1" applyFill="1" applyBorder="1"/>
    <xf numFmtId="0" fontId="5" fillId="0" borderId="0" xfId="0" applyFont="1"/>
    <xf numFmtId="164" fontId="2" fillId="0" borderId="1" xfId="1" applyNumberFormat="1" applyFont="1" applyBorder="1"/>
    <xf numFmtId="0" fontId="2" fillId="0" borderId="2" xfId="0" applyFont="1" applyBorder="1"/>
    <xf numFmtId="164" fontId="2" fillId="0" borderId="2" xfId="1" applyNumberFormat="1" applyFont="1" applyBorder="1"/>
    <xf numFmtId="164" fontId="0" fillId="0" borderId="2" xfId="1" applyNumberFormat="1" applyFont="1" applyBorder="1"/>
    <xf numFmtId="0" fontId="0" fillId="0" borderId="3" xfId="0" applyBorder="1"/>
    <xf numFmtId="0" fontId="25" fillId="3" borderId="0" xfId="0" applyFont="1" applyFill="1"/>
    <xf numFmtId="164" fontId="25" fillId="3" borderId="0" xfId="1" applyNumberFormat="1" applyFont="1" applyFill="1"/>
    <xf numFmtId="0" fontId="0" fillId="3" borderId="0" xfId="0" applyFill="1"/>
    <xf numFmtId="164" fontId="0" fillId="3" borderId="0" xfId="1" applyNumberFormat="1" applyFont="1" applyFill="1"/>
    <xf numFmtId="164" fontId="0" fillId="3" borderId="0" xfId="1" applyNumberFormat="1" applyFont="1" applyFill="1" applyAlignment="1">
      <alignment readingOrder="1"/>
    </xf>
    <xf numFmtId="43" fontId="0" fillId="0" borderId="0" xfId="1" applyFont="1" applyFill="1" applyBorder="1"/>
    <xf numFmtId="9" fontId="16" fillId="0" borderId="0" xfId="3" applyFont="1" applyAlignment="1">
      <alignment horizontal="right"/>
    </xf>
    <xf numFmtId="9" fontId="13" fillId="0" borderId="0" xfId="3" applyFont="1" applyAlignment="1">
      <alignment horizontal="right"/>
    </xf>
    <xf numFmtId="43" fontId="16" fillId="0" borderId="0" xfId="0" applyNumberFormat="1" applyFont="1" applyAlignment="1">
      <alignment horizontal="right"/>
    </xf>
    <xf numFmtId="165" fontId="10" fillId="0" borderId="0" xfId="3" applyNumberFormat="1" applyFont="1"/>
    <xf numFmtId="164" fontId="26" fillId="0" borderId="0" xfId="1" applyNumberFormat="1" applyFont="1"/>
    <xf numFmtId="164" fontId="5" fillId="0" borderId="0" xfId="1" applyNumberFormat="1" applyFont="1" applyFill="1" applyBorder="1"/>
    <xf numFmtId="164" fontId="9" fillId="0" borderId="2" xfId="1" applyNumberFormat="1" applyFont="1" applyFill="1" applyBorder="1"/>
    <xf numFmtId="9" fontId="9" fillId="0" borderId="2" xfId="3" applyFont="1" applyFill="1" applyBorder="1"/>
    <xf numFmtId="164" fontId="5" fillId="0" borderId="1" xfId="1" applyNumberFormat="1" applyFont="1" applyFill="1" applyBorder="1"/>
    <xf numFmtId="164" fontId="11" fillId="0" borderId="0" xfId="1" applyNumberFormat="1" applyFont="1"/>
    <xf numFmtId="165" fontId="11" fillId="0" borderId="0" xfId="3" applyNumberFormat="1" applyFont="1"/>
    <xf numFmtId="164" fontId="27" fillId="0" borderId="0" xfId="1" applyNumberFormat="1" applyFont="1" applyBorder="1"/>
    <xf numFmtId="165" fontId="10" fillId="0" borderId="0" xfId="3" applyNumberFormat="1" applyFont="1" applyFill="1" applyBorder="1"/>
    <xf numFmtId="9" fontId="10" fillId="0" borderId="0" xfId="3" applyFont="1" applyFill="1" applyBorder="1"/>
    <xf numFmtId="0" fontId="9" fillId="0" borderId="1" xfId="0" applyFont="1" applyBorder="1" applyAlignment="1">
      <alignment horizontal="left"/>
    </xf>
    <xf numFmtId="164" fontId="9" fillId="0" borderId="1" xfId="1" applyNumberFormat="1" applyFont="1" applyBorder="1"/>
    <xf numFmtId="9" fontId="9" fillId="0" borderId="1" xfId="3" applyFont="1" applyBorder="1"/>
    <xf numFmtId="165" fontId="8" fillId="4" borderId="6" xfId="3" applyNumberFormat="1" applyFont="1" applyFill="1" applyBorder="1" applyAlignment="1">
      <alignment horizontal="center" vertical="center"/>
    </xf>
    <xf numFmtId="165" fontId="10" fillId="2" borderId="7" xfId="3" applyNumberFormat="1" applyFont="1" applyFill="1" applyBorder="1" applyAlignment="1">
      <alignment horizontal="right" vertical="center"/>
    </xf>
    <xf numFmtId="165" fontId="10" fillId="0" borderId="1" xfId="3" applyNumberFormat="1" applyFont="1" applyBorder="1"/>
    <xf numFmtId="165" fontId="10" fillId="0" borderId="4" xfId="3" applyNumberFormat="1" applyFont="1" applyBorder="1"/>
    <xf numFmtId="165" fontId="10" fillId="0" borderId="2" xfId="3" applyNumberFormat="1" applyFont="1" applyBorder="1"/>
    <xf numFmtId="165" fontId="9" fillId="0" borderId="2" xfId="3" applyNumberFormat="1" applyFont="1" applyBorder="1"/>
    <xf numFmtId="165" fontId="9" fillId="0" borderId="3" xfId="3" applyNumberFormat="1" applyFont="1" applyBorder="1"/>
    <xf numFmtId="165" fontId="17" fillId="3" borderId="0" xfId="3" applyNumberFormat="1" applyFont="1" applyFill="1"/>
    <xf numFmtId="165" fontId="10" fillId="3" borderId="0" xfId="3" applyNumberFormat="1" applyFont="1" applyFill="1"/>
    <xf numFmtId="165" fontId="14" fillId="0" borderId="0" xfId="3" applyNumberFormat="1" applyFont="1"/>
    <xf numFmtId="165" fontId="8" fillId="4" borderId="6" xfId="3" applyNumberFormat="1" applyFont="1" applyFill="1" applyBorder="1" applyAlignment="1">
      <alignment horizontal="centerContinuous" vertical="center"/>
    </xf>
    <xf numFmtId="165" fontId="13" fillId="0" borderId="0" xfId="3" applyNumberFormat="1" applyFont="1" applyAlignment="1">
      <alignment horizontal="right"/>
    </xf>
    <xf numFmtId="165" fontId="16" fillId="5" borderId="0" xfId="3" applyNumberFormat="1" applyFont="1" applyFill="1" applyAlignment="1">
      <alignment horizontal="right"/>
    </xf>
    <xf numFmtId="165" fontId="13" fillId="6" borderId="0" xfId="3" applyNumberFormat="1" applyFont="1" applyFill="1" applyAlignment="1">
      <alignment horizontal="right"/>
    </xf>
    <xf numFmtId="165" fontId="16" fillId="0" borderId="0" xfId="3" applyNumberFormat="1" applyFont="1" applyAlignment="1">
      <alignment horizontal="right"/>
    </xf>
    <xf numFmtId="165" fontId="16" fillId="6" borderId="0" xfId="3" applyNumberFormat="1" applyFont="1" applyFill="1" applyAlignment="1">
      <alignment horizontal="right"/>
    </xf>
    <xf numFmtId="165" fontId="8" fillId="4" borderId="6" xfId="3" applyNumberFormat="1" applyFont="1" applyFill="1" applyBorder="1" applyAlignment="1">
      <alignment horizontal="left" vertical="center"/>
    </xf>
    <xf numFmtId="165" fontId="10" fillId="2" borderId="7" xfId="3" applyNumberFormat="1" applyFont="1" applyFill="1" applyBorder="1" applyAlignment="1">
      <alignment horizontal="left" vertical="center"/>
    </xf>
    <xf numFmtId="165" fontId="13" fillId="0" borderId="4" xfId="3" applyNumberFormat="1" applyFont="1" applyBorder="1" applyAlignment="1">
      <alignment horizontal="right"/>
    </xf>
    <xf numFmtId="165" fontId="17" fillId="0" borderId="5" xfId="3" applyNumberFormat="1" applyFont="1" applyBorder="1" applyAlignment="1">
      <alignment horizontal="right"/>
    </xf>
    <xf numFmtId="165" fontId="21" fillId="0" borderId="0" xfId="3" applyNumberFormat="1" applyFont="1" applyFill="1"/>
    <xf numFmtId="165" fontId="16" fillId="5" borderId="0" xfId="3" applyNumberFormat="1" applyFont="1" applyFill="1"/>
    <xf numFmtId="165" fontId="10" fillId="0" borderId="5" xfId="3" applyNumberFormat="1" applyFont="1" applyBorder="1"/>
    <xf numFmtId="165" fontId="10" fillId="0" borderId="3" xfId="3" applyNumberFormat="1" applyFont="1" applyBorder="1" applyAlignment="1">
      <alignment horizontal="right"/>
    </xf>
    <xf numFmtId="165" fontId="17" fillId="0" borderId="5" xfId="3" applyNumberFormat="1" applyFont="1" applyBorder="1"/>
    <xf numFmtId="165" fontId="9" fillId="0" borderId="4" xfId="3" applyNumberFormat="1" applyFont="1" applyBorder="1"/>
    <xf numFmtId="165" fontId="16" fillId="0" borderId="0" xfId="3" applyNumberFormat="1" applyFont="1" applyFill="1" applyBorder="1"/>
    <xf numFmtId="165" fontId="16" fillId="5" borderId="0" xfId="3" applyNumberFormat="1" applyFont="1" applyFill="1" applyBorder="1"/>
    <xf numFmtId="165" fontId="18" fillId="0" borderId="0" xfId="3" applyNumberFormat="1" applyFont="1" applyFill="1"/>
    <xf numFmtId="164" fontId="16" fillId="5" borderId="0" xfId="1" applyNumberFormat="1" applyFont="1" applyFill="1" applyAlignment="1"/>
    <xf numFmtId="9" fontId="16" fillId="5" borderId="0" xfId="3" applyFont="1" applyFill="1" applyAlignment="1"/>
    <xf numFmtId="164" fontId="26" fillId="0" borderId="0" xfId="1" applyNumberFormat="1" applyFont="1" applyAlignment="1"/>
    <xf numFmtId="164" fontId="13" fillId="0" borderId="0" xfId="1" applyNumberFormat="1" applyFont="1" applyFill="1" applyAlignment="1"/>
    <xf numFmtId="164" fontId="0" fillId="8" borderId="0" xfId="1" applyNumberFormat="1" applyFont="1" applyFill="1" applyAlignment="1">
      <alignment readingOrder="1"/>
    </xf>
    <xf numFmtId="164" fontId="24" fillId="0" borderId="0" xfId="1" applyNumberFormat="1" applyFont="1"/>
    <xf numFmtId="0" fontId="12" fillId="0" borderId="2" xfId="0" applyFont="1" applyBorder="1" applyAlignment="1">
      <alignment horizontal="left"/>
    </xf>
    <xf numFmtId="165" fontId="12" fillId="0" borderId="2" xfId="3" applyNumberFormat="1" applyFont="1" applyFill="1" applyBorder="1"/>
    <xf numFmtId="9" fontId="12" fillId="0" borderId="2" xfId="3" applyFont="1" applyFill="1" applyBorder="1"/>
    <xf numFmtId="165" fontId="0" fillId="0" borderId="0" xfId="3" applyNumberFormat="1" applyFont="1" applyFill="1" applyBorder="1"/>
    <xf numFmtId="164" fontId="9" fillId="0" borderId="1" xfId="0" applyNumberFormat="1" applyFont="1" applyBorder="1"/>
    <xf numFmtId="0" fontId="6" fillId="4" borderId="0" xfId="0" applyFont="1" applyFill="1" applyAlignment="1">
      <alignment horizontal="center" vertical="center"/>
    </xf>
  </cellXfs>
  <cellStyles count="7">
    <cellStyle name="Comma" xfId="1" builtinId="3"/>
    <cellStyle name="Comma 2" xfId="4" xr:uid="{1EEB3067-60E6-4BCB-B29D-308A7EA5E0B7}"/>
    <cellStyle name="Comma 3" xfId="6" xr:uid="{C0914232-68B5-478A-9A9F-E33329F21FE8}"/>
    <cellStyle name="Normal" xfId="0" builtinId="0"/>
    <cellStyle name="Normal 2" xfId="2" xr:uid="{8D8D3333-6486-43D1-999E-EFD7C46BC965}"/>
    <cellStyle name="Normal 2 2 2 2" xfId="5" xr:uid="{E7D44F92-2C64-4726-827E-B302BCBD6928}"/>
    <cellStyle name="Percent" xfId="3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ER%202025%20Q2/OHL%20Report%20-%20June-25%20V15.xlsx" TargetMode="External"/><Relationship Id="rId2" Type="http://schemas.openxmlformats.org/officeDocument/2006/relationships/externalLinkPath" Target="file:///D:\Desktop%20in%20D\My%20Work\Investors%20Relations\Earning%20Release\ER%202025%20Q2\OHL%20Report%20-%20June-25%20V15.xlsx" TargetMode="External"/><Relationship Id="rId1" Type="http://schemas.openxmlformats.org/officeDocument/2006/relationships/externalLinkPath" Target="/Desktop%20in%20D/My%20Work/Investors%20Relations/Earning%20Release/ER%202025%20Q2/OHL%20Report%20-%20June-25%20V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arnings Release"/>
      <sheetName val="OHL Report"/>
      <sheetName val="ER- V2"/>
    </sheetNames>
    <sheetDataSet>
      <sheetData sheetId="0">
        <row r="145">
          <cell r="AD145">
            <v>1980839.38237</v>
          </cell>
        </row>
        <row r="146">
          <cell r="AD146">
            <v>314581.64799999999</v>
          </cell>
        </row>
        <row r="147">
          <cell r="AD147">
            <v>541672.24002999987</v>
          </cell>
        </row>
        <row r="148">
          <cell r="AD148">
            <v>115074.55606</v>
          </cell>
        </row>
        <row r="149">
          <cell r="AD149">
            <v>48459.132270000002</v>
          </cell>
        </row>
        <row r="150">
          <cell r="AD150">
            <v>477662.47564000008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9FB93-F1E4-4B0C-A0C4-CA1126392DB7}">
  <sheetPr>
    <tabColor theme="9" tint="-0.249977111117893"/>
  </sheetPr>
  <dimension ref="A1:AD608"/>
  <sheetViews>
    <sheetView zoomScaleNormal="100" workbookViewId="0">
      <pane xSplit="1" ySplit="2" topLeftCell="B3" activePane="bottomRight" state="frozen"/>
      <selection activeCell="D11" sqref="A1:XFD1048576"/>
      <selection pane="topRight" activeCell="D11" sqref="A1:XFD1048576"/>
      <selection pane="bottomLeft" activeCell="D11" sqref="A1:XFD1048576"/>
      <selection pane="bottomRight" activeCell="D11" sqref="A1:XFD1048576"/>
    </sheetView>
  </sheetViews>
  <sheetFormatPr defaultRowHeight="14.5" x14ac:dyDescent="0.35"/>
  <cols>
    <col min="1" max="1" width="48.54296875" bestFit="1" customWidth="1"/>
    <col min="2" max="2" width="31.453125" bestFit="1" customWidth="1"/>
    <col min="3" max="3" width="33.81640625" bestFit="1" customWidth="1"/>
    <col min="4" max="4" width="17.81640625" style="2" bestFit="1" customWidth="1"/>
    <col min="5" max="5" width="15" customWidth="1"/>
    <col min="6" max="6" width="48.54296875" bestFit="1" customWidth="1"/>
    <col min="7" max="7" width="31.1796875" bestFit="1" customWidth="1"/>
    <col min="8" max="8" width="33.81640625" bestFit="1" customWidth="1"/>
    <col min="9" max="9" width="17.1796875" bestFit="1" customWidth="1"/>
    <col min="10" max="10" width="15" bestFit="1" customWidth="1"/>
    <col min="11" max="11" width="50.1796875" bestFit="1" customWidth="1"/>
    <col min="12" max="12" width="31.1796875" bestFit="1" customWidth="1"/>
    <col min="13" max="13" width="33.81640625" bestFit="1" customWidth="1"/>
    <col min="14" max="14" width="16.81640625" bestFit="1" customWidth="1"/>
    <col min="15" max="15" width="15" customWidth="1"/>
    <col min="16" max="16" width="48.54296875" bestFit="1" customWidth="1"/>
    <col min="17" max="17" width="31.1796875" bestFit="1" customWidth="1"/>
    <col min="18" max="18" width="33.81640625" bestFit="1" customWidth="1"/>
    <col min="19" max="19" width="17.81640625" bestFit="1" customWidth="1"/>
    <col min="20" max="20" width="15" bestFit="1" customWidth="1"/>
    <col min="21" max="21" width="48.54296875" bestFit="1" customWidth="1"/>
    <col min="22" max="22" width="31.1796875" bestFit="1" customWidth="1"/>
    <col min="23" max="23" width="33.81640625" bestFit="1" customWidth="1"/>
    <col min="24" max="24" width="17.26953125" bestFit="1" customWidth="1"/>
    <col min="25" max="25" width="18.26953125" bestFit="1" customWidth="1"/>
    <col min="26" max="26" width="48.54296875" bestFit="1" customWidth="1"/>
    <col min="27" max="27" width="31.1796875" bestFit="1" customWidth="1"/>
    <col min="28" max="28" width="33.81640625" bestFit="1" customWidth="1"/>
    <col min="29" max="29" width="16.81640625" bestFit="1" customWidth="1"/>
    <col min="30" max="30" width="11" bestFit="1" customWidth="1"/>
  </cols>
  <sheetData>
    <row r="1" spans="1:4" ht="30" customHeight="1" x14ac:dyDescent="0.35">
      <c r="A1" s="303" t="s">
        <v>147</v>
      </c>
      <c r="B1" s="303"/>
      <c r="C1" s="303"/>
      <c r="D1" s="303"/>
    </row>
    <row r="2" spans="1:4" ht="15.5" x14ac:dyDescent="0.35">
      <c r="A2" s="24"/>
      <c r="B2" s="10" t="s">
        <v>46</v>
      </c>
      <c r="C2" s="10" t="s">
        <v>1</v>
      </c>
      <c r="D2" s="10" t="s">
        <v>48</v>
      </c>
    </row>
    <row r="3" spans="1:4" x14ac:dyDescent="0.35">
      <c r="A3" t="s">
        <v>85</v>
      </c>
      <c r="B3" s="1">
        <v>0</v>
      </c>
      <c r="C3" s="15">
        <v>96501444</v>
      </c>
      <c r="D3" s="15">
        <v>96501444</v>
      </c>
    </row>
    <row r="4" spans="1:4" x14ac:dyDescent="0.35">
      <c r="A4" t="s">
        <v>19</v>
      </c>
      <c r="B4" s="1">
        <v>0</v>
      </c>
      <c r="C4" s="15">
        <v>0</v>
      </c>
      <c r="D4" s="15">
        <v>0</v>
      </c>
    </row>
    <row r="5" spans="1:4" x14ac:dyDescent="0.35">
      <c r="A5" t="s">
        <v>86</v>
      </c>
      <c r="B5" s="1">
        <v>0</v>
      </c>
      <c r="C5" s="15">
        <v>0</v>
      </c>
      <c r="D5" s="15">
        <v>0</v>
      </c>
    </row>
    <row r="6" spans="1:4" x14ac:dyDescent="0.35">
      <c r="A6" t="s">
        <v>87</v>
      </c>
      <c r="B6" s="1">
        <v>0</v>
      </c>
      <c r="C6" s="15">
        <v>-233039</v>
      </c>
      <c r="D6" s="15">
        <v>-233039</v>
      </c>
    </row>
    <row r="7" spans="1:4" x14ac:dyDescent="0.35">
      <c r="A7" s="19" t="s">
        <v>18</v>
      </c>
      <c r="B7" s="20">
        <v>0</v>
      </c>
      <c r="C7" s="20">
        <v>96268405</v>
      </c>
      <c r="D7" s="20">
        <v>96268405</v>
      </c>
    </row>
    <row r="8" spans="1:4" x14ac:dyDescent="0.35">
      <c r="B8" s="1"/>
      <c r="C8" s="15"/>
      <c r="D8" s="15"/>
    </row>
    <row r="9" spans="1:4" x14ac:dyDescent="0.35">
      <c r="B9" s="1"/>
      <c r="C9" s="15"/>
      <c r="D9" s="15"/>
    </row>
    <row r="10" spans="1:4" x14ac:dyDescent="0.35">
      <c r="A10" t="s">
        <v>12</v>
      </c>
      <c r="B10" s="1">
        <v>651128424.31999993</v>
      </c>
      <c r="C10" s="15">
        <v>143901012</v>
      </c>
      <c r="D10" s="15">
        <v>795029436.31999993</v>
      </c>
    </row>
    <row r="11" spans="1:4" x14ac:dyDescent="0.35">
      <c r="A11" t="s">
        <v>3</v>
      </c>
      <c r="B11" s="1">
        <v>-496554298.57000005</v>
      </c>
      <c r="C11" s="15">
        <v>-94038029</v>
      </c>
      <c r="D11" s="15">
        <v>-590592327.57000005</v>
      </c>
    </row>
    <row r="12" spans="1:4" x14ac:dyDescent="0.35">
      <c r="A12" t="s">
        <v>88</v>
      </c>
      <c r="B12" s="1">
        <v>69365690.689999998</v>
      </c>
      <c r="C12" s="15">
        <v>5140042</v>
      </c>
      <c r="D12" s="15">
        <v>74505732.689999998</v>
      </c>
    </row>
    <row r="13" spans="1:4" x14ac:dyDescent="0.35">
      <c r="A13" t="s">
        <v>13</v>
      </c>
      <c r="B13" s="1">
        <v>-22541361.050000001</v>
      </c>
      <c r="C13" s="15">
        <v>-3734643</v>
      </c>
      <c r="D13" s="15">
        <v>-26276004.050000001</v>
      </c>
    </row>
    <row r="14" spans="1:4" x14ac:dyDescent="0.35">
      <c r="A14" s="19" t="s">
        <v>14</v>
      </c>
      <c r="B14" s="20">
        <v>201398455.38999987</v>
      </c>
      <c r="C14" s="20">
        <v>51268382</v>
      </c>
      <c r="D14" s="20">
        <v>252666837.38999987</v>
      </c>
    </row>
    <row r="15" spans="1:4" x14ac:dyDescent="0.35">
      <c r="B15" s="12"/>
      <c r="C15" s="15"/>
      <c r="D15" s="15"/>
    </row>
    <row r="16" spans="1:4" x14ac:dyDescent="0.35">
      <c r="B16" s="12"/>
      <c r="C16" s="15"/>
      <c r="D16" s="15"/>
    </row>
    <row r="17" spans="1:4" x14ac:dyDescent="0.35">
      <c r="A17" t="s">
        <v>15</v>
      </c>
      <c r="B17" s="1">
        <v>0</v>
      </c>
      <c r="C17" s="15">
        <v>31445850</v>
      </c>
      <c r="D17" s="15">
        <v>31445850</v>
      </c>
    </row>
    <row r="18" spans="1:4" x14ac:dyDescent="0.35">
      <c r="A18" t="s">
        <v>16</v>
      </c>
      <c r="B18" s="1">
        <v>0</v>
      </c>
      <c r="C18" s="15">
        <v>-12403954</v>
      </c>
      <c r="D18" s="15">
        <v>-12403954</v>
      </c>
    </row>
    <row r="19" spans="1:4" x14ac:dyDescent="0.35">
      <c r="A19" s="19" t="s">
        <v>17</v>
      </c>
      <c r="B19" s="20">
        <v>0</v>
      </c>
      <c r="C19" s="20">
        <v>19041896</v>
      </c>
      <c r="D19" s="20">
        <v>19041896</v>
      </c>
    </row>
    <row r="20" spans="1:4" x14ac:dyDescent="0.35">
      <c r="B20" s="1"/>
      <c r="C20" s="15"/>
      <c r="D20" s="15"/>
    </row>
    <row r="21" spans="1:4" x14ac:dyDescent="0.35">
      <c r="B21" s="1"/>
      <c r="C21" s="15"/>
      <c r="D21" s="15"/>
    </row>
    <row r="22" spans="1:4" x14ac:dyDescent="0.35">
      <c r="A22" s="16" t="s">
        <v>20</v>
      </c>
      <c r="B22" s="27">
        <v>0</v>
      </c>
      <c r="C22" s="28">
        <v>0</v>
      </c>
      <c r="D22" s="21">
        <v>0</v>
      </c>
    </row>
    <row r="23" spans="1:4" x14ac:dyDescent="0.35">
      <c r="B23" s="1"/>
      <c r="C23" s="15"/>
      <c r="D23" s="15"/>
    </row>
    <row r="24" spans="1:4" x14ac:dyDescent="0.35">
      <c r="A24" t="s">
        <v>0</v>
      </c>
      <c r="B24" s="1">
        <v>0</v>
      </c>
      <c r="C24" s="15">
        <v>3383106727</v>
      </c>
      <c r="D24" s="15">
        <v>3383106727</v>
      </c>
    </row>
    <row r="25" spans="1:4" x14ac:dyDescent="0.35">
      <c r="A25" t="s">
        <v>2</v>
      </c>
      <c r="B25" s="1">
        <v>0</v>
      </c>
      <c r="C25" s="15">
        <v>-3377981453</v>
      </c>
      <c r="D25" s="15">
        <v>-3377981453</v>
      </c>
    </row>
    <row r="26" spans="1:4" x14ac:dyDescent="0.35">
      <c r="A26" s="19" t="s">
        <v>21</v>
      </c>
      <c r="B26" s="20">
        <v>0</v>
      </c>
      <c r="C26" s="20">
        <v>5125274</v>
      </c>
      <c r="D26" s="20">
        <v>5125274</v>
      </c>
    </row>
    <row r="27" spans="1:4" x14ac:dyDescent="0.35">
      <c r="B27" s="2"/>
      <c r="C27" s="15"/>
      <c r="D27" s="15"/>
    </row>
    <row r="28" spans="1:4" x14ac:dyDescent="0.35">
      <c r="B28" s="2"/>
      <c r="C28" s="15"/>
      <c r="D28" s="15"/>
    </row>
    <row r="29" spans="1:4" x14ac:dyDescent="0.35">
      <c r="A29" t="s">
        <v>24</v>
      </c>
      <c r="B29" s="1">
        <v>0</v>
      </c>
      <c r="C29" s="15">
        <v>0</v>
      </c>
      <c r="D29" s="15">
        <v>0</v>
      </c>
    </row>
    <row r="30" spans="1:4" x14ac:dyDescent="0.35">
      <c r="A30" t="s">
        <v>25</v>
      </c>
      <c r="B30" s="1">
        <v>0</v>
      </c>
      <c r="C30" s="15">
        <v>0</v>
      </c>
      <c r="D30" s="15">
        <v>0</v>
      </c>
    </row>
    <row r="31" spans="1:4" x14ac:dyDescent="0.35">
      <c r="A31" t="s">
        <v>26</v>
      </c>
      <c r="B31" s="1">
        <v>0</v>
      </c>
      <c r="C31" s="15">
        <v>0</v>
      </c>
      <c r="D31" s="15">
        <v>0</v>
      </c>
    </row>
    <row r="32" spans="1:4" x14ac:dyDescent="0.35">
      <c r="A32" s="19" t="s">
        <v>101</v>
      </c>
      <c r="B32" s="20">
        <v>0</v>
      </c>
      <c r="C32" s="20">
        <v>0</v>
      </c>
      <c r="D32" s="20">
        <v>0</v>
      </c>
    </row>
    <row r="33" spans="1:4" x14ac:dyDescent="0.35">
      <c r="B33" s="2"/>
      <c r="C33" s="15"/>
      <c r="D33" s="15"/>
    </row>
    <row r="34" spans="1:4" x14ac:dyDescent="0.35">
      <c r="B34" s="2"/>
      <c r="C34" s="15"/>
      <c r="D34" s="15"/>
    </row>
    <row r="35" spans="1:4" x14ac:dyDescent="0.35">
      <c r="A35" t="s">
        <v>27</v>
      </c>
      <c r="B35" s="1">
        <v>0</v>
      </c>
      <c r="C35" s="15">
        <v>0</v>
      </c>
      <c r="D35" s="15">
        <v>0</v>
      </c>
    </row>
    <row r="36" spans="1:4" x14ac:dyDescent="0.35">
      <c r="A36" t="s">
        <v>28</v>
      </c>
      <c r="B36" s="1">
        <v>0</v>
      </c>
      <c r="C36" s="15">
        <v>0</v>
      </c>
      <c r="D36" s="15">
        <v>0</v>
      </c>
    </row>
    <row r="37" spans="1:4" x14ac:dyDescent="0.35">
      <c r="A37" t="s">
        <v>29</v>
      </c>
      <c r="B37" s="1">
        <v>0</v>
      </c>
      <c r="C37" s="15">
        <v>0</v>
      </c>
      <c r="D37" s="15">
        <v>0</v>
      </c>
    </row>
    <row r="38" spans="1:4" x14ac:dyDescent="0.35">
      <c r="A38" t="s">
        <v>30</v>
      </c>
      <c r="B38" s="1">
        <v>0</v>
      </c>
      <c r="C38" s="15">
        <v>0</v>
      </c>
      <c r="D38" s="15">
        <v>0</v>
      </c>
    </row>
    <row r="39" spans="1:4" x14ac:dyDescent="0.35">
      <c r="A39" s="19" t="s">
        <v>90</v>
      </c>
      <c r="B39" s="20">
        <v>0</v>
      </c>
      <c r="C39" s="20">
        <v>0</v>
      </c>
      <c r="D39" s="20">
        <v>0</v>
      </c>
    </row>
    <row r="40" spans="1:4" x14ac:dyDescent="0.35">
      <c r="B40" s="2"/>
      <c r="C40" s="15"/>
      <c r="D40" s="15"/>
    </row>
    <row r="41" spans="1:4" x14ac:dyDescent="0.35">
      <c r="B41" s="2"/>
      <c r="C41" s="15"/>
      <c r="D41" s="15"/>
    </row>
    <row r="42" spans="1:4" x14ac:dyDescent="0.35">
      <c r="A42" s="16" t="s">
        <v>89</v>
      </c>
      <c r="B42" s="27">
        <v>0</v>
      </c>
      <c r="C42" s="28">
        <v>0</v>
      </c>
      <c r="D42" s="21">
        <v>0</v>
      </c>
    </row>
    <row r="43" spans="1:4" x14ac:dyDescent="0.35">
      <c r="B43" s="2"/>
      <c r="C43" s="15"/>
      <c r="D43" s="15"/>
    </row>
    <row r="44" spans="1:4" x14ac:dyDescent="0.35">
      <c r="A44" t="s">
        <v>31</v>
      </c>
      <c r="B44" s="1">
        <v>0</v>
      </c>
      <c r="C44" s="15">
        <v>0</v>
      </c>
      <c r="D44" s="15">
        <v>0</v>
      </c>
    </row>
    <row r="45" spans="1:4" x14ac:dyDescent="0.35">
      <c r="A45" t="s">
        <v>32</v>
      </c>
      <c r="B45" s="1">
        <v>0</v>
      </c>
      <c r="C45" s="15">
        <v>0</v>
      </c>
      <c r="D45" s="15">
        <v>0</v>
      </c>
    </row>
    <row r="46" spans="1:4" x14ac:dyDescent="0.35">
      <c r="A46" s="19" t="s">
        <v>33</v>
      </c>
      <c r="B46" s="20">
        <v>0</v>
      </c>
      <c r="C46" s="20">
        <v>0</v>
      </c>
      <c r="D46" s="20">
        <v>0</v>
      </c>
    </row>
    <row r="47" spans="1:4" x14ac:dyDescent="0.35">
      <c r="B47" s="2"/>
      <c r="C47" s="15"/>
      <c r="D47" s="15"/>
    </row>
    <row r="48" spans="1:4" x14ac:dyDescent="0.35">
      <c r="B48" s="2"/>
      <c r="C48" s="15"/>
      <c r="D48" s="15"/>
    </row>
    <row r="49" spans="1:4" x14ac:dyDescent="0.35">
      <c r="A49" t="s">
        <v>35</v>
      </c>
      <c r="B49" s="1">
        <v>0</v>
      </c>
      <c r="C49" s="15">
        <v>131843</v>
      </c>
      <c r="D49" s="15">
        <v>131843</v>
      </c>
    </row>
    <row r="50" spans="1:4" x14ac:dyDescent="0.35">
      <c r="A50" t="s">
        <v>36</v>
      </c>
      <c r="B50" s="1">
        <v>-69261466.75</v>
      </c>
      <c r="C50" s="15">
        <v>-23517887</v>
      </c>
      <c r="D50" s="15">
        <v>-92779353.75</v>
      </c>
    </row>
    <row r="51" spans="1:4" x14ac:dyDescent="0.35">
      <c r="A51" s="19" t="s">
        <v>37</v>
      </c>
      <c r="B51" s="20">
        <v>-69261466.75</v>
      </c>
      <c r="C51" s="20">
        <v>-23386044</v>
      </c>
      <c r="D51" s="20">
        <v>-92647510.75</v>
      </c>
    </row>
    <row r="52" spans="1:4" x14ac:dyDescent="0.35">
      <c r="B52" s="2"/>
      <c r="C52" s="15"/>
      <c r="D52" s="15"/>
    </row>
    <row r="53" spans="1:4" x14ac:dyDescent="0.35">
      <c r="B53" s="2"/>
      <c r="C53" s="15"/>
      <c r="D53" s="15"/>
    </row>
    <row r="54" spans="1:4" x14ac:dyDescent="0.35">
      <c r="A54" t="s">
        <v>38</v>
      </c>
      <c r="B54" s="1">
        <v>0</v>
      </c>
      <c r="C54" s="15">
        <v>0</v>
      </c>
      <c r="D54" s="15">
        <v>0</v>
      </c>
    </row>
    <row r="55" spans="1:4" x14ac:dyDescent="0.35">
      <c r="A55" t="s">
        <v>78</v>
      </c>
      <c r="B55" s="1">
        <v>0</v>
      </c>
      <c r="C55" s="15">
        <v>-2855440</v>
      </c>
      <c r="D55" s="15">
        <v>-2855440</v>
      </c>
    </row>
    <row r="56" spans="1:4" x14ac:dyDescent="0.35">
      <c r="A56" t="s">
        <v>39</v>
      </c>
      <c r="B56" s="1">
        <v>0</v>
      </c>
      <c r="C56" s="15">
        <v>-7672533</v>
      </c>
      <c r="D56" s="15">
        <v>-7672533</v>
      </c>
    </row>
    <row r="57" spans="1:4" x14ac:dyDescent="0.35">
      <c r="A57" t="s">
        <v>40</v>
      </c>
      <c r="B57" s="1">
        <v>0</v>
      </c>
      <c r="C57" s="15">
        <v>0</v>
      </c>
      <c r="D57" s="15">
        <v>0</v>
      </c>
    </row>
    <row r="58" spans="1:4" x14ac:dyDescent="0.35">
      <c r="A58" t="s">
        <v>41</v>
      </c>
      <c r="B58" s="1">
        <v>0</v>
      </c>
      <c r="C58" s="15">
        <v>-22401</v>
      </c>
      <c r="D58" s="15">
        <v>-22401</v>
      </c>
    </row>
    <row r="59" spans="1:4" x14ac:dyDescent="0.35">
      <c r="A59" t="s">
        <v>42</v>
      </c>
      <c r="B59" s="1">
        <v>0</v>
      </c>
      <c r="C59" s="15">
        <v>0</v>
      </c>
      <c r="D59" s="15">
        <v>0</v>
      </c>
    </row>
    <row r="60" spans="1:4" x14ac:dyDescent="0.35">
      <c r="A60" t="s">
        <v>4</v>
      </c>
      <c r="B60" s="1">
        <v>0</v>
      </c>
      <c r="C60" s="15">
        <v>0</v>
      </c>
      <c r="D60" s="15">
        <v>0</v>
      </c>
    </row>
    <row r="61" spans="1:4" x14ac:dyDescent="0.35">
      <c r="A61" t="s">
        <v>5</v>
      </c>
      <c r="B61" s="1">
        <v>0</v>
      </c>
      <c r="C61" s="15">
        <v>0</v>
      </c>
      <c r="D61" s="15">
        <v>0</v>
      </c>
    </row>
    <row r="62" spans="1:4" x14ac:dyDescent="0.35">
      <c r="A62" t="s">
        <v>182</v>
      </c>
      <c r="B62" s="1">
        <v>0</v>
      </c>
      <c r="C62" s="15">
        <v>0</v>
      </c>
      <c r="D62" s="15">
        <v>0</v>
      </c>
    </row>
    <row r="63" spans="1:4" x14ac:dyDescent="0.35">
      <c r="A63" s="19" t="s">
        <v>11</v>
      </c>
      <c r="B63" s="20">
        <v>0</v>
      </c>
      <c r="C63" s="20">
        <v>-10550374</v>
      </c>
      <c r="D63" s="20">
        <v>-10550374</v>
      </c>
    </row>
    <row r="64" spans="1:4" x14ac:dyDescent="0.35">
      <c r="B64" s="2"/>
      <c r="C64" s="15"/>
      <c r="D64" s="15"/>
    </row>
    <row r="65" spans="1:20" x14ac:dyDescent="0.35">
      <c r="B65" s="2"/>
      <c r="C65" s="15"/>
      <c r="D65" s="15"/>
    </row>
    <row r="66" spans="1:20" x14ac:dyDescent="0.35">
      <c r="A66" s="11" t="s">
        <v>43</v>
      </c>
      <c r="B66" s="4">
        <v>132136988.63999987</v>
      </c>
      <c r="C66" s="4">
        <v>137767539</v>
      </c>
      <c r="D66" s="4">
        <v>269904527.63999987</v>
      </c>
    </row>
    <row r="67" spans="1:20" x14ac:dyDescent="0.35">
      <c r="A67" t="s">
        <v>6</v>
      </c>
      <c r="B67" s="1">
        <v>0</v>
      </c>
      <c r="C67" s="15">
        <v>-31987356</v>
      </c>
      <c r="D67" s="15">
        <v>-31987356</v>
      </c>
    </row>
    <row r="68" spans="1:20" x14ac:dyDescent="0.35">
      <c r="A68" s="11" t="s">
        <v>7</v>
      </c>
      <c r="B68" s="4">
        <v>132136988.63999987</v>
      </c>
      <c r="C68" s="4">
        <v>105780183</v>
      </c>
      <c r="D68" s="4">
        <v>237917171.63999987</v>
      </c>
    </row>
    <row r="69" spans="1:20" x14ac:dyDescent="0.35">
      <c r="A69" t="s">
        <v>8</v>
      </c>
      <c r="B69" s="1">
        <v>0</v>
      </c>
      <c r="C69" s="15">
        <v>-54253965.090959996</v>
      </c>
      <c r="D69" s="2">
        <v>-54253965.090959996</v>
      </c>
    </row>
    <row r="70" spans="1:20" x14ac:dyDescent="0.35">
      <c r="A70" s="11" t="s">
        <v>143</v>
      </c>
      <c r="B70" s="4">
        <v>132136988.63999987</v>
      </c>
      <c r="C70" s="4">
        <v>51526217.909040004</v>
      </c>
      <c r="D70" s="4">
        <v>183663206.54903987</v>
      </c>
    </row>
    <row r="71" spans="1:20" x14ac:dyDescent="0.35">
      <c r="B71" s="3">
        <v>0</v>
      </c>
      <c r="C71" s="3">
        <v>0</v>
      </c>
    </row>
    <row r="72" spans="1:20" x14ac:dyDescent="0.35"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6" spans="1:20" ht="18.5" x14ac:dyDescent="0.35">
      <c r="A76" s="303" t="s">
        <v>144</v>
      </c>
      <c r="B76" s="303"/>
      <c r="C76" s="303"/>
      <c r="D76" s="303"/>
    </row>
    <row r="77" spans="1:20" ht="15.5" x14ac:dyDescent="0.35">
      <c r="A77" s="8"/>
      <c r="B77" s="8" t="s">
        <v>86</v>
      </c>
      <c r="C77" s="10" t="s">
        <v>1</v>
      </c>
      <c r="D77" s="26" t="s">
        <v>48</v>
      </c>
    </row>
    <row r="78" spans="1:20" x14ac:dyDescent="0.35">
      <c r="A78" t="s">
        <v>85</v>
      </c>
      <c r="B78" s="2">
        <v>0</v>
      </c>
      <c r="C78" s="2">
        <v>125586841</v>
      </c>
      <c r="D78" s="2">
        <v>125586841</v>
      </c>
    </row>
    <row r="79" spans="1:20" x14ac:dyDescent="0.35">
      <c r="A79" t="s">
        <v>19</v>
      </c>
      <c r="B79" s="2">
        <v>0</v>
      </c>
      <c r="C79" s="2">
        <v>0</v>
      </c>
      <c r="D79" s="2">
        <v>0</v>
      </c>
    </row>
    <row r="80" spans="1:20" x14ac:dyDescent="0.35">
      <c r="A80" t="s">
        <v>86</v>
      </c>
      <c r="B80" s="2">
        <v>0</v>
      </c>
      <c r="C80" s="2">
        <v>0</v>
      </c>
      <c r="D80" s="2">
        <v>0</v>
      </c>
    </row>
    <row r="81" spans="1:4" x14ac:dyDescent="0.35">
      <c r="A81" t="s">
        <v>87</v>
      </c>
      <c r="B81" s="2">
        <v>0</v>
      </c>
      <c r="C81" s="2">
        <v>-76621</v>
      </c>
      <c r="D81" s="2">
        <v>-76621</v>
      </c>
    </row>
    <row r="82" spans="1:4" ht="16" x14ac:dyDescent="0.5">
      <c r="A82" s="5" t="s">
        <v>18</v>
      </c>
      <c r="B82" s="18">
        <v>0</v>
      </c>
      <c r="C82" s="18">
        <v>125510220</v>
      </c>
      <c r="D82" s="18">
        <v>125510220</v>
      </c>
    </row>
    <row r="83" spans="1:4" x14ac:dyDescent="0.35">
      <c r="B83" s="2"/>
      <c r="C83" s="2"/>
    </row>
    <row r="84" spans="1:4" x14ac:dyDescent="0.35">
      <c r="B84" s="2"/>
      <c r="C84" s="2"/>
    </row>
    <row r="85" spans="1:4" x14ac:dyDescent="0.35">
      <c r="A85" t="s">
        <v>12</v>
      </c>
      <c r="B85" s="2">
        <v>782501976</v>
      </c>
      <c r="C85" s="2">
        <v>114920489</v>
      </c>
      <c r="D85" s="2">
        <v>897422465</v>
      </c>
    </row>
    <row r="86" spans="1:4" x14ac:dyDescent="0.35">
      <c r="A86" t="s">
        <v>88</v>
      </c>
      <c r="B86" s="2">
        <v>83575819</v>
      </c>
      <c r="C86" s="2">
        <v>7572791</v>
      </c>
      <c r="D86" s="2">
        <v>91148610</v>
      </c>
    </row>
    <row r="87" spans="1:4" x14ac:dyDescent="0.35">
      <c r="A87" t="s">
        <v>3</v>
      </c>
      <c r="B87" s="2">
        <v>-659507032</v>
      </c>
      <c r="C87" s="2">
        <v>-91198611</v>
      </c>
      <c r="D87" s="2">
        <v>-750705643</v>
      </c>
    </row>
    <row r="88" spans="1:4" x14ac:dyDescent="0.35">
      <c r="A88" t="s">
        <v>13</v>
      </c>
      <c r="B88" s="2">
        <v>-32391623</v>
      </c>
      <c r="C88" s="2">
        <v>-2999256</v>
      </c>
      <c r="D88" s="2">
        <v>-35390879</v>
      </c>
    </row>
    <row r="89" spans="1:4" ht="16" x14ac:dyDescent="0.5">
      <c r="A89" s="5" t="s">
        <v>14</v>
      </c>
      <c r="B89" s="18">
        <v>174179140</v>
      </c>
      <c r="C89" s="18">
        <v>28295413</v>
      </c>
      <c r="D89" s="18">
        <v>202474553</v>
      </c>
    </row>
    <row r="90" spans="1:4" x14ac:dyDescent="0.35">
      <c r="B90" s="2"/>
      <c r="C90" s="2"/>
    </row>
    <row r="91" spans="1:4" x14ac:dyDescent="0.35">
      <c r="B91" s="2"/>
      <c r="C91" s="2"/>
    </row>
    <row r="92" spans="1:4" x14ac:dyDescent="0.35">
      <c r="A92" t="s">
        <v>15</v>
      </c>
      <c r="B92" s="2">
        <v>0</v>
      </c>
      <c r="C92" s="2">
        <v>16265375</v>
      </c>
      <c r="D92" s="2">
        <v>16265375</v>
      </c>
    </row>
    <row r="93" spans="1:4" x14ac:dyDescent="0.35">
      <c r="A93" t="s">
        <v>16</v>
      </c>
      <c r="B93" s="2">
        <v>0</v>
      </c>
      <c r="C93" s="2">
        <v>-6960993</v>
      </c>
      <c r="D93" s="2">
        <v>-6960993</v>
      </c>
    </row>
    <row r="94" spans="1:4" ht="16" x14ac:dyDescent="0.5">
      <c r="A94" s="5" t="s">
        <v>17</v>
      </c>
      <c r="B94" s="18">
        <v>0</v>
      </c>
      <c r="C94" s="18">
        <v>9304382</v>
      </c>
      <c r="D94" s="18">
        <v>9304382</v>
      </c>
    </row>
    <row r="95" spans="1:4" x14ac:dyDescent="0.35">
      <c r="B95" s="2"/>
      <c r="C95" s="2"/>
    </row>
    <row r="96" spans="1:4" x14ac:dyDescent="0.35">
      <c r="B96" s="2"/>
      <c r="C96" s="2"/>
    </row>
    <row r="97" spans="1:4" x14ac:dyDescent="0.35">
      <c r="A97" t="s">
        <v>20</v>
      </c>
      <c r="B97" s="2">
        <v>0</v>
      </c>
      <c r="C97" s="2">
        <v>0</v>
      </c>
      <c r="D97" s="2">
        <v>0</v>
      </c>
    </row>
    <row r="98" spans="1:4" x14ac:dyDescent="0.35">
      <c r="B98" s="2"/>
      <c r="C98" s="2"/>
    </row>
    <row r="99" spans="1:4" x14ac:dyDescent="0.35">
      <c r="A99" t="s">
        <v>0</v>
      </c>
      <c r="B99" s="2">
        <v>0</v>
      </c>
      <c r="C99" s="2">
        <v>1698430521</v>
      </c>
      <c r="D99" s="2">
        <v>1698430521</v>
      </c>
    </row>
    <row r="100" spans="1:4" x14ac:dyDescent="0.35">
      <c r="A100" t="s">
        <v>2</v>
      </c>
      <c r="B100" s="2">
        <v>0</v>
      </c>
      <c r="C100" s="2">
        <v>-1694146224</v>
      </c>
      <c r="D100" s="2">
        <v>-1694146224</v>
      </c>
    </row>
    <row r="101" spans="1:4" ht="16" x14ac:dyDescent="0.5">
      <c r="A101" s="5" t="s">
        <v>21</v>
      </c>
      <c r="B101" s="18">
        <v>0</v>
      </c>
      <c r="C101" s="18">
        <v>4284297</v>
      </c>
      <c r="D101" s="18">
        <v>4284297</v>
      </c>
    </row>
    <row r="102" spans="1:4" x14ac:dyDescent="0.35">
      <c r="B102" s="2"/>
      <c r="C102" s="2"/>
    </row>
    <row r="103" spans="1:4" x14ac:dyDescent="0.35">
      <c r="B103" s="2"/>
      <c r="C103" s="2"/>
    </row>
    <row r="104" spans="1:4" x14ac:dyDescent="0.35">
      <c r="A104" t="s">
        <v>24</v>
      </c>
      <c r="B104" s="2">
        <v>0</v>
      </c>
      <c r="C104" s="2">
        <v>0</v>
      </c>
      <c r="D104" s="2">
        <v>0</v>
      </c>
    </row>
    <row r="105" spans="1:4" x14ac:dyDescent="0.35">
      <c r="A105" t="s">
        <v>25</v>
      </c>
      <c r="B105" s="2">
        <v>0</v>
      </c>
      <c r="C105" s="2">
        <v>0</v>
      </c>
      <c r="D105" s="2">
        <v>0</v>
      </c>
    </row>
    <row r="106" spans="1:4" x14ac:dyDescent="0.35">
      <c r="A106" t="s">
        <v>26</v>
      </c>
      <c r="B106" s="2">
        <v>0</v>
      </c>
      <c r="C106" s="2">
        <v>0</v>
      </c>
      <c r="D106" s="2">
        <v>0</v>
      </c>
    </row>
    <row r="107" spans="1:4" ht="16" x14ac:dyDescent="0.5">
      <c r="A107" s="5" t="s">
        <v>101</v>
      </c>
      <c r="B107" s="18">
        <v>0</v>
      </c>
      <c r="C107" s="18">
        <v>0</v>
      </c>
      <c r="D107" s="18">
        <v>0</v>
      </c>
    </row>
    <row r="108" spans="1:4" x14ac:dyDescent="0.35">
      <c r="B108" s="2"/>
      <c r="C108" s="2"/>
    </row>
    <row r="109" spans="1:4" x14ac:dyDescent="0.35">
      <c r="B109" s="2"/>
      <c r="C109" s="2"/>
    </row>
    <row r="110" spans="1:4" x14ac:dyDescent="0.35">
      <c r="A110" t="s">
        <v>27</v>
      </c>
      <c r="B110" s="2">
        <v>0</v>
      </c>
      <c r="C110" s="2">
        <v>0</v>
      </c>
      <c r="D110" s="2">
        <v>0</v>
      </c>
    </row>
    <row r="111" spans="1:4" x14ac:dyDescent="0.35">
      <c r="A111" t="s">
        <v>28</v>
      </c>
      <c r="B111" s="2">
        <v>0</v>
      </c>
      <c r="C111" s="2">
        <v>0</v>
      </c>
      <c r="D111" s="2">
        <v>0</v>
      </c>
    </row>
    <row r="112" spans="1:4" x14ac:dyDescent="0.35">
      <c r="A112" t="s">
        <v>29</v>
      </c>
      <c r="B112" s="2">
        <v>0</v>
      </c>
      <c r="C112" s="2">
        <v>0</v>
      </c>
      <c r="D112" s="2">
        <v>0</v>
      </c>
    </row>
    <row r="113" spans="1:4" x14ac:dyDescent="0.35">
      <c r="A113" t="s">
        <v>30</v>
      </c>
      <c r="B113" s="2">
        <v>0</v>
      </c>
      <c r="C113" s="2">
        <v>0</v>
      </c>
      <c r="D113" s="2">
        <v>0</v>
      </c>
    </row>
    <row r="114" spans="1:4" ht="16" x14ac:dyDescent="0.5">
      <c r="A114" s="5" t="s">
        <v>90</v>
      </c>
      <c r="B114" s="18">
        <v>0</v>
      </c>
      <c r="C114" s="18">
        <v>0</v>
      </c>
      <c r="D114" s="18">
        <v>0</v>
      </c>
    </row>
    <row r="115" spans="1:4" x14ac:dyDescent="0.35">
      <c r="B115" s="2"/>
      <c r="C115" s="2"/>
    </row>
    <row r="116" spans="1:4" x14ac:dyDescent="0.35">
      <c r="B116" s="2"/>
      <c r="C116" s="2"/>
    </row>
    <row r="117" spans="1:4" x14ac:dyDescent="0.35">
      <c r="A117" s="16" t="s">
        <v>89</v>
      </c>
      <c r="B117" s="23">
        <v>0</v>
      </c>
      <c r="C117" s="23">
        <v>0</v>
      </c>
      <c r="D117" s="17">
        <v>0</v>
      </c>
    </row>
    <row r="118" spans="1:4" x14ac:dyDescent="0.35">
      <c r="B118" s="2"/>
      <c r="C118" s="2"/>
    </row>
    <row r="119" spans="1:4" x14ac:dyDescent="0.35">
      <c r="B119" s="2"/>
      <c r="C119" s="2"/>
    </row>
    <row r="120" spans="1:4" x14ac:dyDescent="0.35">
      <c r="B120" s="2"/>
      <c r="C120" s="2"/>
    </row>
    <row r="121" spans="1:4" x14ac:dyDescent="0.35">
      <c r="A121" t="s">
        <v>31</v>
      </c>
      <c r="B121" s="2">
        <v>0</v>
      </c>
      <c r="C121" s="2">
        <v>0</v>
      </c>
      <c r="D121" s="2">
        <v>0</v>
      </c>
    </row>
    <row r="122" spans="1:4" x14ac:dyDescent="0.35">
      <c r="A122" t="s">
        <v>32</v>
      </c>
      <c r="B122" s="2">
        <v>0</v>
      </c>
      <c r="C122" s="2">
        <v>0</v>
      </c>
      <c r="D122" s="2">
        <v>0</v>
      </c>
    </row>
    <row r="123" spans="1:4" ht="16" x14ac:dyDescent="0.5">
      <c r="A123" s="5" t="s">
        <v>33</v>
      </c>
      <c r="B123" s="18">
        <v>0</v>
      </c>
      <c r="C123" s="18">
        <v>0</v>
      </c>
      <c r="D123" s="18">
        <v>0</v>
      </c>
    </row>
    <row r="124" spans="1:4" x14ac:dyDescent="0.35">
      <c r="B124" s="2"/>
      <c r="C124" s="2"/>
    </row>
    <row r="125" spans="1:4" x14ac:dyDescent="0.35">
      <c r="B125" s="2"/>
      <c r="C125" s="2"/>
    </row>
    <row r="126" spans="1:4" x14ac:dyDescent="0.35">
      <c r="A126" t="s">
        <v>35</v>
      </c>
      <c r="B126" s="2">
        <v>0</v>
      </c>
      <c r="C126" s="2">
        <v>91</v>
      </c>
      <c r="D126" s="2">
        <v>91</v>
      </c>
    </row>
    <row r="127" spans="1:4" x14ac:dyDescent="0.35">
      <c r="A127" t="s">
        <v>36</v>
      </c>
      <c r="B127" s="2">
        <v>-88959142</v>
      </c>
      <c r="C127" s="2">
        <v>-22416325</v>
      </c>
      <c r="D127" s="2">
        <v>-111375467</v>
      </c>
    </row>
    <row r="128" spans="1:4" ht="16" x14ac:dyDescent="0.5">
      <c r="A128" s="5" t="s">
        <v>37</v>
      </c>
      <c r="B128" s="18">
        <v>-88959142</v>
      </c>
      <c r="C128" s="18">
        <v>-22416234</v>
      </c>
      <c r="D128" s="18">
        <v>-111375376</v>
      </c>
    </row>
    <row r="129" spans="1:4" x14ac:dyDescent="0.35">
      <c r="B129" s="2"/>
      <c r="C129" s="2"/>
    </row>
    <row r="130" spans="1:4" x14ac:dyDescent="0.35">
      <c r="B130" s="2"/>
      <c r="C130" s="2"/>
    </row>
    <row r="131" spans="1:4" x14ac:dyDescent="0.35">
      <c r="A131" t="s">
        <v>47</v>
      </c>
      <c r="B131" s="2">
        <v>0</v>
      </c>
      <c r="C131" s="2">
        <v>0</v>
      </c>
      <c r="D131" s="2">
        <v>0</v>
      </c>
    </row>
    <row r="132" spans="1:4" x14ac:dyDescent="0.35">
      <c r="A132" t="s">
        <v>78</v>
      </c>
      <c r="B132" s="2">
        <v>0</v>
      </c>
      <c r="C132" s="2">
        <v>-2590431</v>
      </c>
      <c r="D132" s="2">
        <v>-2590431</v>
      </c>
    </row>
    <row r="133" spans="1:4" x14ac:dyDescent="0.35">
      <c r="A133" t="s">
        <v>39</v>
      </c>
      <c r="B133" s="2">
        <v>0</v>
      </c>
      <c r="C133" s="2">
        <v>-2796589</v>
      </c>
      <c r="D133" s="2">
        <v>-2796589</v>
      </c>
    </row>
    <row r="134" spans="1:4" x14ac:dyDescent="0.35">
      <c r="A134" t="s">
        <v>40</v>
      </c>
      <c r="B134" s="2">
        <v>0</v>
      </c>
      <c r="C134" s="2">
        <v>0</v>
      </c>
      <c r="D134" s="2">
        <v>0</v>
      </c>
    </row>
    <row r="135" spans="1:4" x14ac:dyDescent="0.35">
      <c r="A135" t="s">
        <v>41</v>
      </c>
      <c r="B135" s="2">
        <v>0</v>
      </c>
      <c r="C135" s="2">
        <v>-94601</v>
      </c>
      <c r="D135" s="2">
        <v>-94601</v>
      </c>
    </row>
    <row r="136" spans="1:4" x14ac:dyDescent="0.35">
      <c r="A136" t="s">
        <v>42</v>
      </c>
      <c r="B136" s="2">
        <v>0</v>
      </c>
      <c r="C136" s="2">
        <v>0</v>
      </c>
      <c r="D136" s="2">
        <v>0</v>
      </c>
    </row>
    <row r="137" spans="1:4" x14ac:dyDescent="0.35">
      <c r="A137" t="s">
        <v>4</v>
      </c>
      <c r="B137" s="2">
        <v>0</v>
      </c>
      <c r="C137" s="2">
        <v>-6092</v>
      </c>
      <c r="D137" s="2">
        <v>-6092</v>
      </c>
    </row>
    <row r="138" spans="1:4" x14ac:dyDescent="0.35">
      <c r="A138" t="s">
        <v>5</v>
      </c>
      <c r="B138" s="2">
        <v>0</v>
      </c>
      <c r="C138" s="2">
        <v>0</v>
      </c>
      <c r="D138" s="2">
        <v>0</v>
      </c>
    </row>
    <row r="139" spans="1:4" x14ac:dyDescent="0.35">
      <c r="A139" t="s">
        <v>182</v>
      </c>
      <c r="B139" s="2">
        <v>0</v>
      </c>
      <c r="C139" s="2">
        <v>-1052348</v>
      </c>
      <c r="D139" s="2">
        <v>-1052348</v>
      </c>
    </row>
    <row r="140" spans="1:4" ht="16" x14ac:dyDescent="0.5">
      <c r="A140" s="5" t="s">
        <v>11</v>
      </c>
      <c r="B140" s="18">
        <v>0</v>
      </c>
      <c r="C140" s="18">
        <v>-6540061</v>
      </c>
      <c r="D140" s="18">
        <v>-6540061</v>
      </c>
    </row>
    <row r="141" spans="1:4" x14ac:dyDescent="0.35">
      <c r="B141" s="2"/>
      <c r="C141" s="2"/>
    </row>
    <row r="142" spans="1:4" x14ac:dyDescent="0.35">
      <c r="B142" s="2"/>
      <c r="C142" s="2"/>
    </row>
    <row r="143" spans="1:4" x14ac:dyDescent="0.35">
      <c r="A143" s="11" t="s">
        <v>43</v>
      </c>
      <c r="B143" s="4">
        <v>85219998</v>
      </c>
      <c r="C143" s="4">
        <v>138438017</v>
      </c>
      <c r="D143" s="4">
        <v>223658015</v>
      </c>
    </row>
    <row r="144" spans="1:4" x14ac:dyDescent="0.35">
      <c r="A144" t="s">
        <v>6</v>
      </c>
      <c r="B144" s="2">
        <v>0</v>
      </c>
      <c r="C144" s="2">
        <v>-31178020</v>
      </c>
      <c r="D144" s="2">
        <v>-31178020</v>
      </c>
    </row>
    <row r="145" spans="1:29" x14ac:dyDescent="0.35">
      <c r="A145" s="11" t="s">
        <v>7</v>
      </c>
      <c r="B145" s="4">
        <v>85219998</v>
      </c>
      <c r="C145" s="4">
        <v>107259997</v>
      </c>
      <c r="D145" s="4">
        <v>192479995</v>
      </c>
      <c r="V145" s="3"/>
      <c r="W145" s="3"/>
      <c r="X145" s="3"/>
      <c r="Y145" s="3"/>
      <c r="AA145" s="3"/>
      <c r="AB145" s="3"/>
    </row>
    <row r="146" spans="1:29" x14ac:dyDescent="0.35">
      <c r="A146" t="s">
        <v>8</v>
      </c>
      <c r="B146" s="2">
        <v>0</v>
      </c>
      <c r="C146" s="2">
        <v>-53576689.012999997</v>
      </c>
      <c r="D146" s="2">
        <v>-53576689.012999997</v>
      </c>
      <c r="V146" s="3"/>
      <c r="W146" s="3"/>
      <c r="X146" s="3"/>
      <c r="Y146" s="3"/>
      <c r="AA146" s="3"/>
      <c r="AB146" s="3"/>
    </row>
    <row r="147" spans="1:29" x14ac:dyDescent="0.35">
      <c r="A147" s="11" t="s">
        <v>143</v>
      </c>
      <c r="B147" s="4">
        <v>85219998</v>
      </c>
      <c r="C147" s="4">
        <v>53683307.987000003</v>
      </c>
      <c r="D147" s="4">
        <v>138903305.98699999</v>
      </c>
      <c r="V147" s="3"/>
      <c r="W147" s="3"/>
      <c r="X147" s="3"/>
      <c r="Y147" s="3"/>
      <c r="AA147" s="3"/>
      <c r="AB147" s="3"/>
    </row>
    <row r="148" spans="1:29" x14ac:dyDescent="0.35">
      <c r="B148" s="3">
        <v>0</v>
      </c>
      <c r="C148" s="3">
        <v>0</v>
      </c>
      <c r="V148" s="3"/>
      <c r="W148" s="3"/>
      <c r="X148" s="3"/>
      <c r="Y148" s="3"/>
      <c r="AA148" s="3"/>
      <c r="AB148" s="3"/>
    </row>
    <row r="149" spans="1:29" x14ac:dyDescent="0.35">
      <c r="V149" s="3"/>
      <c r="W149" s="3"/>
      <c r="X149" s="3"/>
      <c r="Y149" s="3"/>
      <c r="AA149" s="3"/>
      <c r="AB149" s="3"/>
    </row>
    <row r="151" spans="1:29" ht="18.5" x14ac:dyDescent="0.35">
      <c r="A151" s="303" t="s">
        <v>145</v>
      </c>
      <c r="B151" s="303"/>
      <c r="C151" s="303"/>
      <c r="D151" s="303"/>
      <c r="U151" s="135" t="s">
        <v>153</v>
      </c>
      <c r="V151" s="135"/>
      <c r="W151" s="135"/>
      <c r="X151" s="135"/>
      <c r="Z151" s="135" t="s">
        <v>155</v>
      </c>
      <c r="AA151" s="135"/>
      <c r="AB151" s="135"/>
      <c r="AC151" s="135"/>
    </row>
    <row r="152" spans="1:29" ht="15.5" x14ac:dyDescent="0.35">
      <c r="A152" s="8"/>
      <c r="B152" s="8" t="s">
        <v>86</v>
      </c>
      <c r="C152" s="10" t="s">
        <v>1</v>
      </c>
      <c r="D152" s="26" t="s">
        <v>48</v>
      </c>
      <c r="U152" s="24"/>
      <c r="V152" s="10" t="s">
        <v>46</v>
      </c>
      <c r="W152" s="10" t="s">
        <v>1</v>
      </c>
      <c r="X152" s="26" t="s">
        <v>48</v>
      </c>
      <c r="Z152" s="24"/>
      <c r="AA152" s="10" t="s">
        <v>46</v>
      </c>
      <c r="AB152" s="10" t="s">
        <v>1</v>
      </c>
      <c r="AC152" s="26" t="s">
        <v>48</v>
      </c>
    </row>
    <row r="153" spans="1:29" x14ac:dyDescent="0.35">
      <c r="A153" t="s">
        <v>85</v>
      </c>
      <c r="B153" s="2">
        <v>0</v>
      </c>
      <c r="C153" s="2">
        <v>45790360.430000007</v>
      </c>
      <c r="D153" s="2">
        <v>45790360.430000007</v>
      </c>
      <c r="U153" t="s">
        <v>85</v>
      </c>
      <c r="V153" s="1">
        <v>0</v>
      </c>
      <c r="W153" s="15">
        <v>23299600</v>
      </c>
      <c r="X153" s="2">
        <v>23299600</v>
      </c>
      <c r="Z153" t="s">
        <v>85</v>
      </c>
      <c r="AA153" s="1">
        <v>0</v>
      </c>
      <c r="AB153" s="1">
        <v>22490760.430000007</v>
      </c>
      <c r="AC153" s="2">
        <v>22490760.430000007</v>
      </c>
    </row>
    <row r="154" spans="1:29" x14ac:dyDescent="0.35">
      <c r="A154" t="s">
        <v>19</v>
      </c>
      <c r="B154" s="2">
        <v>0</v>
      </c>
      <c r="C154" s="2">
        <v>0</v>
      </c>
      <c r="D154" s="2">
        <v>0</v>
      </c>
      <c r="U154" t="s">
        <v>19</v>
      </c>
      <c r="V154" s="1">
        <v>0</v>
      </c>
      <c r="W154" s="15">
        <v>0</v>
      </c>
      <c r="X154" s="2">
        <v>0</v>
      </c>
      <c r="Z154" t="s">
        <v>19</v>
      </c>
      <c r="AA154" s="1">
        <v>0</v>
      </c>
      <c r="AB154" s="1">
        <v>0</v>
      </c>
      <c r="AC154" s="2">
        <v>0</v>
      </c>
    </row>
    <row r="155" spans="1:29" x14ac:dyDescent="0.35">
      <c r="A155" t="s">
        <v>86</v>
      </c>
      <c r="B155" s="2">
        <v>0</v>
      </c>
      <c r="C155" s="2">
        <v>0</v>
      </c>
      <c r="D155" s="2">
        <v>0</v>
      </c>
      <c r="U155" t="s">
        <v>86</v>
      </c>
      <c r="V155" s="1">
        <v>0</v>
      </c>
      <c r="W155" s="15">
        <v>0</v>
      </c>
      <c r="X155" s="2">
        <v>0</v>
      </c>
      <c r="Z155" t="s">
        <v>86</v>
      </c>
      <c r="AA155" s="1">
        <v>0</v>
      </c>
      <c r="AB155" s="1">
        <v>0</v>
      </c>
      <c r="AC155" s="2">
        <v>0</v>
      </c>
    </row>
    <row r="156" spans="1:29" x14ac:dyDescent="0.35">
      <c r="A156" t="s">
        <v>87</v>
      </c>
      <c r="B156" s="2">
        <v>0</v>
      </c>
      <c r="C156" s="2">
        <v>-6441.67</v>
      </c>
      <c r="D156" s="2">
        <v>-6441.67</v>
      </c>
      <c r="U156" t="s">
        <v>87</v>
      </c>
      <c r="V156" s="1">
        <v>0</v>
      </c>
      <c r="W156" s="15">
        <v>-6442</v>
      </c>
      <c r="X156" s="2">
        <v>-6442</v>
      </c>
      <c r="Z156" t="s">
        <v>87</v>
      </c>
      <c r="AA156" s="1">
        <v>0</v>
      </c>
      <c r="AB156" s="1">
        <v>0.32999999999992724</v>
      </c>
      <c r="AC156" s="2">
        <v>0.32999999999992724</v>
      </c>
    </row>
    <row r="157" spans="1:29" x14ac:dyDescent="0.35">
      <c r="A157" s="19" t="s">
        <v>18</v>
      </c>
      <c r="B157" s="20">
        <v>0</v>
      </c>
      <c r="C157" s="20">
        <v>45783918.760000005</v>
      </c>
      <c r="D157" s="20">
        <v>45783918.760000005</v>
      </c>
      <c r="U157" s="19" t="s">
        <v>18</v>
      </c>
      <c r="V157" s="20">
        <v>0</v>
      </c>
      <c r="W157" s="20">
        <v>23293158</v>
      </c>
      <c r="X157" s="20">
        <v>23293158</v>
      </c>
      <c r="Z157" s="19" t="s">
        <v>18</v>
      </c>
      <c r="AA157" s="20">
        <v>0</v>
      </c>
      <c r="AB157" s="20">
        <v>22490760.760000005</v>
      </c>
      <c r="AC157" s="20">
        <v>22490760.760000005</v>
      </c>
    </row>
    <row r="158" spans="1:29" x14ac:dyDescent="0.35">
      <c r="B158" s="2"/>
      <c r="C158" s="2"/>
      <c r="V158" s="1"/>
      <c r="W158" s="15"/>
      <c r="X158" s="2"/>
      <c r="AA158" s="1"/>
      <c r="AB158" s="15"/>
      <c r="AC158" s="2"/>
    </row>
    <row r="159" spans="1:29" x14ac:dyDescent="0.35">
      <c r="B159" s="2"/>
      <c r="C159" s="2"/>
      <c r="V159" s="1"/>
      <c r="W159" s="15"/>
      <c r="X159" s="2"/>
      <c r="AA159" s="1"/>
      <c r="AB159" s="15"/>
      <c r="AC159" s="2"/>
    </row>
    <row r="160" spans="1:29" x14ac:dyDescent="0.35">
      <c r="A160" t="s">
        <v>12</v>
      </c>
      <c r="B160" s="2">
        <v>670175758.7700001</v>
      </c>
      <c r="C160" s="2">
        <v>49479880.480000004</v>
      </c>
      <c r="D160" s="2">
        <v>719655639.25000012</v>
      </c>
      <c r="U160" t="s">
        <v>12</v>
      </c>
      <c r="V160" s="1">
        <v>516760604</v>
      </c>
      <c r="W160" s="15">
        <v>35431357</v>
      </c>
      <c r="X160" s="2">
        <v>552191961</v>
      </c>
      <c r="Z160" t="s">
        <v>12</v>
      </c>
      <c r="AA160" s="1">
        <v>153415154.7700001</v>
      </c>
      <c r="AB160" s="1">
        <v>14048523.480000004</v>
      </c>
      <c r="AC160" s="2">
        <v>167463678.25000012</v>
      </c>
    </row>
    <row r="161" spans="1:29" x14ac:dyDescent="0.35">
      <c r="A161" t="s">
        <v>3</v>
      </c>
      <c r="B161" s="2">
        <v>-580684132</v>
      </c>
      <c r="C161" s="2">
        <v>-22419625.589999996</v>
      </c>
      <c r="D161" s="2">
        <v>-603103757.59000003</v>
      </c>
      <c r="U161" t="s">
        <v>3</v>
      </c>
      <c r="V161" s="1">
        <v>-457231569</v>
      </c>
      <c r="W161" s="15">
        <v>-15714476</v>
      </c>
      <c r="X161" s="2">
        <v>-472946045</v>
      </c>
      <c r="Z161" t="s">
        <v>3</v>
      </c>
      <c r="AA161" s="1">
        <v>-123452563</v>
      </c>
      <c r="AB161" s="1">
        <v>-6705149.5899999961</v>
      </c>
      <c r="AC161" s="2">
        <v>-130157712.59</v>
      </c>
    </row>
    <row r="162" spans="1:29" x14ac:dyDescent="0.35">
      <c r="A162" t="s">
        <v>88</v>
      </c>
      <c r="B162" s="2">
        <v>47654477</v>
      </c>
      <c r="C162" s="2">
        <v>7453598.4399999995</v>
      </c>
      <c r="D162" s="2">
        <v>55108075.439999998</v>
      </c>
      <c r="U162" t="s">
        <v>88</v>
      </c>
      <c r="V162" s="1">
        <v>35076742</v>
      </c>
      <c r="W162" s="15">
        <v>6675675</v>
      </c>
      <c r="X162" s="2">
        <v>41752417</v>
      </c>
      <c r="Z162" t="s">
        <v>88</v>
      </c>
      <c r="AA162" s="1">
        <v>12577735</v>
      </c>
      <c r="AB162" s="1">
        <v>777923.43999999948</v>
      </c>
      <c r="AC162" s="2">
        <v>13355658.439999999</v>
      </c>
    </row>
    <row r="163" spans="1:29" x14ac:dyDescent="0.35">
      <c r="A163" t="s">
        <v>13</v>
      </c>
      <c r="B163" s="2">
        <v>-61110984.210000001</v>
      </c>
      <c r="C163" s="2">
        <v>-1299179.1000000001</v>
      </c>
      <c r="D163" s="2">
        <v>-62410163.310000002</v>
      </c>
      <c r="U163" t="s">
        <v>13</v>
      </c>
      <c r="V163" s="1">
        <v>-54490961</v>
      </c>
      <c r="W163" s="15">
        <v>-892949</v>
      </c>
      <c r="X163" s="2">
        <v>-55383910</v>
      </c>
      <c r="Z163" t="s">
        <v>13</v>
      </c>
      <c r="AA163" s="1">
        <v>-6620023.2100000009</v>
      </c>
      <c r="AB163" s="1">
        <v>-406230.10000000009</v>
      </c>
      <c r="AC163" s="2">
        <v>-7026253.3100000005</v>
      </c>
    </row>
    <row r="164" spans="1:29" x14ac:dyDescent="0.35">
      <c r="A164" s="19" t="s">
        <v>14</v>
      </c>
      <c r="B164" s="20">
        <v>76035119.560000092</v>
      </c>
      <c r="C164" s="20">
        <v>33214674.230000004</v>
      </c>
      <c r="D164" s="20">
        <v>109249793.7900001</v>
      </c>
      <c r="U164" s="19" t="s">
        <v>14</v>
      </c>
      <c r="V164" s="20">
        <v>40114816</v>
      </c>
      <c r="W164" s="20">
        <v>25499607</v>
      </c>
      <c r="X164" s="20">
        <v>65614423</v>
      </c>
      <c r="Z164" s="19" t="s">
        <v>14</v>
      </c>
      <c r="AA164" s="20">
        <v>35920303.560000099</v>
      </c>
      <c r="AB164" s="20">
        <v>7715067.2300000079</v>
      </c>
      <c r="AC164" s="20">
        <v>43635370.790000111</v>
      </c>
    </row>
    <row r="165" spans="1:29" x14ac:dyDescent="0.35">
      <c r="B165" s="2"/>
      <c r="C165" s="2"/>
      <c r="V165" s="12"/>
      <c r="W165" s="15"/>
      <c r="X165" s="2"/>
      <c r="AA165" s="12"/>
      <c r="AB165" s="15"/>
      <c r="AC165" s="2"/>
    </row>
    <row r="166" spans="1:29" x14ac:dyDescent="0.35">
      <c r="B166" s="2"/>
      <c r="C166" s="2"/>
      <c r="V166" s="12"/>
      <c r="W166" s="15"/>
      <c r="X166" s="2"/>
      <c r="AA166" s="12"/>
      <c r="AB166" s="15"/>
      <c r="AC166" s="2"/>
    </row>
    <row r="167" spans="1:29" x14ac:dyDescent="0.35">
      <c r="A167" t="s">
        <v>15</v>
      </c>
      <c r="B167" s="2">
        <v>0</v>
      </c>
      <c r="C167" s="2">
        <v>10540665.83</v>
      </c>
      <c r="D167" s="2">
        <v>10540665.83</v>
      </c>
      <c r="U167" t="s">
        <v>15</v>
      </c>
      <c r="V167" s="1">
        <v>0</v>
      </c>
      <c r="W167" s="15">
        <v>7350304</v>
      </c>
      <c r="X167" s="2">
        <v>7350304</v>
      </c>
      <c r="Z167" t="s">
        <v>15</v>
      </c>
      <c r="AA167" s="1">
        <v>0</v>
      </c>
      <c r="AB167" s="1">
        <v>3190361.83</v>
      </c>
      <c r="AC167" s="2">
        <v>3190361.83</v>
      </c>
    </row>
    <row r="168" spans="1:29" x14ac:dyDescent="0.35">
      <c r="A168" t="s">
        <v>16</v>
      </c>
      <c r="B168" s="2">
        <v>0</v>
      </c>
      <c r="C168" s="2">
        <v>-10113765.800000001</v>
      </c>
      <c r="D168" s="2">
        <v>-10113765.800000001</v>
      </c>
      <c r="U168" t="s">
        <v>16</v>
      </c>
      <c r="V168" s="1">
        <v>0</v>
      </c>
      <c r="W168" s="15">
        <v>-6568569</v>
      </c>
      <c r="X168" s="2">
        <v>-6568569</v>
      </c>
      <c r="Z168" t="s">
        <v>16</v>
      </c>
      <c r="AA168" s="1">
        <v>0</v>
      </c>
      <c r="AB168" s="1">
        <v>-3545196.8000000007</v>
      </c>
      <c r="AC168" s="2">
        <v>-3545196.8000000007</v>
      </c>
    </row>
    <row r="169" spans="1:29" x14ac:dyDescent="0.35">
      <c r="A169" s="19" t="s">
        <v>17</v>
      </c>
      <c r="B169" s="20">
        <v>0</v>
      </c>
      <c r="C169" s="20">
        <v>426900.02999999933</v>
      </c>
      <c r="D169" s="20">
        <v>426900.02999999933</v>
      </c>
      <c r="U169" s="19" t="s">
        <v>17</v>
      </c>
      <c r="V169" s="20">
        <v>0</v>
      </c>
      <c r="W169" s="20">
        <v>781735</v>
      </c>
      <c r="X169" s="20">
        <v>781735</v>
      </c>
      <c r="Z169" s="19" t="s">
        <v>17</v>
      </c>
      <c r="AA169" s="20">
        <v>0</v>
      </c>
      <c r="AB169" s="20">
        <v>-354834.97000000067</v>
      </c>
      <c r="AC169" s="20">
        <v>-354834.97000000067</v>
      </c>
    </row>
    <row r="170" spans="1:29" x14ac:dyDescent="0.35">
      <c r="B170" s="2"/>
      <c r="C170" s="2"/>
      <c r="V170" s="1"/>
      <c r="W170" s="15"/>
      <c r="X170" s="2"/>
      <c r="AA170" s="1"/>
      <c r="AB170" s="15"/>
      <c r="AC170" s="2"/>
    </row>
    <row r="171" spans="1:29" x14ac:dyDescent="0.35">
      <c r="B171" s="2"/>
      <c r="C171" s="2"/>
      <c r="V171" s="1"/>
      <c r="W171" s="15"/>
      <c r="X171" s="2"/>
      <c r="AA171" s="1"/>
      <c r="AB171" s="15"/>
      <c r="AC171" s="2"/>
    </row>
    <row r="172" spans="1:29" x14ac:dyDescent="0.35">
      <c r="A172" s="16" t="s">
        <v>20</v>
      </c>
      <c r="B172" s="23">
        <v>0</v>
      </c>
      <c r="C172" s="23">
        <v>0</v>
      </c>
      <c r="D172" s="17">
        <v>0</v>
      </c>
      <c r="U172" s="16" t="s">
        <v>20</v>
      </c>
      <c r="V172" s="27">
        <v>0</v>
      </c>
      <c r="W172" s="28">
        <v>0</v>
      </c>
      <c r="X172" s="17">
        <v>0</v>
      </c>
      <c r="Z172" s="16" t="s">
        <v>20</v>
      </c>
      <c r="AA172" s="27">
        <v>0</v>
      </c>
      <c r="AB172" s="28">
        <v>0</v>
      </c>
      <c r="AC172" s="17">
        <v>0</v>
      </c>
    </row>
    <row r="173" spans="1:29" x14ac:dyDescent="0.35">
      <c r="B173" s="2"/>
      <c r="C173" s="2"/>
      <c r="V173" s="1"/>
      <c r="W173" s="15"/>
      <c r="X173" s="2"/>
      <c r="AA173" s="1"/>
      <c r="AB173" s="15"/>
      <c r="AC173" s="2"/>
    </row>
    <row r="174" spans="1:29" x14ac:dyDescent="0.35">
      <c r="B174" s="2"/>
      <c r="C174" s="2"/>
      <c r="X174" s="2"/>
      <c r="AC174" s="2"/>
    </row>
    <row r="175" spans="1:29" x14ac:dyDescent="0.35">
      <c r="B175" s="2"/>
      <c r="C175" s="2"/>
      <c r="X175" s="2"/>
      <c r="AC175" s="2"/>
    </row>
    <row r="176" spans="1:29" x14ac:dyDescent="0.35">
      <c r="A176" t="s">
        <v>0</v>
      </c>
      <c r="B176" s="2">
        <v>0</v>
      </c>
      <c r="C176" s="2">
        <v>1032258911.6300001</v>
      </c>
      <c r="D176" s="2">
        <v>1032258911.6300001</v>
      </c>
      <c r="U176" t="s">
        <v>0</v>
      </c>
      <c r="V176" s="1">
        <v>0</v>
      </c>
      <c r="W176" s="15">
        <v>728293535</v>
      </c>
      <c r="X176" s="2">
        <v>728293535</v>
      </c>
      <c r="Z176" t="s">
        <v>0</v>
      </c>
      <c r="AA176" s="1">
        <v>0</v>
      </c>
      <c r="AB176" s="1">
        <v>303965376.63000011</v>
      </c>
      <c r="AC176" s="2">
        <v>303965376.63000011</v>
      </c>
    </row>
    <row r="177" spans="1:29" x14ac:dyDescent="0.35">
      <c r="A177" t="s">
        <v>2</v>
      </c>
      <c r="B177" s="2">
        <v>0</v>
      </c>
      <c r="C177" s="2">
        <v>-1026883590.62</v>
      </c>
      <c r="D177" s="2">
        <v>-1026883590.62</v>
      </c>
      <c r="U177" t="s">
        <v>2</v>
      </c>
      <c r="V177" s="1">
        <v>0</v>
      </c>
      <c r="W177" s="15">
        <v>-716236580.44000006</v>
      </c>
      <c r="X177" s="2">
        <v>-716236580.44000006</v>
      </c>
      <c r="Z177" t="s">
        <v>2</v>
      </c>
      <c r="AA177" s="1">
        <v>0</v>
      </c>
      <c r="AB177" s="1">
        <v>-310647010.17999995</v>
      </c>
      <c r="AC177" s="2">
        <v>-310647010.17999995</v>
      </c>
    </row>
    <row r="178" spans="1:29" x14ac:dyDescent="0.35">
      <c r="A178" s="19" t="s">
        <v>21</v>
      </c>
      <c r="B178" s="20">
        <v>0</v>
      </c>
      <c r="C178" s="20">
        <v>5375321.0100001097</v>
      </c>
      <c r="D178" s="20">
        <v>5375321.0100001097</v>
      </c>
      <c r="U178" s="19" t="s">
        <v>21</v>
      </c>
      <c r="V178" s="20">
        <v>0</v>
      </c>
      <c r="W178" s="20">
        <v>12056954.559999943</v>
      </c>
      <c r="X178" s="20">
        <v>12056954.559999943</v>
      </c>
      <c r="Z178" s="19" t="s">
        <v>21</v>
      </c>
      <c r="AA178" s="20">
        <v>0</v>
      </c>
      <c r="AB178" s="20">
        <v>-6681633.5499998331</v>
      </c>
      <c r="AC178" s="20">
        <v>-6681633.5499998331</v>
      </c>
    </row>
    <row r="179" spans="1:29" x14ac:dyDescent="0.35">
      <c r="B179" s="2"/>
      <c r="C179" s="2"/>
      <c r="V179" s="2"/>
      <c r="W179" s="15"/>
      <c r="X179" s="2"/>
      <c r="AA179" s="2"/>
      <c r="AB179" s="15"/>
      <c r="AC179" s="2"/>
    </row>
    <row r="180" spans="1:29" x14ac:dyDescent="0.35">
      <c r="B180" s="2"/>
      <c r="C180" s="2"/>
      <c r="V180" s="2"/>
      <c r="W180" s="15"/>
      <c r="X180" s="2"/>
      <c r="AA180" s="2"/>
      <c r="AB180" s="15"/>
      <c r="AC180" s="2"/>
    </row>
    <row r="181" spans="1:29" x14ac:dyDescent="0.35">
      <c r="A181" t="s">
        <v>24</v>
      </c>
      <c r="B181" s="2">
        <v>0</v>
      </c>
      <c r="C181" s="2">
        <v>0</v>
      </c>
      <c r="D181" s="2">
        <v>0</v>
      </c>
      <c r="U181" t="s">
        <v>24</v>
      </c>
      <c r="V181" s="1">
        <v>0</v>
      </c>
      <c r="W181" s="15">
        <v>0</v>
      </c>
      <c r="X181" s="2">
        <v>0</v>
      </c>
      <c r="Z181" t="s">
        <v>24</v>
      </c>
      <c r="AA181" s="1">
        <v>0</v>
      </c>
      <c r="AB181" s="1">
        <v>0</v>
      </c>
      <c r="AC181" s="2">
        <v>0</v>
      </c>
    </row>
    <row r="182" spans="1:29" x14ac:dyDescent="0.35">
      <c r="A182" t="s">
        <v>25</v>
      </c>
      <c r="B182" s="2">
        <v>0</v>
      </c>
      <c r="C182" s="2">
        <v>0</v>
      </c>
      <c r="D182" s="2">
        <v>0</v>
      </c>
      <c r="U182" t="s">
        <v>25</v>
      </c>
      <c r="V182" s="1">
        <v>0</v>
      </c>
      <c r="W182" s="15">
        <v>0</v>
      </c>
      <c r="X182" s="2">
        <v>0</v>
      </c>
      <c r="Z182" t="s">
        <v>25</v>
      </c>
      <c r="AA182" s="1">
        <v>0</v>
      </c>
      <c r="AB182" s="1">
        <v>0</v>
      </c>
      <c r="AC182" s="2">
        <v>0</v>
      </c>
    </row>
    <row r="183" spans="1:29" x14ac:dyDescent="0.35">
      <c r="A183" t="s">
        <v>26</v>
      </c>
      <c r="B183" s="2">
        <v>0</v>
      </c>
      <c r="C183" s="2">
        <v>0</v>
      </c>
      <c r="D183" s="2">
        <v>0</v>
      </c>
      <c r="U183" t="s">
        <v>26</v>
      </c>
      <c r="V183" s="1">
        <v>0</v>
      </c>
      <c r="W183" s="15">
        <v>0</v>
      </c>
      <c r="X183" s="2">
        <v>0</v>
      </c>
      <c r="Z183" t="s">
        <v>26</v>
      </c>
      <c r="AA183" s="1">
        <v>0</v>
      </c>
      <c r="AB183" s="1">
        <v>0</v>
      </c>
      <c r="AC183" s="2">
        <v>0</v>
      </c>
    </row>
    <row r="184" spans="1:29" x14ac:dyDescent="0.35">
      <c r="A184" s="19" t="s">
        <v>101</v>
      </c>
      <c r="B184" s="20">
        <v>0</v>
      </c>
      <c r="C184" s="20">
        <v>0</v>
      </c>
      <c r="D184" s="20">
        <v>0</v>
      </c>
      <c r="U184" s="19" t="s">
        <v>152</v>
      </c>
      <c r="V184" s="20">
        <v>0</v>
      </c>
      <c r="W184" s="20">
        <v>0</v>
      </c>
      <c r="X184" s="20">
        <v>0</v>
      </c>
      <c r="Z184" s="19" t="s">
        <v>152</v>
      </c>
      <c r="AA184" s="20">
        <v>0</v>
      </c>
      <c r="AB184" s="20">
        <v>0</v>
      </c>
      <c r="AC184" s="20">
        <v>0</v>
      </c>
    </row>
    <row r="185" spans="1:29" x14ac:dyDescent="0.35">
      <c r="B185" s="2"/>
      <c r="C185" s="2"/>
      <c r="V185" s="2"/>
      <c r="W185" s="15"/>
      <c r="X185" s="2"/>
      <c r="AA185" s="2"/>
      <c r="AB185" s="15"/>
      <c r="AC185" s="2"/>
    </row>
    <row r="186" spans="1:29" x14ac:dyDescent="0.35">
      <c r="B186" s="2"/>
      <c r="C186" s="2"/>
      <c r="V186" s="2"/>
      <c r="W186" s="15"/>
      <c r="X186" s="2"/>
      <c r="AA186" s="2"/>
      <c r="AB186" s="15"/>
      <c r="AC186" s="2"/>
    </row>
    <row r="187" spans="1:29" x14ac:dyDescent="0.35">
      <c r="A187" t="s">
        <v>27</v>
      </c>
      <c r="B187" s="2">
        <v>0</v>
      </c>
      <c r="C187" s="2">
        <v>0</v>
      </c>
      <c r="D187" s="2">
        <v>0</v>
      </c>
      <c r="U187" t="s">
        <v>27</v>
      </c>
      <c r="V187" s="1">
        <v>0</v>
      </c>
      <c r="W187" s="15">
        <v>0</v>
      </c>
      <c r="X187" s="2">
        <v>0</v>
      </c>
      <c r="Z187" t="s">
        <v>27</v>
      </c>
      <c r="AA187" s="1">
        <v>0</v>
      </c>
      <c r="AB187" s="1">
        <v>0</v>
      </c>
      <c r="AC187" s="2">
        <v>0</v>
      </c>
    </row>
    <row r="188" spans="1:29" x14ac:dyDescent="0.35">
      <c r="A188" t="s">
        <v>28</v>
      </c>
      <c r="B188" s="2">
        <v>0</v>
      </c>
      <c r="C188" s="2">
        <v>0</v>
      </c>
      <c r="D188" s="2">
        <v>0</v>
      </c>
      <c r="U188" t="s">
        <v>28</v>
      </c>
      <c r="V188" s="1">
        <v>0</v>
      </c>
      <c r="W188" s="15">
        <v>0</v>
      </c>
      <c r="X188" s="2">
        <v>0</v>
      </c>
      <c r="Z188" t="s">
        <v>28</v>
      </c>
      <c r="AA188" s="1">
        <v>0</v>
      </c>
      <c r="AB188" s="1">
        <v>0</v>
      </c>
      <c r="AC188" s="2">
        <v>0</v>
      </c>
    </row>
    <row r="189" spans="1:29" x14ac:dyDescent="0.35">
      <c r="A189" t="s">
        <v>29</v>
      </c>
      <c r="B189" s="2">
        <v>0</v>
      </c>
      <c r="C189" s="2">
        <v>0</v>
      </c>
      <c r="D189" s="2">
        <v>0</v>
      </c>
      <c r="U189" t="s">
        <v>29</v>
      </c>
      <c r="V189" s="1">
        <v>0</v>
      </c>
      <c r="W189" s="15">
        <v>0</v>
      </c>
      <c r="X189" s="2">
        <v>0</v>
      </c>
      <c r="Z189" t="s">
        <v>29</v>
      </c>
      <c r="AA189" s="1">
        <v>0</v>
      </c>
      <c r="AB189" s="1">
        <v>0</v>
      </c>
      <c r="AC189" s="2">
        <v>0</v>
      </c>
    </row>
    <row r="190" spans="1:29" x14ac:dyDescent="0.35">
      <c r="A190" t="s">
        <v>30</v>
      </c>
      <c r="B190" s="2">
        <v>0</v>
      </c>
      <c r="C190" s="2">
        <v>0</v>
      </c>
      <c r="D190" s="2">
        <v>0</v>
      </c>
      <c r="U190" t="s">
        <v>30</v>
      </c>
      <c r="V190" s="1">
        <v>0</v>
      </c>
      <c r="W190" s="15">
        <v>0</v>
      </c>
      <c r="X190" s="2">
        <v>0</v>
      </c>
      <c r="Z190" t="s">
        <v>30</v>
      </c>
      <c r="AA190" s="1">
        <v>0</v>
      </c>
      <c r="AB190" s="1">
        <v>0</v>
      </c>
      <c r="AC190" s="2">
        <v>0</v>
      </c>
    </row>
    <row r="191" spans="1:29" x14ac:dyDescent="0.35">
      <c r="A191" s="19" t="s">
        <v>90</v>
      </c>
      <c r="B191" s="20">
        <v>0</v>
      </c>
      <c r="C191" s="20">
        <v>0</v>
      </c>
      <c r="D191" s="20">
        <v>0</v>
      </c>
      <c r="U191" s="19" t="s">
        <v>90</v>
      </c>
      <c r="V191" s="20">
        <v>0</v>
      </c>
      <c r="W191" s="20">
        <v>0</v>
      </c>
      <c r="X191" s="20">
        <v>0</v>
      </c>
      <c r="Z191" s="19" t="s">
        <v>90</v>
      </c>
      <c r="AA191" s="20">
        <v>0</v>
      </c>
      <c r="AB191" s="20">
        <v>0</v>
      </c>
      <c r="AC191" s="20">
        <v>0</v>
      </c>
    </row>
    <row r="192" spans="1:29" x14ac:dyDescent="0.35">
      <c r="B192" s="2"/>
      <c r="C192" s="2"/>
      <c r="V192" s="2"/>
      <c r="W192" s="15"/>
      <c r="X192" s="2"/>
      <c r="AA192" s="2"/>
      <c r="AB192" s="15"/>
      <c r="AC192" s="2"/>
    </row>
    <row r="193" spans="1:29" x14ac:dyDescent="0.35">
      <c r="B193" s="2"/>
      <c r="C193" s="2"/>
      <c r="V193" s="2"/>
      <c r="W193" s="15"/>
      <c r="X193" s="2"/>
      <c r="AA193" s="2"/>
      <c r="AB193" s="15"/>
      <c r="AC193" s="2"/>
    </row>
    <row r="194" spans="1:29" x14ac:dyDescent="0.35">
      <c r="A194" s="16" t="s">
        <v>89</v>
      </c>
      <c r="B194" s="23">
        <v>0</v>
      </c>
      <c r="C194" s="23">
        <v>0</v>
      </c>
      <c r="D194" s="17">
        <v>0</v>
      </c>
      <c r="U194" s="16" t="s">
        <v>89</v>
      </c>
      <c r="V194" s="27">
        <v>0</v>
      </c>
      <c r="W194" s="28">
        <v>0</v>
      </c>
      <c r="X194" s="17">
        <v>0</v>
      </c>
      <c r="Z194" s="16" t="s">
        <v>89</v>
      </c>
      <c r="AA194" s="27">
        <v>0</v>
      </c>
      <c r="AB194" s="28">
        <v>0</v>
      </c>
      <c r="AC194" s="17">
        <v>0</v>
      </c>
    </row>
    <row r="195" spans="1:29" x14ac:dyDescent="0.35">
      <c r="B195" s="2"/>
      <c r="C195" s="2"/>
      <c r="V195" s="2"/>
      <c r="W195" s="15"/>
      <c r="X195" s="2"/>
      <c r="AA195" s="2"/>
      <c r="AB195" s="15"/>
      <c r="AC195" s="2"/>
    </row>
    <row r="196" spans="1:29" x14ac:dyDescent="0.35">
      <c r="B196" s="2"/>
      <c r="C196" s="2"/>
      <c r="X196" s="2"/>
      <c r="AC196" s="2"/>
    </row>
    <row r="197" spans="1:29" x14ac:dyDescent="0.35">
      <c r="B197" s="2"/>
      <c r="C197" s="2"/>
      <c r="X197" s="2"/>
      <c r="AC197" s="2"/>
    </row>
    <row r="198" spans="1:29" x14ac:dyDescent="0.35">
      <c r="A198" t="s">
        <v>31</v>
      </c>
      <c r="B198" s="2">
        <v>0</v>
      </c>
      <c r="C198" s="2">
        <v>0</v>
      </c>
      <c r="D198" s="2">
        <v>0</v>
      </c>
      <c r="U198" t="s">
        <v>31</v>
      </c>
      <c r="V198" s="1">
        <v>0</v>
      </c>
      <c r="W198" s="15">
        <v>0</v>
      </c>
      <c r="X198" s="2">
        <v>0</v>
      </c>
      <c r="Z198" t="s">
        <v>31</v>
      </c>
      <c r="AA198" s="1">
        <v>0</v>
      </c>
      <c r="AB198" s="1">
        <v>0</v>
      </c>
      <c r="AC198" s="2">
        <v>0</v>
      </c>
    </row>
    <row r="199" spans="1:29" x14ac:dyDescent="0.35">
      <c r="A199" t="s">
        <v>32</v>
      </c>
      <c r="B199" s="2">
        <v>0</v>
      </c>
      <c r="C199" s="2">
        <v>0</v>
      </c>
      <c r="D199" s="2">
        <v>0</v>
      </c>
      <c r="U199" t="s">
        <v>32</v>
      </c>
      <c r="V199" s="1">
        <v>0</v>
      </c>
      <c r="W199" s="15">
        <v>0</v>
      </c>
      <c r="X199" s="2">
        <v>0</v>
      </c>
      <c r="Z199" t="s">
        <v>32</v>
      </c>
      <c r="AA199" s="1">
        <v>0</v>
      </c>
      <c r="AB199" s="1">
        <v>0</v>
      </c>
      <c r="AC199" s="2">
        <v>0</v>
      </c>
    </row>
    <row r="200" spans="1:29" x14ac:dyDescent="0.35">
      <c r="A200" s="19" t="s">
        <v>33</v>
      </c>
      <c r="B200" s="20">
        <v>0</v>
      </c>
      <c r="C200" s="20">
        <v>0</v>
      </c>
      <c r="D200" s="20">
        <v>0</v>
      </c>
      <c r="U200" s="25" t="s">
        <v>33</v>
      </c>
      <c r="V200" s="20">
        <v>0</v>
      </c>
      <c r="W200" s="20">
        <v>0</v>
      </c>
      <c r="X200" s="20">
        <v>0</v>
      </c>
      <c r="Z200" s="25" t="s">
        <v>33</v>
      </c>
      <c r="AA200" s="20">
        <v>0</v>
      </c>
      <c r="AB200" s="20">
        <v>0</v>
      </c>
      <c r="AC200" s="20">
        <v>0</v>
      </c>
    </row>
    <row r="201" spans="1:29" x14ac:dyDescent="0.35">
      <c r="B201" s="2"/>
      <c r="C201" s="2"/>
      <c r="V201" s="2"/>
      <c r="W201" s="15"/>
      <c r="X201" s="2"/>
      <c r="AA201" s="2"/>
      <c r="AB201" s="15"/>
      <c r="AC201" s="2"/>
    </row>
    <row r="202" spans="1:29" x14ac:dyDescent="0.35">
      <c r="B202" s="2"/>
      <c r="C202" s="2"/>
      <c r="V202" s="2"/>
      <c r="W202" s="15"/>
      <c r="X202" s="2"/>
      <c r="AA202" s="2"/>
      <c r="AB202" s="15"/>
      <c r="AC202" s="2"/>
    </row>
    <row r="203" spans="1:29" x14ac:dyDescent="0.35">
      <c r="A203" t="s">
        <v>35</v>
      </c>
      <c r="B203" s="2">
        <v>0</v>
      </c>
      <c r="C203" s="2">
        <v>1440020.47</v>
      </c>
      <c r="D203" s="2">
        <v>1440020.47</v>
      </c>
      <c r="U203" t="s">
        <v>35</v>
      </c>
      <c r="V203" s="1">
        <v>0</v>
      </c>
      <c r="W203" s="15">
        <v>20</v>
      </c>
      <c r="X203" s="2">
        <v>20</v>
      </c>
      <c r="Z203" t="s">
        <v>35</v>
      </c>
      <c r="AA203" s="1">
        <v>0</v>
      </c>
      <c r="AB203" s="1">
        <v>1440000.47</v>
      </c>
      <c r="AC203" s="2">
        <v>1440000.47</v>
      </c>
    </row>
    <row r="204" spans="1:29" x14ac:dyDescent="0.35">
      <c r="A204" t="s">
        <v>36</v>
      </c>
      <c r="B204" s="2">
        <v>-85313838</v>
      </c>
      <c r="C204" s="2">
        <v>-11883089.439999999</v>
      </c>
      <c r="D204" s="2">
        <v>-97196927.439999998</v>
      </c>
      <c r="U204" t="s">
        <v>36</v>
      </c>
      <c r="V204" s="1">
        <v>-66825556</v>
      </c>
      <c r="W204" s="15">
        <v>-7484055</v>
      </c>
      <c r="X204" s="2">
        <v>-74309611</v>
      </c>
      <c r="Z204" t="s">
        <v>36</v>
      </c>
      <c r="AA204" s="1">
        <v>-18488282</v>
      </c>
      <c r="AB204" s="1">
        <v>-4399034.4399999995</v>
      </c>
      <c r="AC204" s="2">
        <v>-22887316.439999998</v>
      </c>
    </row>
    <row r="205" spans="1:29" x14ac:dyDescent="0.35">
      <c r="A205" s="19" t="s">
        <v>37</v>
      </c>
      <c r="B205" s="20">
        <v>-85313838</v>
      </c>
      <c r="C205" s="20">
        <v>-10443068.969999999</v>
      </c>
      <c r="D205" s="20">
        <v>-95756906.969999999</v>
      </c>
      <c r="U205" s="25" t="s">
        <v>37</v>
      </c>
      <c r="V205" s="20">
        <v>-66825556</v>
      </c>
      <c r="W205" s="20">
        <v>-7484035</v>
      </c>
      <c r="X205" s="20">
        <v>-74309591</v>
      </c>
      <c r="Z205" s="25" t="s">
        <v>37</v>
      </c>
      <c r="AA205" s="20">
        <v>-18488282</v>
      </c>
      <c r="AB205" s="20">
        <v>-2959033.9699999997</v>
      </c>
      <c r="AC205" s="20">
        <v>-21447315.969999999</v>
      </c>
    </row>
    <row r="206" spans="1:29" x14ac:dyDescent="0.35">
      <c r="B206" s="2"/>
      <c r="C206" s="2"/>
      <c r="V206" s="2"/>
      <c r="W206" s="15"/>
      <c r="X206" s="2"/>
      <c r="AA206" s="2"/>
      <c r="AB206" s="15"/>
      <c r="AC206" s="2"/>
    </row>
    <row r="207" spans="1:29" x14ac:dyDescent="0.35">
      <c r="B207" s="2"/>
      <c r="C207" s="2"/>
      <c r="V207" s="2"/>
      <c r="W207" s="15"/>
      <c r="X207" s="2"/>
      <c r="AA207" s="2"/>
      <c r="AB207" s="15"/>
      <c r="AC207" s="2"/>
    </row>
    <row r="208" spans="1:29" x14ac:dyDescent="0.35">
      <c r="A208" t="s">
        <v>47</v>
      </c>
      <c r="B208" s="2">
        <v>0</v>
      </c>
      <c r="C208" s="2">
        <v>0</v>
      </c>
      <c r="D208" s="2">
        <v>0</v>
      </c>
      <c r="U208" t="s">
        <v>38</v>
      </c>
      <c r="V208" s="1">
        <v>0</v>
      </c>
      <c r="W208" s="15">
        <v>0</v>
      </c>
      <c r="X208" s="2">
        <v>0</v>
      </c>
      <c r="Z208" t="s">
        <v>38</v>
      </c>
      <c r="AA208" s="1">
        <v>0</v>
      </c>
      <c r="AB208" s="1">
        <v>0</v>
      </c>
      <c r="AC208" s="2">
        <v>0</v>
      </c>
    </row>
    <row r="209" spans="1:30" x14ac:dyDescent="0.35">
      <c r="A209" t="s">
        <v>78</v>
      </c>
      <c r="B209" s="2">
        <v>0</v>
      </c>
      <c r="C209" s="2">
        <v>-4873498.32</v>
      </c>
      <c r="D209" s="2">
        <v>-4873498.32</v>
      </c>
      <c r="U209" t="s">
        <v>78</v>
      </c>
      <c r="V209" s="1">
        <v>0</v>
      </c>
      <c r="W209" s="15">
        <v>-6694563.5599999996</v>
      </c>
      <c r="X209" s="2">
        <v>-6694563.5599999996</v>
      </c>
      <c r="Z209" t="s">
        <v>78</v>
      </c>
      <c r="AA209" s="1">
        <v>0</v>
      </c>
      <c r="AB209" s="1">
        <v>1821065.2399999993</v>
      </c>
      <c r="AC209" s="2">
        <v>1821065.2399999993</v>
      </c>
    </row>
    <row r="210" spans="1:30" x14ac:dyDescent="0.35">
      <c r="A210" t="s">
        <v>39</v>
      </c>
      <c r="B210" s="2">
        <v>0</v>
      </c>
      <c r="C210" s="2">
        <v>-1901641.7000000002</v>
      </c>
      <c r="D210" s="2">
        <v>-1901641.7000000002</v>
      </c>
      <c r="U210" t="s">
        <v>39</v>
      </c>
      <c r="V210" s="1">
        <v>0</v>
      </c>
      <c r="W210" s="15">
        <v>-4220317</v>
      </c>
      <c r="X210" s="2">
        <v>-4220317</v>
      </c>
      <c r="Z210" t="s">
        <v>39</v>
      </c>
      <c r="AA210" s="1">
        <v>0</v>
      </c>
      <c r="AB210" s="1">
        <v>2318675.2999999998</v>
      </c>
      <c r="AC210" s="2">
        <v>2318675.2999999998</v>
      </c>
    </row>
    <row r="211" spans="1:30" x14ac:dyDescent="0.35">
      <c r="A211" t="s">
        <v>40</v>
      </c>
      <c r="B211" s="2">
        <v>0</v>
      </c>
      <c r="C211" s="2">
        <v>-5040</v>
      </c>
      <c r="D211" s="2">
        <v>-5040</v>
      </c>
      <c r="U211" t="s">
        <v>40</v>
      </c>
      <c r="V211" s="1">
        <v>0</v>
      </c>
      <c r="W211" s="15">
        <v>-5040</v>
      </c>
      <c r="X211" s="2">
        <v>-5040</v>
      </c>
      <c r="Z211" t="s">
        <v>40</v>
      </c>
      <c r="AA211" s="1">
        <v>0</v>
      </c>
      <c r="AB211" s="1">
        <v>0</v>
      </c>
      <c r="AC211" s="2">
        <v>0</v>
      </c>
    </row>
    <row r="212" spans="1:30" x14ac:dyDescent="0.35">
      <c r="A212" t="s">
        <v>41</v>
      </c>
      <c r="B212" s="2">
        <v>0</v>
      </c>
      <c r="C212" s="2">
        <v>-1800871</v>
      </c>
      <c r="D212" s="2">
        <v>-1800871</v>
      </c>
      <c r="U212" t="s">
        <v>41</v>
      </c>
      <c r="V212" s="1">
        <v>0</v>
      </c>
      <c r="W212" s="15">
        <v>-34246</v>
      </c>
      <c r="X212" s="2">
        <v>-34246</v>
      </c>
      <c r="Z212" t="s">
        <v>41</v>
      </c>
      <c r="AA212" s="1">
        <v>0</v>
      </c>
      <c r="AB212" s="1">
        <v>-1766625</v>
      </c>
      <c r="AC212" s="2">
        <v>-1766625</v>
      </c>
    </row>
    <row r="213" spans="1:30" x14ac:dyDescent="0.35">
      <c r="A213" t="s">
        <v>42</v>
      </c>
      <c r="B213" s="2">
        <v>0</v>
      </c>
      <c r="C213" s="2">
        <v>0</v>
      </c>
      <c r="D213" s="2">
        <v>0</v>
      </c>
      <c r="U213" t="s">
        <v>42</v>
      </c>
      <c r="V213" s="1">
        <v>0</v>
      </c>
      <c r="W213" s="15">
        <v>0</v>
      </c>
      <c r="X213" s="2">
        <v>0</v>
      </c>
      <c r="Z213" t="s">
        <v>42</v>
      </c>
      <c r="AA213" s="1">
        <v>0</v>
      </c>
      <c r="AB213" s="1">
        <v>0</v>
      </c>
      <c r="AC213" s="2">
        <v>0</v>
      </c>
    </row>
    <row r="214" spans="1:30" x14ac:dyDescent="0.35">
      <c r="A214" t="s">
        <v>4</v>
      </c>
      <c r="B214" s="2">
        <v>0</v>
      </c>
      <c r="C214" s="2">
        <v>0</v>
      </c>
      <c r="D214" s="2">
        <v>0</v>
      </c>
      <c r="U214" t="s">
        <v>4</v>
      </c>
      <c r="V214" s="1">
        <v>0</v>
      </c>
      <c r="W214" s="15">
        <v>0</v>
      </c>
      <c r="X214" s="2">
        <v>0</v>
      </c>
      <c r="Z214" t="s">
        <v>4</v>
      </c>
      <c r="AA214" s="1">
        <v>0</v>
      </c>
      <c r="AB214" s="1">
        <v>0</v>
      </c>
      <c r="AC214" s="2">
        <v>0</v>
      </c>
    </row>
    <row r="215" spans="1:30" x14ac:dyDescent="0.35">
      <c r="A215" t="s">
        <v>5</v>
      </c>
      <c r="B215" s="2">
        <v>0</v>
      </c>
      <c r="C215" s="2">
        <v>0</v>
      </c>
      <c r="D215" s="2">
        <v>0</v>
      </c>
      <c r="U215" t="s">
        <v>5</v>
      </c>
      <c r="V215" s="1">
        <v>0</v>
      </c>
      <c r="W215" s="15">
        <v>0</v>
      </c>
      <c r="X215" s="2">
        <v>0</v>
      </c>
      <c r="Z215" t="s">
        <v>5</v>
      </c>
      <c r="AA215" s="1">
        <v>0</v>
      </c>
      <c r="AB215" s="1">
        <v>0</v>
      </c>
      <c r="AC215" s="2">
        <v>0</v>
      </c>
    </row>
    <row r="216" spans="1:30" x14ac:dyDescent="0.35">
      <c r="A216" t="s">
        <v>182</v>
      </c>
      <c r="B216" s="2">
        <v>0</v>
      </c>
      <c r="C216" s="2">
        <v>-98822.729999999981</v>
      </c>
      <c r="D216" s="2">
        <v>-98822.729999999981</v>
      </c>
      <c r="U216" t="s">
        <v>182</v>
      </c>
      <c r="V216" s="1">
        <v>0</v>
      </c>
      <c r="W216" s="15">
        <v>-1919720</v>
      </c>
      <c r="X216" s="2">
        <v>-1919720</v>
      </c>
      <c r="Z216" t="s">
        <v>182</v>
      </c>
      <c r="AA216" s="1">
        <v>0</v>
      </c>
      <c r="AB216" s="1">
        <v>1820897.27</v>
      </c>
      <c r="AC216" s="2">
        <v>1820897.27</v>
      </c>
    </row>
    <row r="217" spans="1:30" x14ac:dyDescent="0.35">
      <c r="A217" s="19" t="s">
        <v>11</v>
      </c>
      <c r="B217" s="20">
        <v>0</v>
      </c>
      <c r="C217" s="20">
        <v>-8679873.75</v>
      </c>
      <c r="D217" s="20">
        <v>-8679873.75</v>
      </c>
      <c r="U217" s="19" t="s">
        <v>11</v>
      </c>
      <c r="V217" s="20">
        <v>0</v>
      </c>
      <c r="W217" s="20">
        <v>-12873886.559999999</v>
      </c>
      <c r="X217" s="20">
        <v>-12873886.559999999</v>
      </c>
      <c r="Z217" s="19" t="s">
        <v>11</v>
      </c>
      <c r="AA217" s="20">
        <v>0</v>
      </c>
      <c r="AB217" s="20">
        <v>4194012.8099999991</v>
      </c>
      <c r="AC217" s="20">
        <v>4194012.8099999991</v>
      </c>
    </row>
    <row r="218" spans="1:30" x14ac:dyDescent="0.35">
      <c r="B218" s="2"/>
      <c r="C218" s="2"/>
      <c r="V218" s="2"/>
      <c r="W218" s="15"/>
      <c r="X218" s="2"/>
      <c r="AA218" s="2"/>
      <c r="AB218" s="15"/>
      <c r="AC218" s="2"/>
    </row>
    <row r="219" spans="1:30" x14ac:dyDescent="0.35">
      <c r="B219" s="2"/>
      <c r="C219" s="2"/>
      <c r="V219" s="2"/>
      <c r="W219" s="15"/>
      <c r="X219" s="2"/>
      <c r="AA219" s="2"/>
      <c r="AB219" s="15"/>
      <c r="AC219" s="2"/>
    </row>
    <row r="220" spans="1:30" x14ac:dyDescent="0.35">
      <c r="A220" s="11" t="s">
        <v>43</v>
      </c>
      <c r="B220" s="4">
        <v>-9278718.4399999082</v>
      </c>
      <c r="C220" s="4">
        <v>65677871.310000122</v>
      </c>
      <c r="D220" s="4">
        <v>56399152.870000213</v>
      </c>
      <c r="U220" s="11" t="s">
        <v>43</v>
      </c>
      <c r="V220" s="137">
        <v>-26710740</v>
      </c>
      <c r="W220" s="4">
        <v>41273532.99999994</v>
      </c>
      <c r="X220" s="4">
        <v>14562792.99999994</v>
      </c>
      <c r="Z220" s="11" t="s">
        <v>43</v>
      </c>
      <c r="AA220" s="4">
        <v>17432021.560000099</v>
      </c>
      <c r="AB220" s="4">
        <v>24404338.310000177</v>
      </c>
      <c r="AC220" s="4">
        <v>41836359.870000273</v>
      </c>
      <c r="AD220" s="3"/>
    </row>
    <row r="221" spans="1:30" x14ac:dyDescent="0.35">
      <c r="A221" t="s">
        <v>6</v>
      </c>
      <c r="B221" s="2">
        <v>0</v>
      </c>
      <c r="C221" s="2">
        <v>-14830844.139999999</v>
      </c>
      <c r="D221" s="2">
        <v>-14830844.139999999</v>
      </c>
      <c r="U221" t="s">
        <v>6</v>
      </c>
      <c r="V221" s="1">
        <v>0</v>
      </c>
      <c r="W221" s="15">
        <v>-9188796</v>
      </c>
      <c r="X221" s="2">
        <v>-9188796</v>
      </c>
      <c r="Z221" t="s">
        <v>6</v>
      </c>
      <c r="AA221" s="1">
        <v>0</v>
      </c>
      <c r="AB221" s="1">
        <v>-5642048.1399999987</v>
      </c>
      <c r="AC221" s="2">
        <v>-5642048.1399999987</v>
      </c>
    </row>
    <row r="222" spans="1:30" x14ac:dyDescent="0.35">
      <c r="A222" s="11" t="s">
        <v>7</v>
      </c>
      <c r="B222" s="4">
        <v>-9278718.4399999082</v>
      </c>
      <c r="C222" s="4">
        <v>50847027.170000121</v>
      </c>
      <c r="D222" s="4">
        <v>41568308.730000213</v>
      </c>
      <c r="U222" s="11" t="s">
        <v>7</v>
      </c>
      <c r="V222" s="137">
        <v>-26710740</v>
      </c>
      <c r="W222" s="4">
        <v>32084736.99999994</v>
      </c>
      <c r="X222" s="4">
        <v>5373996.9999999404</v>
      </c>
      <c r="Z222" s="11" t="s">
        <v>7</v>
      </c>
      <c r="AA222" s="137">
        <v>17432021.560000099</v>
      </c>
      <c r="AB222" s="137">
        <v>18762290.170000181</v>
      </c>
      <c r="AC222" s="4">
        <v>36194311.73000028</v>
      </c>
    </row>
    <row r="223" spans="1:30" x14ac:dyDescent="0.35">
      <c r="A223" t="s">
        <v>8</v>
      </c>
      <c r="B223" s="2">
        <v>0</v>
      </c>
      <c r="C223" s="2">
        <v>-21806001.909300044</v>
      </c>
      <c r="D223" s="2">
        <v>-21806001.909300044</v>
      </c>
      <c r="U223" t="s">
        <v>8</v>
      </c>
      <c r="V223" s="1">
        <v>0</v>
      </c>
      <c r="W223" s="15">
        <v>-13630802.009099999</v>
      </c>
      <c r="X223" s="2">
        <v>-13630802.009099999</v>
      </c>
      <c r="Z223" t="s">
        <v>8</v>
      </c>
      <c r="AA223" s="1">
        <v>0</v>
      </c>
      <c r="AB223" s="1">
        <v>-8175199.9002000447</v>
      </c>
      <c r="AC223" s="2">
        <v>-8175199.9002000447</v>
      </c>
    </row>
    <row r="224" spans="1:30" x14ac:dyDescent="0.35">
      <c r="A224" s="11" t="s">
        <v>143</v>
      </c>
      <c r="B224" s="4">
        <v>-9278718.4399999082</v>
      </c>
      <c r="C224" s="4">
        <v>29041025.260700077</v>
      </c>
      <c r="D224" s="4">
        <v>19762306.820700169</v>
      </c>
      <c r="U224" s="11" t="s">
        <v>9</v>
      </c>
      <c r="V224" s="137">
        <v>-26710740</v>
      </c>
      <c r="W224" s="4">
        <v>18453934.990899943</v>
      </c>
      <c r="X224" s="4">
        <v>-8256805.009100059</v>
      </c>
      <c r="Z224" s="11" t="s">
        <v>9</v>
      </c>
      <c r="AA224" s="137">
        <v>17432021.560000099</v>
      </c>
      <c r="AB224" s="137">
        <v>10587090.269800136</v>
      </c>
      <c r="AC224" s="4">
        <v>28019111.829800233</v>
      </c>
      <c r="AD224" s="3"/>
    </row>
    <row r="225" spans="1:29" x14ac:dyDescent="0.35">
      <c r="B225" s="3">
        <v>0</v>
      </c>
      <c r="C225" s="3">
        <v>0</v>
      </c>
      <c r="V225" s="12">
        <v>0</v>
      </c>
      <c r="W225" s="12">
        <v>0</v>
      </c>
      <c r="AA225" s="12">
        <v>0</v>
      </c>
      <c r="AB225" s="12">
        <v>0</v>
      </c>
      <c r="AC225" s="12">
        <v>0</v>
      </c>
    </row>
    <row r="228" spans="1:29" ht="18.5" x14ac:dyDescent="0.35">
      <c r="A228" s="303" t="s">
        <v>146</v>
      </c>
      <c r="B228" s="303"/>
      <c r="C228" s="303"/>
      <c r="D228" s="303"/>
      <c r="F228" s="303" t="s">
        <v>163</v>
      </c>
      <c r="G228" s="303"/>
      <c r="H228" s="303"/>
      <c r="I228" s="303"/>
      <c r="K228" s="303" t="s">
        <v>174</v>
      </c>
      <c r="L228" s="303"/>
      <c r="M228" s="303"/>
      <c r="N228" s="303"/>
      <c r="P228" s="303" t="s">
        <v>177</v>
      </c>
      <c r="Q228" s="303"/>
      <c r="R228" s="303"/>
      <c r="S228" s="303"/>
      <c r="U228" s="135" t="s">
        <v>154</v>
      </c>
      <c r="V228" s="135"/>
      <c r="W228" s="135"/>
      <c r="X228" s="135"/>
      <c r="Z228" s="135" t="s">
        <v>155</v>
      </c>
      <c r="AA228" s="135"/>
      <c r="AB228" s="135"/>
      <c r="AC228" s="135"/>
    </row>
    <row r="229" spans="1:29" ht="15.5" x14ac:dyDescent="0.35">
      <c r="A229" s="8"/>
      <c r="B229" s="8" t="s">
        <v>86</v>
      </c>
      <c r="C229" s="10" t="s">
        <v>1</v>
      </c>
      <c r="D229" s="26" t="s">
        <v>48</v>
      </c>
      <c r="F229" s="24"/>
      <c r="G229" s="10" t="s">
        <v>46</v>
      </c>
      <c r="H229" s="10" t="s">
        <v>1</v>
      </c>
      <c r="I229" s="10" t="s">
        <v>48</v>
      </c>
      <c r="K229" s="8"/>
      <c r="L229" s="10" t="s">
        <v>46</v>
      </c>
      <c r="M229" s="10" t="s">
        <v>1</v>
      </c>
      <c r="N229" s="10" t="s">
        <v>48</v>
      </c>
      <c r="P229" s="8"/>
      <c r="Q229" s="10" t="s">
        <v>46</v>
      </c>
      <c r="R229" s="10" t="s">
        <v>1</v>
      </c>
      <c r="S229" s="10" t="s">
        <v>48</v>
      </c>
      <c r="U229" s="24"/>
      <c r="V229" s="10" t="s">
        <v>46</v>
      </c>
      <c r="W229" s="10" t="s">
        <v>1</v>
      </c>
      <c r="X229" s="26" t="s">
        <v>48</v>
      </c>
      <c r="Z229" s="24"/>
      <c r="AA229" s="10" t="s">
        <v>46</v>
      </c>
      <c r="AB229" s="10" t="s">
        <v>1</v>
      </c>
      <c r="AC229" s="26" t="s">
        <v>48</v>
      </c>
    </row>
    <row r="230" spans="1:29" x14ac:dyDescent="0.35">
      <c r="A230" t="s">
        <v>85</v>
      </c>
      <c r="B230" s="1">
        <v>0</v>
      </c>
      <c r="C230" s="15">
        <v>42648651.400000006</v>
      </c>
      <c r="D230" s="15">
        <v>42648651.400000006</v>
      </c>
      <c r="F230" t="s">
        <v>85</v>
      </c>
      <c r="G230" s="1">
        <v>0</v>
      </c>
      <c r="H230" s="15">
        <v>10349563</v>
      </c>
      <c r="I230" s="15">
        <v>10349563</v>
      </c>
      <c r="K230" s="2" t="s">
        <v>85</v>
      </c>
      <c r="L230" s="2">
        <v>0</v>
      </c>
      <c r="M230" s="2">
        <v>9999336.1199999973</v>
      </c>
      <c r="N230" s="2">
        <v>9999336.1199999973</v>
      </c>
      <c r="P230" t="s">
        <v>85</v>
      </c>
      <c r="Q230" s="2">
        <v>0</v>
      </c>
      <c r="R230" s="2">
        <v>20348899.119999997</v>
      </c>
      <c r="S230" s="2">
        <v>20348899.119999997</v>
      </c>
      <c r="U230" t="s">
        <v>85</v>
      </c>
      <c r="V230" s="1">
        <v>0</v>
      </c>
      <c r="W230" s="15">
        <v>10181297.160000004</v>
      </c>
      <c r="X230" s="15">
        <v>10181297.160000004</v>
      </c>
      <c r="Z230" t="s">
        <v>85</v>
      </c>
      <c r="AA230" s="1">
        <v>0</v>
      </c>
      <c r="AB230" s="1">
        <v>12118455.120000005</v>
      </c>
      <c r="AC230" s="2">
        <v>12118455.120000005</v>
      </c>
    </row>
    <row r="231" spans="1:29" x14ac:dyDescent="0.35">
      <c r="A231" t="s">
        <v>19</v>
      </c>
      <c r="B231" s="1">
        <v>0</v>
      </c>
      <c r="C231" s="15">
        <v>56015.39</v>
      </c>
      <c r="D231" s="15">
        <v>56015.39</v>
      </c>
      <c r="F231" t="s">
        <v>19</v>
      </c>
      <c r="G231" s="1">
        <v>0</v>
      </c>
      <c r="H231" s="15">
        <v>0</v>
      </c>
      <c r="I231" s="15">
        <v>0</v>
      </c>
      <c r="K231" s="2" t="s">
        <v>19</v>
      </c>
      <c r="L231" s="2">
        <v>0</v>
      </c>
      <c r="M231" s="2">
        <v>19930.760000000002</v>
      </c>
      <c r="N231" s="2">
        <v>19930.760000000002</v>
      </c>
      <c r="P231" t="s">
        <v>19</v>
      </c>
      <c r="Q231" s="2">
        <v>0</v>
      </c>
      <c r="R231" s="2">
        <v>19930.760000000002</v>
      </c>
      <c r="S231" s="2">
        <v>19930.760000000002</v>
      </c>
      <c r="U231" t="s">
        <v>19</v>
      </c>
      <c r="V231" s="1">
        <v>0</v>
      </c>
      <c r="W231" s="15">
        <v>11272.61</v>
      </c>
      <c r="X231" s="15">
        <v>11272.61</v>
      </c>
      <c r="Z231" t="s">
        <v>19</v>
      </c>
      <c r="AA231" s="1">
        <v>0</v>
      </c>
      <c r="AB231" s="1">
        <v>24812.019999999997</v>
      </c>
      <c r="AC231" s="2">
        <v>24812.019999999997</v>
      </c>
    </row>
    <row r="232" spans="1:29" x14ac:dyDescent="0.35">
      <c r="A232" t="s">
        <v>86</v>
      </c>
      <c r="B232" s="1">
        <v>0</v>
      </c>
      <c r="C232" s="15">
        <v>0</v>
      </c>
      <c r="D232" s="15">
        <v>0</v>
      </c>
      <c r="F232" t="s">
        <v>86</v>
      </c>
      <c r="G232" s="1">
        <v>0</v>
      </c>
      <c r="H232" s="15">
        <v>0</v>
      </c>
      <c r="I232" s="15">
        <v>0</v>
      </c>
      <c r="K232" s="2" t="s">
        <v>86</v>
      </c>
      <c r="L232" s="2">
        <v>0</v>
      </c>
      <c r="M232" s="2">
        <v>0</v>
      </c>
      <c r="N232" s="2">
        <v>0</v>
      </c>
      <c r="P232" t="s">
        <v>86</v>
      </c>
      <c r="Q232" s="2">
        <v>0</v>
      </c>
      <c r="R232" s="2">
        <v>0</v>
      </c>
      <c r="S232" s="2">
        <v>0</v>
      </c>
      <c r="U232" t="s">
        <v>86</v>
      </c>
      <c r="V232" s="1">
        <v>0</v>
      </c>
      <c r="W232" s="15">
        <v>0</v>
      </c>
      <c r="X232" s="15">
        <v>0</v>
      </c>
      <c r="Z232" t="s">
        <v>86</v>
      </c>
      <c r="AA232" s="1">
        <v>0</v>
      </c>
      <c r="AB232" s="1">
        <v>0</v>
      </c>
      <c r="AC232" s="2">
        <v>0</v>
      </c>
    </row>
    <row r="233" spans="1:29" x14ac:dyDescent="0.35">
      <c r="A233" t="s">
        <v>87</v>
      </c>
      <c r="B233" s="1">
        <v>0</v>
      </c>
      <c r="C233" s="15">
        <v>0</v>
      </c>
      <c r="D233" s="15">
        <v>0</v>
      </c>
      <c r="F233" t="s">
        <v>87</v>
      </c>
      <c r="G233" s="1">
        <v>0</v>
      </c>
      <c r="H233" s="15">
        <v>0</v>
      </c>
      <c r="I233" s="15">
        <v>0</v>
      </c>
      <c r="K233" s="2" t="s">
        <v>87</v>
      </c>
      <c r="L233" s="2">
        <v>0</v>
      </c>
      <c r="M233" s="2">
        <v>0</v>
      </c>
      <c r="N233" s="2">
        <v>0</v>
      </c>
      <c r="P233" t="s">
        <v>87</v>
      </c>
      <c r="Q233" s="2">
        <v>0</v>
      </c>
      <c r="R233" s="2">
        <v>0</v>
      </c>
      <c r="S233" s="2">
        <v>0</v>
      </c>
      <c r="U233" t="s">
        <v>87</v>
      </c>
      <c r="V233" s="1">
        <v>0</v>
      </c>
      <c r="W233" s="15">
        <v>0</v>
      </c>
      <c r="X233" s="15">
        <v>0</v>
      </c>
      <c r="Z233" t="s">
        <v>87</v>
      </c>
      <c r="AA233" s="1">
        <v>0</v>
      </c>
      <c r="AB233" s="1">
        <v>0</v>
      </c>
      <c r="AC233" s="2">
        <v>0</v>
      </c>
    </row>
    <row r="234" spans="1:29" x14ac:dyDescent="0.35">
      <c r="A234" s="19" t="s">
        <v>18</v>
      </c>
      <c r="B234" s="20">
        <v>0</v>
      </c>
      <c r="C234" s="20">
        <v>42704666.790000007</v>
      </c>
      <c r="D234" s="20">
        <v>42704666.790000007</v>
      </c>
      <c r="F234" s="19" t="s">
        <v>18</v>
      </c>
      <c r="G234" s="20">
        <v>0</v>
      </c>
      <c r="H234" s="20">
        <v>10349563</v>
      </c>
      <c r="I234" s="20">
        <v>10349563</v>
      </c>
      <c r="K234" s="20" t="s">
        <v>18</v>
      </c>
      <c r="L234" s="20">
        <v>0</v>
      </c>
      <c r="M234" s="20">
        <v>10019266.879999997</v>
      </c>
      <c r="N234" s="20">
        <v>10019266.879999997</v>
      </c>
      <c r="P234" s="19" t="s">
        <v>18</v>
      </c>
      <c r="Q234" s="20">
        <v>0</v>
      </c>
      <c r="R234" s="20">
        <v>20368829.879999999</v>
      </c>
      <c r="S234" s="20">
        <v>20368829.879999999</v>
      </c>
      <c r="U234" s="19" t="s">
        <v>18</v>
      </c>
      <c r="V234" s="20">
        <v>0</v>
      </c>
      <c r="W234" s="20">
        <v>10192569.770000003</v>
      </c>
      <c r="X234" s="20">
        <v>10192569.770000003</v>
      </c>
      <c r="Z234" s="19" t="s">
        <v>18</v>
      </c>
      <c r="AA234" s="20">
        <v>0</v>
      </c>
      <c r="AB234" s="20">
        <v>12143267.140000004</v>
      </c>
      <c r="AC234" s="20">
        <v>12143267.140000004</v>
      </c>
    </row>
    <row r="235" spans="1:29" x14ac:dyDescent="0.35">
      <c r="B235" s="1"/>
      <c r="C235" s="15"/>
      <c r="D235" s="15"/>
      <c r="K235" s="2"/>
      <c r="L235" s="2"/>
      <c r="M235" s="15"/>
      <c r="N235" s="2"/>
      <c r="Q235" s="2"/>
      <c r="R235" s="15"/>
      <c r="S235" s="2"/>
      <c r="V235" s="1"/>
      <c r="W235" s="15"/>
      <c r="X235" s="15"/>
      <c r="AA235" s="1"/>
      <c r="AB235" s="15"/>
      <c r="AC235" s="2"/>
    </row>
    <row r="236" spans="1:29" x14ac:dyDescent="0.35">
      <c r="B236" s="1"/>
      <c r="C236" s="15"/>
      <c r="D236" s="15"/>
      <c r="K236" s="2"/>
      <c r="L236" s="2"/>
      <c r="M236" s="15"/>
      <c r="N236" s="2"/>
      <c r="Q236" s="2"/>
      <c r="R236" s="15"/>
      <c r="S236" s="2"/>
      <c r="V236" s="1"/>
      <c r="W236" s="15"/>
      <c r="X236" s="15"/>
      <c r="AA236" s="1"/>
      <c r="AB236" s="15"/>
      <c r="AC236" s="2"/>
    </row>
    <row r="237" spans="1:29" x14ac:dyDescent="0.35">
      <c r="A237" t="s">
        <v>12</v>
      </c>
      <c r="B237" s="1">
        <v>515434968.19999999</v>
      </c>
      <c r="C237" s="15">
        <v>22977791.949999996</v>
      </c>
      <c r="D237" s="15">
        <v>538412760.14999998</v>
      </c>
      <c r="F237" t="s">
        <v>12</v>
      </c>
      <c r="G237" s="1">
        <v>162714761</v>
      </c>
      <c r="H237" s="15">
        <v>7835898</v>
      </c>
      <c r="I237" s="15">
        <v>170550659</v>
      </c>
      <c r="K237" s="2" t="s">
        <v>12</v>
      </c>
      <c r="L237" s="2">
        <v>140421849.94999987</v>
      </c>
      <c r="M237" s="2">
        <v>4646466.9099999983</v>
      </c>
      <c r="N237" s="2">
        <v>145068316.85999987</v>
      </c>
      <c r="P237" t="s">
        <v>12</v>
      </c>
      <c r="Q237" s="2">
        <v>303136610.94999987</v>
      </c>
      <c r="R237" s="2">
        <v>12482364.909999998</v>
      </c>
      <c r="S237" s="2">
        <v>315618975.8599999</v>
      </c>
      <c r="U237" t="s">
        <v>12</v>
      </c>
      <c r="V237" s="1">
        <v>115718426.46000016</v>
      </c>
      <c r="W237" s="15">
        <v>5041953.8899999987</v>
      </c>
      <c r="X237" s="15">
        <v>120760380.35000016</v>
      </c>
      <c r="Z237" t="s">
        <v>12</v>
      </c>
      <c r="AA237" s="1">
        <v>96579930.789999962</v>
      </c>
      <c r="AB237" s="1">
        <v>5453473.1499999966</v>
      </c>
      <c r="AC237" s="2">
        <v>102033403.93999995</v>
      </c>
    </row>
    <row r="238" spans="1:29" x14ac:dyDescent="0.35">
      <c r="A238" t="s">
        <v>3</v>
      </c>
      <c r="B238" s="1">
        <v>-462395788.01999992</v>
      </c>
      <c r="C238" s="15">
        <v>-2807920.1500000004</v>
      </c>
      <c r="D238" s="15">
        <v>-465203708.1699999</v>
      </c>
      <c r="F238" t="s">
        <v>3</v>
      </c>
      <c r="G238" s="1">
        <v>-140804321</v>
      </c>
      <c r="H238" s="15">
        <v>-2177096</v>
      </c>
      <c r="I238" s="15">
        <v>-142981417</v>
      </c>
      <c r="K238" s="2" t="s">
        <v>3</v>
      </c>
      <c r="L238" s="2">
        <v>-123212485.66</v>
      </c>
      <c r="M238" s="2">
        <v>-207361.4700000002</v>
      </c>
      <c r="N238" s="2">
        <v>-123419847.13</v>
      </c>
      <c r="P238" t="s">
        <v>3</v>
      </c>
      <c r="Q238" s="2">
        <v>-264016806.66</v>
      </c>
      <c r="R238" s="2">
        <v>-2384457.4700000002</v>
      </c>
      <c r="S238" s="2">
        <v>-266401264.13</v>
      </c>
      <c r="U238" t="s">
        <v>3</v>
      </c>
      <c r="V238" s="1">
        <v>-107853347.60000005</v>
      </c>
      <c r="W238" s="15">
        <v>-284195.56000000006</v>
      </c>
      <c r="X238" s="15">
        <v>-108137543.16000006</v>
      </c>
      <c r="Z238" t="s">
        <v>3</v>
      </c>
      <c r="AA238" s="1">
        <v>-90525633.759999841</v>
      </c>
      <c r="AB238" s="1">
        <v>-139267.12000000011</v>
      </c>
      <c r="AC238" s="2">
        <v>-90664900.879999846</v>
      </c>
    </row>
    <row r="239" spans="1:29" x14ac:dyDescent="0.35">
      <c r="A239" t="s">
        <v>88</v>
      </c>
      <c r="B239" s="1">
        <v>39299107.549999997</v>
      </c>
      <c r="C239" s="15">
        <v>4884339.5199999996</v>
      </c>
      <c r="D239" s="15">
        <v>44183447.069999993</v>
      </c>
      <c r="F239" t="s">
        <v>88</v>
      </c>
      <c r="G239" s="1">
        <v>10961407</v>
      </c>
      <c r="H239" s="15">
        <v>1082650</v>
      </c>
      <c r="I239" s="15">
        <v>12044057</v>
      </c>
      <c r="K239" s="2" t="s">
        <v>88</v>
      </c>
      <c r="L239" s="2">
        <v>9713862.3900000006</v>
      </c>
      <c r="M239" s="2">
        <v>878884.81</v>
      </c>
      <c r="N239" s="2">
        <v>10592747.200000001</v>
      </c>
      <c r="P239" t="s">
        <v>88</v>
      </c>
      <c r="Q239" s="2">
        <v>20675269.390000001</v>
      </c>
      <c r="R239" s="2">
        <v>1961534.81</v>
      </c>
      <c r="S239" s="2">
        <v>22636804.199999999</v>
      </c>
      <c r="U239" t="s">
        <v>88</v>
      </c>
      <c r="V239" s="1">
        <v>9996407.2799999975</v>
      </c>
      <c r="W239" s="15">
        <v>1673824.08</v>
      </c>
      <c r="X239" s="15">
        <v>11670231.359999998</v>
      </c>
      <c r="Z239" t="s">
        <v>88</v>
      </c>
      <c r="AA239" s="1">
        <v>8627430.879999999</v>
      </c>
      <c r="AB239" s="1">
        <v>1248980.6299999994</v>
      </c>
      <c r="AC239" s="2">
        <v>9876411.5099999979</v>
      </c>
    </row>
    <row r="240" spans="1:29" x14ac:dyDescent="0.35">
      <c r="A240" t="s">
        <v>13</v>
      </c>
      <c r="B240" s="1">
        <v>-29460594.990000002</v>
      </c>
      <c r="C240" s="15">
        <v>-856146.7</v>
      </c>
      <c r="D240" s="15">
        <v>-30316741.690000001</v>
      </c>
      <c r="F240" t="s">
        <v>13</v>
      </c>
      <c r="G240" s="1">
        <v>-8647477</v>
      </c>
      <c r="H240" s="15">
        <v>-271162</v>
      </c>
      <c r="I240" s="15">
        <v>-8918639</v>
      </c>
      <c r="K240" s="2" t="s">
        <v>13</v>
      </c>
      <c r="L240" s="2">
        <v>-7206875.4499999993</v>
      </c>
      <c r="M240" s="2">
        <v>-225098.22999999998</v>
      </c>
      <c r="N240" s="2">
        <v>-7431973.6799999997</v>
      </c>
      <c r="P240" t="s">
        <v>13</v>
      </c>
      <c r="Q240" s="2">
        <v>-15854352.449999999</v>
      </c>
      <c r="R240" s="2">
        <v>-496260.23</v>
      </c>
      <c r="S240" s="2">
        <v>-16350612.68</v>
      </c>
      <c r="U240" t="s">
        <v>13</v>
      </c>
      <c r="V240" s="1">
        <v>-3102379.0199999996</v>
      </c>
      <c r="W240" s="15">
        <v>-152181.16999999993</v>
      </c>
      <c r="X240" s="15">
        <v>-3254560.1899999995</v>
      </c>
      <c r="Z240" t="s">
        <v>13</v>
      </c>
      <c r="AA240" s="1">
        <v>-10503863.520000003</v>
      </c>
      <c r="AB240" s="1">
        <v>-207705.30000000005</v>
      </c>
      <c r="AC240" s="2">
        <v>-10711568.820000004</v>
      </c>
    </row>
    <row r="241" spans="1:29" x14ac:dyDescent="0.35">
      <c r="A241" s="19" t="s">
        <v>14</v>
      </c>
      <c r="B241" s="20">
        <v>62877692.740000062</v>
      </c>
      <c r="C241" s="20">
        <v>24198064.619999997</v>
      </c>
      <c r="D241" s="20">
        <v>87075757.360000059</v>
      </c>
      <c r="F241" s="19" t="s">
        <v>14</v>
      </c>
      <c r="G241" s="20">
        <v>24224370</v>
      </c>
      <c r="H241" s="20">
        <v>6470290</v>
      </c>
      <c r="I241" s="20">
        <v>30694660</v>
      </c>
      <c r="K241" s="20" t="s">
        <v>14</v>
      </c>
      <c r="L241" s="20">
        <v>19716351.229999874</v>
      </c>
      <c r="M241" s="20">
        <v>5092892.0199999977</v>
      </c>
      <c r="N241" s="20">
        <v>24809243.249999873</v>
      </c>
      <c r="P241" s="19" t="s">
        <v>14</v>
      </c>
      <c r="Q241" s="20">
        <v>43940721.22999987</v>
      </c>
      <c r="R241" s="20">
        <v>11563182.019999998</v>
      </c>
      <c r="S241" s="20">
        <v>55503903.249999866</v>
      </c>
      <c r="U241" s="19" t="s">
        <v>14</v>
      </c>
      <c r="V241" s="20">
        <v>14759107.120000102</v>
      </c>
      <c r="W241" s="20">
        <v>6279401.2399999984</v>
      </c>
      <c r="X241" s="20">
        <v>21038508.3600001</v>
      </c>
      <c r="Z241" s="19" t="s">
        <v>14</v>
      </c>
      <c r="AA241" s="20">
        <v>4177864.3900001161</v>
      </c>
      <c r="AB241" s="20">
        <v>6355481.3599999966</v>
      </c>
      <c r="AC241" s="20">
        <v>10533345.750000112</v>
      </c>
    </row>
    <row r="242" spans="1:29" x14ac:dyDescent="0.35">
      <c r="B242" s="2"/>
      <c r="C242" s="15"/>
      <c r="D242" s="15"/>
      <c r="K242" s="2"/>
      <c r="L242" s="2"/>
      <c r="M242" s="15"/>
      <c r="N242" s="2"/>
      <c r="Q242" s="2"/>
      <c r="R242" s="15"/>
      <c r="S242" s="2"/>
      <c r="V242" s="12"/>
      <c r="W242" s="15"/>
      <c r="X242" s="15"/>
      <c r="AA242" s="12"/>
      <c r="AB242" s="15"/>
      <c r="AC242" s="2"/>
    </row>
    <row r="243" spans="1:29" x14ac:dyDescent="0.35">
      <c r="B243" s="2"/>
      <c r="C243" s="15"/>
      <c r="D243" s="15"/>
      <c r="K243" s="2"/>
      <c r="L243" s="2"/>
      <c r="M243" s="15"/>
      <c r="N243" s="2"/>
      <c r="Q243" s="2"/>
      <c r="R243" s="15"/>
      <c r="S243" s="2"/>
      <c r="V243" s="12"/>
      <c r="W243" s="15"/>
      <c r="X243" s="15"/>
      <c r="AA243" s="12"/>
      <c r="AB243" s="15"/>
      <c r="AC243" s="2"/>
    </row>
    <row r="244" spans="1:29" x14ac:dyDescent="0.35">
      <c r="A244" t="s">
        <v>15</v>
      </c>
      <c r="B244" s="1">
        <v>0</v>
      </c>
      <c r="C244" s="15">
        <v>8078799.3200000003</v>
      </c>
      <c r="D244" s="15">
        <v>8078799.3200000003</v>
      </c>
      <c r="F244" t="s">
        <v>15</v>
      </c>
      <c r="G244" s="1">
        <v>0</v>
      </c>
      <c r="H244" s="15">
        <v>1973408</v>
      </c>
      <c r="I244" s="15">
        <v>1973408</v>
      </c>
      <c r="K244" s="2" t="s">
        <v>15</v>
      </c>
      <c r="L244" s="2">
        <v>0</v>
      </c>
      <c r="M244" s="2">
        <v>2143059.17</v>
      </c>
      <c r="N244" s="2">
        <v>2143059.17</v>
      </c>
      <c r="P244" t="s">
        <v>15</v>
      </c>
      <c r="Q244" s="2">
        <v>0</v>
      </c>
      <c r="R244" s="2">
        <v>4116467.17</v>
      </c>
      <c r="S244" s="2">
        <v>4116467.17</v>
      </c>
      <c r="U244" t="s">
        <v>15</v>
      </c>
      <c r="V244" s="1">
        <v>0</v>
      </c>
      <c r="W244" s="15">
        <v>2102668.5500000007</v>
      </c>
      <c r="X244" s="15">
        <v>2102668.5500000007</v>
      </c>
      <c r="Z244" t="s">
        <v>15</v>
      </c>
      <c r="AA244" s="1">
        <v>0</v>
      </c>
      <c r="AB244" s="1">
        <v>1859663.5999999996</v>
      </c>
      <c r="AC244" s="2">
        <v>1859663.5999999996</v>
      </c>
    </row>
    <row r="245" spans="1:29" x14ac:dyDescent="0.35">
      <c r="A245" t="s">
        <v>16</v>
      </c>
      <c r="B245" s="1">
        <v>0</v>
      </c>
      <c r="C245" s="15">
        <v>-6440615</v>
      </c>
      <c r="D245" s="15">
        <v>-6440615</v>
      </c>
      <c r="F245" t="s">
        <v>16</v>
      </c>
      <c r="G245" s="1">
        <v>0</v>
      </c>
      <c r="H245" s="15">
        <v>-9956723</v>
      </c>
      <c r="I245" s="15">
        <v>-9956723</v>
      </c>
      <c r="K245" s="2" t="s">
        <v>16</v>
      </c>
      <c r="L245" s="2">
        <v>0</v>
      </c>
      <c r="M245" s="2">
        <v>6366717.21</v>
      </c>
      <c r="N245" s="2">
        <v>6366717.21</v>
      </c>
      <c r="P245" t="s">
        <v>16</v>
      </c>
      <c r="Q245" s="2">
        <v>0</v>
      </c>
      <c r="R245" s="2">
        <v>-3590005.79</v>
      </c>
      <c r="S245" s="2">
        <v>-3590005.79</v>
      </c>
      <c r="U245" t="s">
        <v>16</v>
      </c>
      <c r="V245" s="1">
        <v>0</v>
      </c>
      <c r="W245" s="15">
        <v>-1499949.0300000003</v>
      </c>
      <c r="X245" s="15">
        <v>-1499949.0300000003</v>
      </c>
      <c r="Z245" t="s">
        <v>16</v>
      </c>
      <c r="AA245" s="1">
        <v>0</v>
      </c>
      <c r="AB245" s="1">
        <v>-1350660.1799999997</v>
      </c>
      <c r="AC245" s="2">
        <v>-1350660.1799999997</v>
      </c>
    </row>
    <row r="246" spans="1:29" x14ac:dyDescent="0.35">
      <c r="A246" s="19" t="s">
        <v>17</v>
      </c>
      <c r="B246" s="20">
        <v>0</v>
      </c>
      <c r="C246" s="20">
        <v>1638184.3200000003</v>
      </c>
      <c r="D246" s="20">
        <v>1638184.3200000003</v>
      </c>
      <c r="F246" s="19" t="s">
        <v>17</v>
      </c>
      <c r="G246" s="20">
        <v>0</v>
      </c>
      <c r="H246" s="20">
        <v>-7983315</v>
      </c>
      <c r="I246" s="20">
        <v>-7983315</v>
      </c>
      <c r="K246" s="20" t="s">
        <v>17</v>
      </c>
      <c r="L246" s="20">
        <v>0</v>
      </c>
      <c r="M246" s="20">
        <v>8509776.379999999</v>
      </c>
      <c r="N246" s="20">
        <v>8509776.379999999</v>
      </c>
      <c r="P246" s="19" t="s">
        <v>17</v>
      </c>
      <c r="Q246" s="20">
        <v>0</v>
      </c>
      <c r="R246" s="20">
        <v>526461.37999999989</v>
      </c>
      <c r="S246" s="20">
        <v>526461.37999999989</v>
      </c>
      <c r="U246" s="19" t="s">
        <v>17</v>
      </c>
      <c r="V246" s="20">
        <v>0</v>
      </c>
      <c r="W246" s="20">
        <v>602719.52000000048</v>
      </c>
      <c r="X246" s="20">
        <v>602719.52000000048</v>
      </c>
      <c r="Z246" s="19" t="s">
        <v>17</v>
      </c>
      <c r="AA246" s="20">
        <v>0</v>
      </c>
      <c r="AB246" s="20">
        <v>509003.41999999993</v>
      </c>
      <c r="AC246" s="20">
        <v>509003.41999999993</v>
      </c>
    </row>
    <row r="247" spans="1:29" x14ac:dyDescent="0.35">
      <c r="B247" s="1"/>
      <c r="C247" s="15"/>
      <c r="D247" s="15"/>
      <c r="K247" s="2"/>
      <c r="L247" s="2"/>
      <c r="M247" s="15"/>
      <c r="N247" s="2"/>
      <c r="Q247" s="2"/>
      <c r="R247" s="15"/>
      <c r="S247" s="2"/>
      <c r="V247" s="1"/>
      <c r="W247" s="15"/>
      <c r="X247" s="15"/>
      <c r="AA247" s="1"/>
      <c r="AB247" s="15"/>
      <c r="AC247" s="2"/>
    </row>
    <row r="248" spans="1:29" x14ac:dyDescent="0.35">
      <c r="B248" s="1"/>
      <c r="C248" s="15"/>
      <c r="D248" s="15"/>
      <c r="K248" s="2"/>
      <c r="L248" s="2"/>
      <c r="M248" s="15"/>
      <c r="N248" s="2"/>
      <c r="Q248" s="2"/>
      <c r="R248" s="15"/>
      <c r="S248" s="2"/>
      <c r="V248" s="1"/>
      <c r="W248" s="15"/>
      <c r="X248" s="15"/>
      <c r="AA248" s="1"/>
      <c r="AB248" s="15"/>
      <c r="AC248" s="2"/>
    </row>
    <row r="249" spans="1:29" x14ac:dyDescent="0.35">
      <c r="A249" s="16" t="s">
        <v>20</v>
      </c>
      <c r="B249" s="27">
        <v>0</v>
      </c>
      <c r="C249" s="28">
        <v>0</v>
      </c>
      <c r="D249" s="21">
        <v>0</v>
      </c>
      <c r="F249" t="s">
        <v>20</v>
      </c>
      <c r="G249" s="1">
        <v>0</v>
      </c>
      <c r="H249" s="15">
        <v>0</v>
      </c>
      <c r="I249" s="15">
        <v>0</v>
      </c>
      <c r="K249" s="7" t="s">
        <v>20</v>
      </c>
      <c r="L249" s="2">
        <v>0</v>
      </c>
      <c r="M249" s="2">
        <v>0</v>
      </c>
      <c r="N249" s="7">
        <v>0</v>
      </c>
      <c r="P249" s="6" t="s">
        <v>20</v>
      </c>
      <c r="Q249" s="2">
        <v>0</v>
      </c>
      <c r="R249" s="2">
        <v>0</v>
      </c>
      <c r="S249" s="7">
        <v>0</v>
      </c>
      <c r="U249" s="16" t="s">
        <v>20</v>
      </c>
      <c r="V249" s="27">
        <v>0</v>
      </c>
      <c r="W249" s="28">
        <v>0</v>
      </c>
      <c r="X249" s="21">
        <v>0</v>
      </c>
      <c r="Z249" s="16" t="s">
        <v>20</v>
      </c>
      <c r="AA249" s="27">
        <v>0</v>
      </c>
      <c r="AB249" s="28">
        <v>0</v>
      </c>
      <c r="AC249" s="17">
        <v>0</v>
      </c>
    </row>
    <row r="250" spans="1:29" x14ac:dyDescent="0.35">
      <c r="B250" s="1"/>
      <c r="C250" s="15"/>
      <c r="D250" s="15"/>
      <c r="F250" s="13"/>
      <c r="G250" s="13"/>
      <c r="H250" s="13"/>
      <c r="I250" s="13"/>
      <c r="K250" s="155"/>
      <c r="L250" s="155"/>
      <c r="M250" s="156"/>
      <c r="N250" s="155"/>
      <c r="P250" s="13"/>
      <c r="Q250" s="155"/>
      <c r="R250" s="156"/>
      <c r="S250" s="155"/>
      <c r="V250" s="1"/>
      <c r="W250" s="15"/>
      <c r="X250" s="15"/>
      <c r="AA250" s="1"/>
      <c r="AB250" s="15"/>
      <c r="AC250" s="2"/>
    </row>
    <row r="251" spans="1:29" x14ac:dyDescent="0.35">
      <c r="B251" s="1"/>
      <c r="C251" s="15"/>
      <c r="D251" s="15"/>
      <c r="K251" s="2"/>
      <c r="L251" s="2"/>
      <c r="M251" s="15"/>
      <c r="N251" s="2"/>
      <c r="Q251" s="2"/>
      <c r="R251" s="15"/>
      <c r="S251" s="2"/>
      <c r="X251" s="15"/>
      <c r="AC251" s="2"/>
    </row>
    <row r="252" spans="1:29" x14ac:dyDescent="0.35">
      <c r="B252" s="1"/>
      <c r="C252" s="15"/>
      <c r="D252" s="15"/>
      <c r="K252" s="2"/>
      <c r="L252" s="2"/>
      <c r="M252" s="15"/>
      <c r="N252" s="2"/>
      <c r="Q252" s="2"/>
      <c r="R252" s="15"/>
      <c r="S252" s="2"/>
      <c r="X252" s="15"/>
      <c r="AC252" s="2"/>
    </row>
    <row r="253" spans="1:29" x14ac:dyDescent="0.35">
      <c r="A253" t="s">
        <v>0</v>
      </c>
      <c r="B253" s="1">
        <v>0</v>
      </c>
      <c r="C253" s="15">
        <v>342579810.94</v>
      </c>
      <c r="D253" s="15">
        <v>342579810.94</v>
      </c>
      <c r="F253" t="s">
        <v>0</v>
      </c>
      <c r="G253" s="1">
        <v>0</v>
      </c>
      <c r="H253" s="15">
        <v>173370166</v>
      </c>
      <c r="I253" s="15">
        <v>173370166</v>
      </c>
      <c r="K253" s="2" t="s">
        <v>0</v>
      </c>
      <c r="L253" s="2">
        <v>0</v>
      </c>
      <c r="M253" s="2">
        <v>96001847.569999993</v>
      </c>
      <c r="N253" s="2">
        <v>96001847.569999993</v>
      </c>
      <c r="P253" t="s">
        <v>0</v>
      </c>
      <c r="Q253" s="2">
        <v>0</v>
      </c>
      <c r="R253" s="2">
        <v>269372013.56999999</v>
      </c>
      <c r="S253" s="2">
        <v>269372013.56999999</v>
      </c>
      <c r="U253" t="s">
        <v>0</v>
      </c>
      <c r="V253" s="1">
        <v>0</v>
      </c>
      <c r="W253" s="15">
        <v>68110096.860000014</v>
      </c>
      <c r="X253" s="15">
        <v>68110096.860000014</v>
      </c>
      <c r="Z253" t="s">
        <v>0</v>
      </c>
      <c r="AA253" s="1">
        <v>0</v>
      </c>
      <c r="AB253" s="1">
        <v>5097700.5099999905</v>
      </c>
      <c r="AC253" s="2">
        <v>5097700.5099999905</v>
      </c>
    </row>
    <row r="254" spans="1:29" x14ac:dyDescent="0.35">
      <c r="A254" t="s">
        <v>2</v>
      </c>
      <c r="B254" s="1">
        <v>0</v>
      </c>
      <c r="C254" s="15">
        <v>-333430064.91000003</v>
      </c>
      <c r="D254" s="15">
        <v>-333430064.91000003</v>
      </c>
      <c r="F254" t="s">
        <v>2</v>
      </c>
      <c r="G254" s="1">
        <v>0</v>
      </c>
      <c r="H254" s="15">
        <v>-161163282</v>
      </c>
      <c r="I254" s="15">
        <v>-161163282</v>
      </c>
      <c r="K254" s="2" t="s">
        <v>2</v>
      </c>
      <c r="L254" s="2">
        <v>0</v>
      </c>
      <c r="M254" s="2">
        <v>-104490164.53999999</v>
      </c>
      <c r="N254" s="2">
        <v>-104490164.53999999</v>
      </c>
      <c r="P254" t="s">
        <v>2</v>
      </c>
      <c r="Q254" s="2">
        <v>0</v>
      </c>
      <c r="R254" s="2">
        <v>-265653446.53999999</v>
      </c>
      <c r="S254" s="2">
        <v>-265653446.53999999</v>
      </c>
      <c r="U254" t="s">
        <v>2</v>
      </c>
      <c r="V254" s="1">
        <v>0</v>
      </c>
      <c r="W254" s="15">
        <v>-65171618.610000044</v>
      </c>
      <c r="X254" s="15">
        <v>-65171618.610000044</v>
      </c>
      <c r="Z254" t="s">
        <v>2</v>
      </c>
      <c r="AA254" s="1">
        <v>0</v>
      </c>
      <c r="AB254" s="1">
        <v>-2604999.7599999905</v>
      </c>
      <c r="AC254" s="2">
        <v>-2604999.7599999905</v>
      </c>
    </row>
    <row r="255" spans="1:29" x14ac:dyDescent="0.35">
      <c r="A255" s="19" t="s">
        <v>21</v>
      </c>
      <c r="B255" s="20">
        <v>0</v>
      </c>
      <c r="C255" s="20">
        <v>9149746.0299999714</v>
      </c>
      <c r="D255" s="20">
        <v>9149746.0299999714</v>
      </c>
      <c r="F255" s="19" t="s">
        <v>21</v>
      </c>
      <c r="G255" s="20">
        <v>0</v>
      </c>
      <c r="H255" s="20">
        <v>12206884</v>
      </c>
      <c r="I255" s="20">
        <v>12206884</v>
      </c>
      <c r="K255" s="20" t="s">
        <v>21</v>
      </c>
      <c r="L255" s="20">
        <v>0</v>
      </c>
      <c r="M255" s="20">
        <v>-8488316.9699999988</v>
      </c>
      <c r="N255" s="20">
        <v>-8488316.9699999988</v>
      </c>
      <c r="P255" s="19" t="s">
        <v>21</v>
      </c>
      <c r="Q255" s="20">
        <v>0</v>
      </c>
      <c r="R255" s="20">
        <v>3718567.0300000012</v>
      </c>
      <c r="S255" s="20">
        <v>3718567.0300000012</v>
      </c>
      <c r="U255" s="19" t="s">
        <v>21</v>
      </c>
      <c r="V255" s="20">
        <v>0</v>
      </c>
      <c r="W255" s="20">
        <v>2938478.2499999702</v>
      </c>
      <c r="X255" s="20">
        <v>2938478.2499999702</v>
      </c>
      <c r="Z255" s="19" t="s">
        <v>21</v>
      </c>
      <c r="AA255" s="20">
        <v>0</v>
      </c>
      <c r="AB255" s="20">
        <v>2492700.75</v>
      </c>
      <c r="AC255" s="20">
        <v>2492700.75</v>
      </c>
    </row>
    <row r="256" spans="1:29" x14ac:dyDescent="0.35">
      <c r="B256" s="2"/>
      <c r="C256" s="15"/>
      <c r="D256" s="15"/>
      <c r="K256" s="2"/>
      <c r="L256" s="2"/>
      <c r="M256" s="15"/>
      <c r="N256" s="2"/>
      <c r="Q256" s="2"/>
      <c r="R256" s="15"/>
      <c r="S256" s="2"/>
      <c r="V256" s="2"/>
      <c r="W256" s="15"/>
      <c r="X256" s="15"/>
      <c r="AA256" s="2"/>
      <c r="AB256" s="15"/>
      <c r="AC256" s="2"/>
    </row>
    <row r="257" spans="1:29" x14ac:dyDescent="0.35">
      <c r="B257" s="2"/>
      <c r="C257" s="15"/>
      <c r="D257" s="15"/>
      <c r="K257" s="2"/>
      <c r="L257" s="2"/>
      <c r="M257" s="15"/>
      <c r="N257" s="2"/>
      <c r="Q257" s="2"/>
      <c r="R257" s="15"/>
      <c r="S257" s="2"/>
      <c r="V257" s="2"/>
      <c r="W257" s="15"/>
      <c r="X257" s="15"/>
      <c r="AA257" s="2"/>
      <c r="AB257" s="15"/>
      <c r="AC257" s="2"/>
    </row>
    <row r="258" spans="1:29" x14ac:dyDescent="0.35">
      <c r="A258" t="s">
        <v>24</v>
      </c>
      <c r="B258" s="1">
        <v>0</v>
      </c>
      <c r="C258" s="15">
        <v>0</v>
      </c>
      <c r="D258" s="15">
        <v>0</v>
      </c>
      <c r="F258" t="s">
        <v>24</v>
      </c>
      <c r="G258" s="1">
        <v>0</v>
      </c>
      <c r="H258" s="15">
        <v>0</v>
      </c>
      <c r="I258" s="15">
        <v>0</v>
      </c>
      <c r="K258" s="2" t="s">
        <v>24</v>
      </c>
      <c r="L258" s="2">
        <v>0</v>
      </c>
      <c r="M258" s="2">
        <v>0</v>
      </c>
      <c r="N258" s="2">
        <v>0</v>
      </c>
      <c r="P258" t="s">
        <v>24</v>
      </c>
      <c r="Q258" s="2">
        <v>0</v>
      </c>
      <c r="R258" s="2">
        <v>0</v>
      </c>
      <c r="S258" s="2">
        <v>0</v>
      </c>
      <c r="U258" t="s">
        <v>24</v>
      </c>
      <c r="V258" s="1">
        <v>0</v>
      </c>
      <c r="W258" s="15">
        <v>0</v>
      </c>
      <c r="X258" s="15">
        <v>0</v>
      </c>
      <c r="Z258" t="s">
        <v>24</v>
      </c>
      <c r="AA258" s="1">
        <v>0</v>
      </c>
      <c r="AB258" s="1">
        <v>0</v>
      </c>
      <c r="AC258" s="2">
        <v>0</v>
      </c>
    </row>
    <row r="259" spans="1:29" x14ac:dyDescent="0.35">
      <c r="A259" t="s">
        <v>25</v>
      </c>
      <c r="B259" s="1">
        <v>0</v>
      </c>
      <c r="C259" s="15">
        <v>0</v>
      </c>
      <c r="D259" s="15">
        <v>0</v>
      </c>
      <c r="F259" t="s">
        <v>25</v>
      </c>
      <c r="G259" s="1">
        <v>0</v>
      </c>
      <c r="H259" s="15">
        <v>0</v>
      </c>
      <c r="I259" s="15">
        <v>0</v>
      </c>
      <c r="K259" s="2" t="s">
        <v>25</v>
      </c>
      <c r="L259" s="2">
        <v>0</v>
      </c>
      <c r="M259" s="2">
        <v>0</v>
      </c>
      <c r="N259" s="2">
        <v>0</v>
      </c>
      <c r="P259" t="s">
        <v>25</v>
      </c>
      <c r="Q259" s="2">
        <v>0</v>
      </c>
      <c r="R259" s="2">
        <v>0</v>
      </c>
      <c r="S259" s="2">
        <v>0</v>
      </c>
      <c r="U259" t="s">
        <v>25</v>
      </c>
      <c r="V259" s="1">
        <v>0</v>
      </c>
      <c r="W259" s="15">
        <v>0</v>
      </c>
      <c r="X259" s="15">
        <v>0</v>
      </c>
      <c r="Z259" t="s">
        <v>25</v>
      </c>
      <c r="AA259" s="1">
        <v>0</v>
      </c>
      <c r="AB259" s="1">
        <v>0</v>
      </c>
      <c r="AC259" s="2">
        <v>0</v>
      </c>
    </row>
    <row r="260" spans="1:29" x14ac:dyDescent="0.35">
      <c r="A260" t="s">
        <v>26</v>
      </c>
      <c r="B260" s="1">
        <v>0</v>
      </c>
      <c r="C260" s="15">
        <v>0</v>
      </c>
      <c r="D260" s="15">
        <v>0</v>
      </c>
      <c r="F260" t="s">
        <v>26</v>
      </c>
      <c r="G260" s="1">
        <v>0</v>
      </c>
      <c r="H260" s="15">
        <v>0</v>
      </c>
      <c r="I260" s="15">
        <v>0</v>
      </c>
      <c r="K260" s="2" t="s">
        <v>26</v>
      </c>
      <c r="L260" s="2">
        <v>0</v>
      </c>
      <c r="M260" s="2">
        <v>0</v>
      </c>
      <c r="N260" s="2">
        <v>0</v>
      </c>
      <c r="P260" t="s">
        <v>26</v>
      </c>
      <c r="Q260" s="2">
        <v>0</v>
      </c>
      <c r="R260" s="2">
        <v>0</v>
      </c>
      <c r="S260" s="2">
        <v>0</v>
      </c>
      <c r="U260" t="s">
        <v>26</v>
      </c>
      <c r="V260" s="1">
        <v>0</v>
      </c>
      <c r="W260" s="15">
        <v>0</v>
      </c>
      <c r="X260" s="15">
        <v>0</v>
      </c>
      <c r="Z260" t="s">
        <v>26</v>
      </c>
      <c r="AA260" s="1">
        <v>0</v>
      </c>
      <c r="AB260" s="1">
        <v>0</v>
      </c>
      <c r="AC260" s="2">
        <v>0</v>
      </c>
    </row>
    <row r="261" spans="1:29" x14ac:dyDescent="0.35">
      <c r="A261" s="19" t="s">
        <v>101</v>
      </c>
      <c r="B261" s="20">
        <v>0</v>
      </c>
      <c r="C261" s="20">
        <v>0</v>
      </c>
      <c r="D261" s="20">
        <v>0</v>
      </c>
      <c r="F261" s="19" t="s">
        <v>101</v>
      </c>
      <c r="G261" s="20">
        <v>0</v>
      </c>
      <c r="H261" s="20">
        <v>0</v>
      </c>
      <c r="I261" s="20">
        <v>0</v>
      </c>
      <c r="K261" s="20" t="s">
        <v>101</v>
      </c>
      <c r="L261" s="20">
        <v>0</v>
      </c>
      <c r="M261" s="20">
        <v>0</v>
      </c>
      <c r="N261" s="20">
        <v>0</v>
      </c>
      <c r="P261" s="19" t="s">
        <v>101</v>
      </c>
      <c r="Q261" s="20">
        <v>0</v>
      </c>
      <c r="R261" s="20">
        <v>0</v>
      </c>
      <c r="S261" s="20">
        <v>0</v>
      </c>
      <c r="U261" s="19" t="s">
        <v>152</v>
      </c>
      <c r="V261" s="20">
        <v>0</v>
      </c>
      <c r="W261" s="20">
        <v>0</v>
      </c>
      <c r="X261" s="20">
        <v>0</v>
      </c>
      <c r="Z261" s="19" t="s">
        <v>152</v>
      </c>
      <c r="AA261" s="20">
        <v>0</v>
      </c>
      <c r="AB261" s="20">
        <v>0</v>
      </c>
      <c r="AC261" s="20">
        <v>0</v>
      </c>
    </row>
    <row r="262" spans="1:29" x14ac:dyDescent="0.35">
      <c r="B262" s="2"/>
      <c r="C262" s="15"/>
      <c r="D262" s="15"/>
      <c r="K262" s="2"/>
      <c r="L262" s="2"/>
      <c r="M262" s="15"/>
      <c r="N262" s="2"/>
      <c r="Q262" s="2"/>
      <c r="R262" s="15"/>
      <c r="S262" s="2"/>
      <c r="V262" s="2"/>
      <c r="W262" s="15"/>
      <c r="X262" s="15"/>
      <c r="AA262" s="2"/>
      <c r="AB262" s="15"/>
      <c r="AC262" s="2"/>
    </row>
    <row r="263" spans="1:29" x14ac:dyDescent="0.35">
      <c r="B263" s="2"/>
      <c r="C263" s="15"/>
      <c r="D263" s="15"/>
      <c r="K263" s="2"/>
      <c r="L263" s="2"/>
      <c r="M263" s="15"/>
      <c r="N263" s="2"/>
      <c r="Q263" s="2"/>
      <c r="R263" s="15"/>
      <c r="S263" s="2"/>
      <c r="V263" s="2"/>
      <c r="W263" s="15"/>
      <c r="X263" s="15"/>
      <c r="AA263" s="2"/>
      <c r="AB263" s="15"/>
      <c r="AC263" s="2"/>
    </row>
    <row r="264" spans="1:29" x14ac:dyDescent="0.35">
      <c r="A264" t="s">
        <v>27</v>
      </c>
      <c r="B264" s="1">
        <v>0</v>
      </c>
      <c r="C264" s="15">
        <v>0</v>
      </c>
      <c r="D264" s="15">
        <v>0</v>
      </c>
      <c r="F264" t="s">
        <v>27</v>
      </c>
      <c r="G264" s="1">
        <v>0</v>
      </c>
      <c r="H264" s="15">
        <v>0</v>
      </c>
      <c r="I264" s="15">
        <v>0</v>
      </c>
      <c r="K264" s="2" t="s">
        <v>27</v>
      </c>
      <c r="L264" s="2">
        <v>0</v>
      </c>
      <c r="M264" s="2">
        <v>0</v>
      </c>
      <c r="N264" s="2">
        <v>0</v>
      </c>
      <c r="P264" t="s">
        <v>27</v>
      </c>
      <c r="Q264" s="2">
        <v>0</v>
      </c>
      <c r="R264" s="2">
        <v>0</v>
      </c>
      <c r="S264" s="2">
        <v>0</v>
      </c>
      <c r="U264" t="s">
        <v>27</v>
      </c>
      <c r="V264" s="1">
        <v>0</v>
      </c>
      <c r="W264" s="15">
        <v>0</v>
      </c>
      <c r="X264" s="15">
        <v>0</v>
      </c>
      <c r="Z264" t="s">
        <v>27</v>
      </c>
      <c r="AA264" s="1">
        <v>0</v>
      </c>
      <c r="AB264" s="1">
        <v>0</v>
      </c>
      <c r="AC264" s="2">
        <v>0</v>
      </c>
    </row>
    <row r="265" spans="1:29" x14ac:dyDescent="0.35">
      <c r="A265" t="s">
        <v>28</v>
      </c>
      <c r="B265" s="1">
        <v>0</v>
      </c>
      <c r="C265" s="15">
        <v>0</v>
      </c>
      <c r="D265" s="15">
        <v>0</v>
      </c>
      <c r="F265" t="s">
        <v>28</v>
      </c>
      <c r="G265" s="1">
        <v>0</v>
      </c>
      <c r="H265" s="15">
        <v>0</v>
      </c>
      <c r="I265" s="15">
        <v>0</v>
      </c>
      <c r="K265" s="2" t="s">
        <v>28</v>
      </c>
      <c r="L265" s="2">
        <v>0</v>
      </c>
      <c r="M265" s="2">
        <v>0</v>
      </c>
      <c r="N265" s="2">
        <v>0</v>
      </c>
      <c r="P265" t="s">
        <v>28</v>
      </c>
      <c r="Q265" s="2">
        <v>0</v>
      </c>
      <c r="R265" s="2">
        <v>0</v>
      </c>
      <c r="S265" s="2">
        <v>0</v>
      </c>
      <c r="U265" t="s">
        <v>28</v>
      </c>
      <c r="V265" s="1">
        <v>0</v>
      </c>
      <c r="W265" s="15">
        <v>0</v>
      </c>
      <c r="X265" s="15">
        <v>0</v>
      </c>
      <c r="Z265" t="s">
        <v>28</v>
      </c>
      <c r="AA265" s="1">
        <v>0</v>
      </c>
      <c r="AB265" s="1">
        <v>0</v>
      </c>
      <c r="AC265" s="2">
        <v>0</v>
      </c>
    </row>
    <row r="266" spans="1:29" x14ac:dyDescent="0.35">
      <c r="A266" t="s">
        <v>29</v>
      </c>
      <c r="B266" s="1">
        <v>0</v>
      </c>
      <c r="C266" s="15">
        <v>0</v>
      </c>
      <c r="D266" s="15">
        <v>0</v>
      </c>
      <c r="F266" t="s">
        <v>29</v>
      </c>
      <c r="G266" s="1">
        <v>0</v>
      </c>
      <c r="H266" s="15">
        <v>0</v>
      </c>
      <c r="I266" s="15">
        <v>0</v>
      </c>
      <c r="K266" s="2" t="s">
        <v>29</v>
      </c>
      <c r="L266" s="2">
        <v>0</v>
      </c>
      <c r="M266" s="2">
        <v>0</v>
      </c>
      <c r="N266" s="2">
        <v>0</v>
      </c>
      <c r="P266" t="s">
        <v>29</v>
      </c>
      <c r="Q266" s="2">
        <v>0</v>
      </c>
      <c r="R266" s="2">
        <v>0</v>
      </c>
      <c r="S266" s="2">
        <v>0</v>
      </c>
      <c r="U266" t="s">
        <v>29</v>
      </c>
      <c r="V266" s="1">
        <v>0</v>
      </c>
      <c r="W266" s="15">
        <v>0</v>
      </c>
      <c r="X266" s="15">
        <v>0</v>
      </c>
      <c r="Z266" t="s">
        <v>29</v>
      </c>
      <c r="AA266" s="1">
        <v>0</v>
      </c>
      <c r="AB266" s="1">
        <v>0</v>
      </c>
      <c r="AC266" s="2">
        <v>0</v>
      </c>
    </row>
    <row r="267" spans="1:29" x14ac:dyDescent="0.35">
      <c r="A267" t="s">
        <v>30</v>
      </c>
      <c r="B267" s="1">
        <v>0</v>
      </c>
      <c r="C267" s="15">
        <v>0</v>
      </c>
      <c r="D267" s="15">
        <v>0</v>
      </c>
      <c r="F267" t="s">
        <v>30</v>
      </c>
      <c r="G267" s="1">
        <v>0</v>
      </c>
      <c r="H267" s="15">
        <v>0</v>
      </c>
      <c r="I267" s="15">
        <v>0</v>
      </c>
      <c r="K267" s="2" t="s">
        <v>30</v>
      </c>
      <c r="L267" s="2">
        <v>0</v>
      </c>
      <c r="M267" s="2">
        <v>0</v>
      </c>
      <c r="N267" s="2">
        <v>0</v>
      </c>
      <c r="P267" t="s">
        <v>30</v>
      </c>
      <c r="Q267" s="2">
        <v>0</v>
      </c>
      <c r="R267" s="2">
        <v>0</v>
      </c>
      <c r="S267" s="2">
        <v>0</v>
      </c>
      <c r="U267" t="s">
        <v>30</v>
      </c>
      <c r="V267" s="1">
        <v>0</v>
      </c>
      <c r="W267" s="15">
        <v>0</v>
      </c>
      <c r="X267" s="15">
        <v>0</v>
      </c>
      <c r="Z267" t="s">
        <v>30</v>
      </c>
      <c r="AA267" s="1">
        <v>0</v>
      </c>
      <c r="AB267" s="1">
        <v>0</v>
      </c>
      <c r="AC267" s="2">
        <v>0</v>
      </c>
    </row>
    <row r="268" spans="1:29" x14ac:dyDescent="0.35">
      <c r="A268" s="19" t="s">
        <v>90</v>
      </c>
      <c r="B268" s="20">
        <v>0</v>
      </c>
      <c r="C268" s="20">
        <v>0</v>
      </c>
      <c r="D268" s="20">
        <v>0</v>
      </c>
      <c r="F268" s="19" t="s">
        <v>90</v>
      </c>
      <c r="G268" s="20">
        <v>0</v>
      </c>
      <c r="H268" s="20">
        <v>0</v>
      </c>
      <c r="I268" s="20">
        <v>0</v>
      </c>
      <c r="K268" s="20" t="s">
        <v>90</v>
      </c>
      <c r="L268" s="20">
        <v>0</v>
      </c>
      <c r="M268" s="20">
        <v>0</v>
      </c>
      <c r="N268" s="20">
        <v>0</v>
      </c>
      <c r="P268" s="19" t="s">
        <v>90</v>
      </c>
      <c r="Q268" s="20">
        <v>0</v>
      </c>
      <c r="R268" s="20">
        <v>0</v>
      </c>
      <c r="S268" s="20">
        <v>0</v>
      </c>
      <c r="U268" s="19" t="s">
        <v>90</v>
      </c>
      <c r="V268" s="20">
        <v>0</v>
      </c>
      <c r="W268" s="20">
        <v>0</v>
      </c>
      <c r="X268" s="20">
        <v>0</v>
      </c>
      <c r="Z268" s="19" t="s">
        <v>90</v>
      </c>
      <c r="AA268" s="20">
        <v>0</v>
      </c>
      <c r="AB268" s="20">
        <v>0</v>
      </c>
      <c r="AC268" s="20">
        <v>0</v>
      </c>
    </row>
    <row r="269" spans="1:29" x14ac:dyDescent="0.35">
      <c r="B269" s="2"/>
      <c r="C269" s="15"/>
      <c r="D269" s="15"/>
      <c r="K269" s="2"/>
      <c r="L269" s="2"/>
      <c r="M269" s="15"/>
      <c r="N269" s="2"/>
      <c r="Q269" s="2"/>
      <c r="R269" s="15"/>
      <c r="S269" s="2"/>
      <c r="V269" s="2"/>
      <c r="W269" s="15"/>
      <c r="X269" s="15"/>
      <c r="AA269" s="2"/>
      <c r="AB269" s="15"/>
      <c r="AC269" s="2"/>
    </row>
    <row r="270" spans="1:29" x14ac:dyDescent="0.35">
      <c r="B270" s="2"/>
      <c r="C270" s="15"/>
      <c r="D270" s="15"/>
      <c r="K270" s="2"/>
      <c r="L270" s="2"/>
      <c r="M270" s="15"/>
      <c r="N270" s="2"/>
      <c r="Q270" s="2"/>
      <c r="R270" s="15"/>
      <c r="S270" s="2"/>
      <c r="V270" s="2"/>
      <c r="W270" s="15"/>
      <c r="X270" s="15"/>
      <c r="AA270" s="2"/>
      <c r="AB270" s="15"/>
      <c r="AC270" s="2"/>
    </row>
    <row r="271" spans="1:29" x14ac:dyDescent="0.35">
      <c r="A271" s="16" t="s">
        <v>89</v>
      </c>
      <c r="B271" s="27">
        <v>0</v>
      </c>
      <c r="C271" s="28">
        <v>0</v>
      </c>
      <c r="D271" s="21">
        <v>0</v>
      </c>
      <c r="F271" t="s">
        <v>89</v>
      </c>
      <c r="G271" s="1">
        <v>0</v>
      </c>
      <c r="H271" s="15">
        <v>0</v>
      </c>
      <c r="I271" s="15">
        <v>0</v>
      </c>
      <c r="K271" s="2" t="s">
        <v>89</v>
      </c>
      <c r="L271" s="2">
        <v>0</v>
      </c>
      <c r="M271" s="2">
        <v>0</v>
      </c>
      <c r="N271" s="2">
        <v>0</v>
      </c>
      <c r="P271" t="s">
        <v>89</v>
      </c>
      <c r="Q271" s="2">
        <v>0</v>
      </c>
      <c r="R271" s="2">
        <v>0</v>
      </c>
      <c r="S271" s="2">
        <v>0</v>
      </c>
      <c r="U271" s="16" t="s">
        <v>89</v>
      </c>
      <c r="V271" s="27">
        <v>0</v>
      </c>
      <c r="W271" s="28">
        <v>0</v>
      </c>
      <c r="X271" s="21">
        <v>0</v>
      </c>
      <c r="Z271" s="16" t="s">
        <v>89</v>
      </c>
      <c r="AA271" s="27">
        <v>0</v>
      </c>
      <c r="AB271" s="28">
        <v>0</v>
      </c>
      <c r="AC271" s="17">
        <v>0</v>
      </c>
    </row>
    <row r="272" spans="1:29" x14ac:dyDescent="0.35">
      <c r="B272" s="2"/>
      <c r="C272" s="15"/>
      <c r="D272" s="15"/>
      <c r="K272" s="2"/>
      <c r="L272" s="2"/>
      <c r="M272" s="15"/>
      <c r="N272" s="2"/>
      <c r="Q272" s="2"/>
      <c r="R272" s="15"/>
      <c r="S272" s="2"/>
      <c r="V272" s="2"/>
      <c r="W272" s="15"/>
      <c r="X272" s="15"/>
      <c r="AA272" s="2"/>
      <c r="AB272" s="15"/>
      <c r="AC272" s="2"/>
    </row>
    <row r="273" spans="1:29" x14ac:dyDescent="0.35">
      <c r="B273" s="2"/>
      <c r="C273" s="15"/>
      <c r="D273" s="15"/>
      <c r="K273" s="2"/>
      <c r="L273" s="2"/>
      <c r="M273" s="15"/>
      <c r="N273" s="2"/>
      <c r="Q273" s="2"/>
      <c r="R273" s="15"/>
      <c r="S273" s="2"/>
      <c r="X273" s="15"/>
      <c r="AC273" s="2"/>
    </row>
    <row r="274" spans="1:29" x14ac:dyDescent="0.35">
      <c r="B274" s="2"/>
      <c r="C274" s="15"/>
      <c r="D274" s="15"/>
      <c r="K274" s="2"/>
      <c r="L274" s="2"/>
      <c r="M274" s="15"/>
      <c r="N274" s="2"/>
      <c r="Q274" s="2"/>
      <c r="R274" s="15"/>
      <c r="S274" s="2"/>
      <c r="X274" s="15"/>
      <c r="AC274" s="2"/>
    </row>
    <row r="275" spans="1:29" x14ac:dyDescent="0.35">
      <c r="A275" t="s">
        <v>31</v>
      </c>
      <c r="B275" s="1">
        <v>0</v>
      </c>
      <c r="C275" s="15">
        <v>0</v>
      </c>
      <c r="D275" s="15">
        <v>0</v>
      </c>
      <c r="F275" t="s">
        <v>31</v>
      </c>
      <c r="G275" s="1">
        <v>0</v>
      </c>
      <c r="H275" s="15">
        <v>0</v>
      </c>
      <c r="I275" s="15">
        <v>0</v>
      </c>
      <c r="K275" s="2" t="s">
        <v>31</v>
      </c>
      <c r="L275" s="2">
        <v>0</v>
      </c>
      <c r="M275" s="2">
        <v>0</v>
      </c>
      <c r="N275" s="2">
        <v>0</v>
      </c>
      <c r="P275" t="s">
        <v>31</v>
      </c>
      <c r="Q275" s="2">
        <v>0</v>
      </c>
      <c r="R275" s="2">
        <v>0</v>
      </c>
      <c r="S275" s="2">
        <v>0</v>
      </c>
      <c r="U275" t="s">
        <v>31</v>
      </c>
      <c r="V275" s="1">
        <v>0</v>
      </c>
      <c r="W275" s="15">
        <v>0</v>
      </c>
      <c r="X275" s="15">
        <v>0</v>
      </c>
      <c r="Z275" t="s">
        <v>31</v>
      </c>
      <c r="AA275" s="1">
        <v>0</v>
      </c>
      <c r="AB275" s="1">
        <v>0</v>
      </c>
      <c r="AC275" s="2">
        <v>0</v>
      </c>
    </row>
    <row r="276" spans="1:29" x14ac:dyDescent="0.35">
      <c r="A276" t="s">
        <v>32</v>
      </c>
      <c r="B276" s="1">
        <v>0</v>
      </c>
      <c r="C276" s="15">
        <v>0</v>
      </c>
      <c r="D276" s="15">
        <v>0</v>
      </c>
      <c r="F276" t="s">
        <v>32</v>
      </c>
      <c r="G276" s="1">
        <v>0</v>
      </c>
      <c r="H276" s="15">
        <v>0</v>
      </c>
      <c r="I276" s="15">
        <v>0</v>
      </c>
      <c r="K276" s="2" t="s">
        <v>32</v>
      </c>
      <c r="L276" s="2">
        <v>0</v>
      </c>
      <c r="M276" s="2">
        <v>0</v>
      </c>
      <c r="N276" s="2">
        <v>0</v>
      </c>
      <c r="P276" t="s">
        <v>32</v>
      </c>
      <c r="Q276" s="2">
        <v>0</v>
      </c>
      <c r="R276" s="2">
        <v>0</v>
      </c>
      <c r="S276" s="2">
        <v>0</v>
      </c>
      <c r="U276" t="s">
        <v>32</v>
      </c>
      <c r="V276" s="1">
        <v>0</v>
      </c>
      <c r="W276" s="15">
        <v>0</v>
      </c>
      <c r="X276" s="15">
        <v>0</v>
      </c>
      <c r="Z276" t="s">
        <v>32</v>
      </c>
      <c r="AA276" s="1">
        <v>0</v>
      </c>
      <c r="AB276" s="1">
        <v>0</v>
      </c>
      <c r="AC276" s="2">
        <v>0</v>
      </c>
    </row>
    <row r="277" spans="1:29" x14ac:dyDescent="0.35">
      <c r="A277" s="19" t="s">
        <v>33</v>
      </c>
      <c r="B277" s="20">
        <v>0</v>
      </c>
      <c r="C277" s="20">
        <v>0</v>
      </c>
      <c r="D277" s="20">
        <v>0</v>
      </c>
      <c r="F277" s="19" t="s">
        <v>33</v>
      </c>
      <c r="G277" s="20">
        <v>0</v>
      </c>
      <c r="H277" s="20">
        <v>0</v>
      </c>
      <c r="I277" s="20">
        <v>0</v>
      </c>
      <c r="K277" s="20" t="s">
        <v>33</v>
      </c>
      <c r="L277" s="20">
        <v>0</v>
      </c>
      <c r="M277" s="20">
        <v>0</v>
      </c>
      <c r="N277" s="20">
        <v>0</v>
      </c>
      <c r="P277" s="19" t="s">
        <v>33</v>
      </c>
      <c r="Q277" s="20">
        <v>0</v>
      </c>
      <c r="R277" s="20">
        <v>0</v>
      </c>
      <c r="S277" s="20">
        <v>0</v>
      </c>
      <c r="U277" s="25" t="s">
        <v>33</v>
      </c>
      <c r="V277" s="20">
        <v>0</v>
      </c>
      <c r="W277" s="20">
        <v>0</v>
      </c>
      <c r="X277" s="20">
        <v>0</v>
      </c>
      <c r="Z277" s="25" t="s">
        <v>33</v>
      </c>
      <c r="AA277" s="20">
        <v>0</v>
      </c>
      <c r="AB277" s="20">
        <v>0</v>
      </c>
      <c r="AC277" s="20">
        <v>0</v>
      </c>
    </row>
    <row r="278" spans="1:29" x14ac:dyDescent="0.35">
      <c r="B278" s="2"/>
      <c r="C278" s="15"/>
      <c r="D278" s="15"/>
      <c r="K278" s="2"/>
      <c r="L278" s="2"/>
      <c r="M278" s="15"/>
      <c r="N278" s="2"/>
      <c r="Q278" s="2"/>
      <c r="R278" s="15"/>
      <c r="S278" s="2"/>
      <c r="V278" s="2"/>
      <c r="W278" s="15"/>
      <c r="X278" s="15"/>
      <c r="AA278" s="2"/>
      <c r="AB278" s="15"/>
      <c r="AC278" s="2"/>
    </row>
    <row r="279" spans="1:29" x14ac:dyDescent="0.35">
      <c r="B279" s="2"/>
      <c r="C279" s="15"/>
      <c r="D279" s="15"/>
      <c r="K279" s="2"/>
      <c r="L279" s="2"/>
      <c r="M279" s="15"/>
      <c r="N279" s="2"/>
      <c r="Q279" s="2"/>
      <c r="R279" s="15"/>
      <c r="S279" s="2"/>
      <c r="V279" s="2"/>
      <c r="W279" s="15"/>
      <c r="X279" s="15"/>
      <c r="AA279" s="2"/>
      <c r="AB279" s="15"/>
      <c r="AC279" s="2"/>
    </row>
    <row r="280" spans="1:29" x14ac:dyDescent="0.35">
      <c r="A280" t="s">
        <v>35</v>
      </c>
      <c r="B280" s="1">
        <v>0</v>
      </c>
      <c r="C280" s="15">
        <v>1584726.18</v>
      </c>
      <c r="D280" s="15">
        <v>1584726.18</v>
      </c>
      <c r="F280" t="s">
        <v>35</v>
      </c>
      <c r="G280" s="1">
        <v>0</v>
      </c>
      <c r="H280" s="15">
        <v>124879</v>
      </c>
      <c r="I280" s="15">
        <v>124879</v>
      </c>
      <c r="K280" s="2" t="s">
        <v>35</v>
      </c>
      <c r="L280" s="2">
        <v>0</v>
      </c>
      <c r="M280" s="2">
        <v>-5.5400000000081491</v>
      </c>
      <c r="N280" s="2">
        <v>-5.5400000000081491</v>
      </c>
      <c r="P280" t="s">
        <v>35</v>
      </c>
      <c r="Q280" s="2">
        <v>0</v>
      </c>
      <c r="R280" s="2">
        <v>124873.45999999999</v>
      </c>
      <c r="S280" s="2">
        <v>124873.45999999999</v>
      </c>
      <c r="U280" t="s">
        <v>35</v>
      </c>
      <c r="V280" s="1">
        <v>0</v>
      </c>
      <c r="W280" s="15">
        <v>-16.459999999991851</v>
      </c>
      <c r="X280" s="15">
        <v>-16.459999999991851</v>
      </c>
      <c r="Z280" t="s">
        <v>35</v>
      </c>
      <c r="AA280" s="1">
        <v>0</v>
      </c>
      <c r="AB280" s="1">
        <v>1459869.18</v>
      </c>
      <c r="AC280" s="2">
        <v>1459869.18</v>
      </c>
    </row>
    <row r="281" spans="1:29" x14ac:dyDescent="0.35">
      <c r="A281" t="s">
        <v>36</v>
      </c>
      <c r="B281" s="1">
        <v>-75247565.200000003</v>
      </c>
      <c r="C281" s="15">
        <v>-10225183.280000001</v>
      </c>
      <c r="D281" s="15">
        <v>-85472748.480000004</v>
      </c>
      <c r="F281" t="s">
        <v>36</v>
      </c>
      <c r="G281" s="1">
        <v>-23463755</v>
      </c>
      <c r="H281" s="15">
        <v>-2892584</v>
      </c>
      <c r="I281" s="15">
        <v>-26356339</v>
      </c>
      <c r="K281" s="2" t="s">
        <v>36</v>
      </c>
      <c r="L281" s="2">
        <v>-20183493.299999997</v>
      </c>
      <c r="M281" s="2">
        <v>-2637610.9799999995</v>
      </c>
      <c r="N281" s="2">
        <v>-22821104.279999997</v>
      </c>
      <c r="P281" t="s">
        <v>36</v>
      </c>
      <c r="Q281" s="2">
        <v>-43647248.299999997</v>
      </c>
      <c r="R281" s="2">
        <v>-5530194.9799999995</v>
      </c>
      <c r="S281" s="2">
        <v>-49177443.279999994</v>
      </c>
      <c r="U281" t="s">
        <v>36</v>
      </c>
      <c r="V281" s="1">
        <v>-20309952.790000007</v>
      </c>
      <c r="W281" s="15">
        <v>-2228143.4300000006</v>
      </c>
      <c r="X281" s="15">
        <v>-22538096.220000006</v>
      </c>
      <c r="Z281" t="s">
        <v>36</v>
      </c>
      <c r="AA281" s="1">
        <v>-11290364.109999999</v>
      </c>
      <c r="AB281" s="1">
        <v>-2466844.870000001</v>
      </c>
      <c r="AC281" s="2">
        <v>-13757208.98</v>
      </c>
    </row>
    <row r="282" spans="1:29" x14ac:dyDescent="0.35">
      <c r="A282" s="19" t="s">
        <v>37</v>
      </c>
      <c r="B282" s="20">
        <v>-75247565.200000003</v>
      </c>
      <c r="C282" s="20">
        <v>-8640457.1000000015</v>
      </c>
      <c r="D282" s="20">
        <v>-83888022.300000012</v>
      </c>
      <c r="F282" s="19" t="s">
        <v>37</v>
      </c>
      <c r="G282" s="20">
        <v>-23463755</v>
      </c>
      <c r="H282" s="20">
        <v>-2767705</v>
      </c>
      <c r="I282" s="20">
        <v>-26231460</v>
      </c>
      <c r="K282" s="20" t="s">
        <v>37</v>
      </c>
      <c r="L282" s="20">
        <v>-20183493.299999997</v>
      </c>
      <c r="M282" s="20">
        <v>-2637616.5199999996</v>
      </c>
      <c r="N282" s="20">
        <v>-22821109.819999997</v>
      </c>
      <c r="P282" s="19" t="s">
        <v>37</v>
      </c>
      <c r="Q282" s="20">
        <v>-43647248.299999997</v>
      </c>
      <c r="R282" s="20">
        <v>-5405321.5199999996</v>
      </c>
      <c r="S282" s="20">
        <v>-49052569.819999993</v>
      </c>
      <c r="U282" s="25" t="s">
        <v>37</v>
      </c>
      <c r="V282" s="20">
        <v>-20309952.790000007</v>
      </c>
      <c r="W282" s="20">
        <v>-2228159.8900000006</v>
      </c>
      <c r="X282" s="20">
        <v>-22538112.680000007</v>
      </c>
      <c r="Z282" s="25" t="s">
        <v>37</v>
      </c>
      <c r="AA282" s="20">
        <v>-11290364.109999999</v>
      </c>
      <c r="AB282" s="20">
        <v>-1006975.6900000011</v>
      </c>
      <c r="AC282" s="20">
        <v>-12297339.800000001</v>
      </c>
    </row>
    <row r="283" spans="1:29" x14ac:dyDescent="0.35">
      <c r="B283" s="2"/>
      <c r="C283" s="15"/>
      <c r="D283" s="15"/>
      <c r="K283" s="2"/>
      <c r="L283" s="2"/>
      <c r="M283" s="15"/>
      <c r="N283" s="2"/>
      <c r="Q283" s="2"/>
      <c r="R283" s="15"/>
      <c r="S283" s="2"/>
      <c r="V283" s="2"/>
      <c r="W283" s="15"/>
      <c r="X283" s="15"/>
      <c r="AA283" s="2"/>
      <c r="AB283" s="15"/>
      <c r="AC283" s="2"/>
    </row>
    <row r="284" spans="1:29" x14ac:dyDescent="0.35">
      <c r="B284" s="2"/>
      <c r="C284" s="15"/>
      <c r="D284" s="15"/>
      <c r="K284" s="2"/>
      <c r="L284" s="2"/>
      <c r="M284" s="15"/>
      <c r="N284" s="2"/>
      <c r="Q284" s="2"/>
      <c r="R284" s="15"/>
      <c r="S284" s="2"/>
      <c r="V284" s="2"/>
      <c r="W284" s="15"/>
      <c r="X284" s="15"/>
      <c r="AA284" s="2"/>
      <c r="AB284" s="15"/>
      <c r="AC284" s="2"/>
    </row>
    <row r="285" spans="1:29" x14ac:dyDescent="0.35">
      <c r="A285" t="s">
        <v>38</v>
      </c>
      <c r="B285" s="1">
        <v>0</v>
      </c>
      <c r="C285" s="15">
        <v>0</v>
      </c>
      <c r="D285" s="15">
        <v>0</v>
      </c>
      <c r="F285" t="s">
        <v>38</v>
      </c>
      <c r="G285" s="1">
        <v>0</v>
      </c>
      <c r="H285" s="15">
        <v>0</v>
      </c>
      <c r="I285" s="15">
        <v>0</v>
      </c>
      <c r="K285" s="2" t="s">
        <v>38</v>
      </c>
      <c r="L285" s="2">
        <v>0</v>
      </c>
      <c r="M285" s="2">
        <v>0</v>
      </c>
      <c r="N285" s="2">
        <v>0</v>
      </c>
      <c r="P285" t="s">
        <v>38</v>
      </c>
      <c r="Q285" s="2">
        <v>0</v>
      </c>
      <c r="R285" s="2">
        <v>0</v>
      </c>
      <c r="S285" s="2">
        <v>0</v>
      </c>
      <c r="U285" t="s">
        <v>38</v>
      </c>
      <c r="V285" s="1">
        <v>0</v>
      </c>
      <c r="W285" s="15">
        <v>0</v>
      </c>
      <c r="X285" s="15">
        <v>0</v>
      </c>
      <c r="Z285" t="s">
        <v>38</v>
      </c>
      <c r="AA285" s="1">
        <v>0</v>
      </c>
      <c r="AB285" s="1">
        <v>0</v>
      </c>
      <c r="AC285" s="2">
        <v>0</v>
      </c>
    </row>
    <row r="286" spans="1:29" x14ac:dyDescent="0.35">
      <c r="A286" t="s">
        <v>78</v>
      </c>
      <c r="B286" s="1">
        <v>0</v>
      </c>
      <c r="C286" s="15">
        <v>-4788678.84</v>
      </c>
      <c r="D286" s="15">
        <v>-4788678.84</v>
      </c>
      <c r="F286" t="s">
        <v>78</v>
      </c>
      <c r="G286" s="1">
        <v>0</v>
      </c>
      <c r="H286" s="15">
        <v>-3329100.77</v>
      </c>
      <c r="I286" s="15">
        <v>-3329100.77</v>
      </c>
      <c r="K286" s="2" t="s">
        <v>78</v>
      </c>
      <c r="L286" s="2">
        <v>0</v>
      </c>
      <c r="M286" s="2">
        <v>-3122964.8499999992</v>
      </c>
      <c r="N286" s="2">
        <v>-3122964.8499999992</v>
      </c>
      <c r="P286" t="s">
        <v>78</v>
      </c>
      <c r="Q286" s="2">
        <v>0</v>
      </c>
      <c r="R286" s="2">
        <v>-6452065.6199999992</v>
      </c>
      <c r="S286" s="2">
        <v>-6452065.6199999992</v>
      </c>
      <c r="U286" t="s">
        <v>78</v>
      </c>
      <c r="V286" s="1">
        <v>0</v>
      </c>
      <c r="W286" s="15">
        <v>2466734.629999999</v>
      </c>
      <c r="X286" s="15">
        <v>2466734.629999999</v>
      </c>
      <c r="Z286" t="s">
        <v>78</v>
      </c>
      <c r="AA286" s="1">
        <v>0</v>
      </c>
      <c r="AB286" s="1">
        <v>-803347.84999999963</v>
      </c>
      <c r="AC286" s="2">
        <v>-803347.84999999963</v>
      </c>
    </row>
    <row r="287" spans="1:29" x14ac:dyDescent="0.35">
      <c r="A287" t="s">
        <v>39</v>
      </c>
      <c r="B287" s="1">
        <v>0</v>
      </c>
      <c r="C287" s="15">
        <v>-7653549.7999999989</v>
      </c>
      <c r="D287" s="15">
        <v>-7653549.7999999989</v>
      </c>
      <c r="F287" t="s">
        <v>39</v>
      </c>
      <c r="G287" s="1">
        <v>0</v>
      </c>
      <c r="H287" s="15">
        <v>-982561.23</v>
      </c>
      <c r="I287" s="15">
        <v>-982561.23</v>
      </c>
      <c r="K287" s="2" t="s">
        <v>39</v>
      </c>
      <c r="L287" s="2">
        <v>0</v>
      </c>
      <c r="M287" s="2">
        <v>622408.65999999922</v>
      </c>
      <c r="N287" s="2">
        <v>622408.65999999922</v>
      </c>
      <c r="P287" t="s">
        <v>39</v>
      </c>
      <c r="Q287" s="2">
        <v>0</v>
      </c>
      <c r="R287" s="2">
        <v>-360152.57000000076</v>
      </c>
      <c r="S287" s="2">
        <v>-360152.57000000076</v>
      </c>
      <c r="U287" t="s">
        <v>39</v>
      </c>
      <c r="V287" s="1">
        <v>0</v>
      </c>
      <c r="W287" s="15">
        <v>-4941330.2699999996</v>
      </c>
      <c r="X287" s="15">
        <v>-4941330.2699999996</v>
      </c>
      <c r="Z287" t="s">
        <v>39</v>
      </c>
      <c r="AA287" s="1">
        <v>0</v>
      </c>
      <c r="AB287" s="1">
        <v>-2352066.9599999986</v>
      </c>
      <c r="AC287" s="2">
        <v>-2352066.9599999986</v>
      </c>
    </row>
    <row r="288" spans="1:29" x14ac:dyDescent="0.35">
      <c r="A288" t="s">
        <v>40</v>
      </c>
      <c r="B288" s="1">
        <v>0</v>
      </c>
      <c r="C288" s="15">
        <v>-24750</v>
      </c>
      <c r="D288" s="15">
        <v>-24750</v>
      </c>
      <c r="F288" t="s">
        <v>40</v>
      </c>
      <c r="G288" s="1">
        <v>0</v>
      </c>
      <c r="H288" s="15">
        <v>0</v>
      </c>
      <c r="I288" s="15">
        <v>0</v>
      </c>
      <c r="K288" s="2" t="s">
        <v>40</v>
      </c>
      <c r="L288" s="2">
        <v>0</v>
      </c>
      <c r="M288" s="2">
        <v>-21732</v>
      </c>
      <c r="N288" s="2">
        <v>-21732</v>
      </c>
      <c r="P288" t="s">
        <v>40</v>
      </c>
      <c r="Q288" s="2">
        <v>0</v>
      </c>
      <c r="R288" s="2">
        <v>-21732</v>
      </c>
      <c r="S288" s="2">
        <v>-21732</v>
      </c>
      <c r="U288" t="s">
        <v>40</v>
      </c>
      <c r="V288" s="1">
        <v>0</v>
      </c>
      <c r="W288" s="15">
        <v>15132</v>
      </c>
      <c r="X288" s="15">
        <v>15132</v>
      </c>
      <c r="Z288" t="s">
        <v>40</v>
      </c>
      <c r="AA288" s="1">
        <v>0</v>
      </c>
      <c r="AB288" s="1">
        <v>-18150</v>
      </c>
      <c r="AC288" s="2">
        <v>-18150</v>
      </c>
    </row>
    <row r="289" spans="1:30" x14ac:dyDescent="0.35">
      <c r="A289" t="s">
        <v>41</v>
      </c>
      <c r="B289" s="1">
        <v>0</v>
      </c>
      <c r="C289" s="15">
        <v>-9774937.7600000016</v>
      </c>
      <c r="D289" s="15">
        <v>-9774937.7600000016</v>
      </c>
      <c r="F289" t="s">
        <v>41</v>
      </c>
      <c r="G289" s="1">
        <v>0</v>
      </c>
      <c r="H289" s="15">
        <v>-29959</v>
      </c>
      <c r="I289" s="15">
        <v>-29959</v>
      </c>
      <c r="K289" s="2" t="s">
        <v>41</v>
      </c>
      <c r="L289" s="2">
        <v>0</v>
      </c>
      <c r="M289" s="2">
        <v>-3441</v>
      </c>
      <c r="N289" s="2">
        <v>-3441</v>
      </c>
      <c r="P289" t="s">
        <v>41</v>
      </c>
      <c r="Q289" s="2">
        <v>0</v>
      </c>
      <c r="R289" s="2">
        <v>-33400</v>
      </c>
      <c r="S289" s="2">
        <v>-33400</v>
      </c>
      <c r="U289" t="s">
        <v>41</v>
      </c>
      <c r="V289" s="1">
        <v>0</v>
      </c>
      <c r="W289" s="15">
        <v>-34898.739999999991</v>
      </c>
      <c r="X289" s="15">
        <v>-34898.739999999991</v>
      </c>
      <c r="Z289" t="s">
        <v>41</v>
      </c>
      <c r="AA289" s="1">
        <v>0</v>
      </c>
      <c r="AB289" s="1">
        <v>-9706639.0200000014</v>
      </c>
      <c r="AC289" s="2">
        <v>-9706639.0200000014</v>
      </c>
    </row>
    <row r="290" spans="1:30" x14ac:dyDescent="0.35">
      <c r="A290" t="s">
        <v>42</v>
      </c>
      <c r="B290" s="1">
        <v>0</v>
      </c>
      <c r="C290" s="15">
        <v>0</v>
      </c>
      <c r="D290" s="15">
        <v>0</v>
      </c>
      <c r="F290" t="s">
        <v>42</v>
      </c>
      <c r="G290" s="1">
        <v>0</v>
      </c>
      <c r="H290" s="15">
        <v>0</v>
      </c>
      <c r="I290" s="15">
        <v>0</v>
      </c>
      <c r="K290" s="2" t="s">
        <v>42</v>
      </c>
      <c r="L290" s="2">
        <v>0</v>
      </c>
      <c r="M290" s="2">
        <v>0</v>
      </c>
      <c r="N290" s="2">
        <v>0</v>
      </c>
      <c r="P290" t="s">
        <v>42</v>
      </c>
      <c r="Q290" s="2">
        <v>0</v>
      </c>
      <c r="R290" s="2">
        <v>0</v>
      </c>
      <c r="S290" s="2">
        <v>0</v>
      </c>
      <c r="U290" t="s">
        <v>42</v>
      </c>
      <c r="V290" s="1">
        <v>0</v>
      </c>
      <c r="W290" s="15">
        <v>0</v>
      </c>
      <c r="X290" s="15">
        <v>0</v>
      </c>
      <c r="Z290" t="s">
        <v>42</v>
      </c>
      <c r="AA290" s="1">
        <v>0</v>
      </c>
      <c r="AB290" s="1">
        <v>0</v>
      </c>
      <c r="AC290" s="2">
        <v>0</v>
      </c>
    </row>
    <row r="291" spans="1:30" x14ac:dyDescent="0.35">
      <c r="A291" t="s">
        <v>4</v>
      </c>
      <c r="B291" s="1">
        <v>0</v>
      </c>
      <c r="C291" s="15">
        <v>0</v>
      </c>
      <c r="D291" s="15">
        <v>0</v>
      </c>
      <c r="F291" t="s">
        <v>4</v>
      </c>
      <c r="G291" s="1">
        <v>0</v>
      </c>
      <c r="H291" s="15">
        <v>0</v>
      </c>
      <c r="I291" s="15">
        <v>0</v>
      </c>
      <c r="K291" s="2" t="s">
        <v>4</v>
      </c>
      <c r="L291" s="2">
        <v>0</v>
      </c>
      <c r="M291" s="2">
        <v>0</v>
      </c>
      <c r="N291" s="2">
        <v>0</v>
      </c>
      <c r="P291" t="s">
        <v>4</v>
      </c>
      <c r="Q291" s="2">
        <v>0</v>
      </c>
      <c r="R291" s="2">
        <v>0</v>
      </c>
      <c r="S291" s="2">
        <v>0</v>
      </c>
      <c r="U291" t="s">
        <v>4</v>
      </c>
      <c r="V291" s="1">
        <v>0</v>
      </c>
      <c r="W291" s="15">
        <v>0</v>
      </c>
      <c r="X291" s="15">
        <v>0</v>
      </c>
      <c r="Z291" t="s">
        <v>4</v>
      </c>
      <c r="AA291" s="1">
        <v>0</v>
      </c>
      <c r="AB291" s="1">
        <v>0</v>
      </c>
      <c r="AC291" s="2">
        <v>0</v>
      </c>
    </row>
    <row r="292" spans="1:30" x14ac:dyDescent="0.35">
      <c r="A292" t="s">
        <v>5</v>
      </c>
      <c r="B292" s="1">
        <v>0</v>
      </c>
      <c r="C292" s="15">
        <v>0</v>
      </c>
      <c r="D292" s="15">
        <v>0</v>
      </c>
      <c r="F292" t="s">
        <v>5</v>
      </c>
      <c r="G292" s="1">
        <v>0</v>
      </c>
      <c r="H292" s="15">
        <v>0</v>
      </c>
      <c r="I292" s="15">
        <v>0</v>
      </c>
      <c r="K292" s="2" t="s">
        <v>5</v>
      </c>
      <c r="L292" s="2">
        <v>0</v>
      </c>
      <c r="M292" s="2">
        <v>0</v>
      </c>
      <c r="N292" s="2">
        <v>0</v>
      </c>
      <c r="P292" t="s">
        <v>5</v>
      </c>
      <c r="Q292" s="2">
        <v>0</v>
      </c>
      <c r="R292" s="2">
        <v>0</v>
      </c>
      <c r="S292" s="2">
        <v>0</v>
      </c>
      <c r="U292" t="s">
        <v>5</v>
      </c>
      <c r="V292" s="1">
        <v>0</v>
      </c>
      <c r="W292" s="15">
        <v>0</v>
      </c>
      <c r="X292" s="15">
        <v>0</v>
      </c>
      <c r="Z292" t="s">
        <v>5</v>
      </c>
      <c r="AA292" s="1">
        <v>0</v>
      </c>
      <c r="AB292" s="1">
        <v>0</v>
      </c>
      <c r="AC292" s="2">
        <v>0</v>
      </c>
    </row>
    <row r="293" spans="1:30" x14ac:dyDescent="0.35">
      <c r="A293" t="s">
        <v>182</v>
      </c>
      <c r="B293" s="1">
        <v>0</v>
      </c>
      <c r="C293" s="15">
        <v>2065642.44</v>
      </c>
      <c r="D293" s="15">
        <v>2065642.44</v>
      </c>
      <c r="F293" t="s">
        <v>182</v>
      </c>
      <c r="G293" s="1">
        <v>0</v>
      </c>
      <c r="H293" s="15">
        <v>408424</v>
      </c>
      <c r="I293" s="15">
        <v>408424</v>
      </c>
      <c r="K293" s="2" t="s">
        <v>182</v>
      </c>
      <c r="L293" s="2">
        <v>0</v>
      </c>
      <c r="M293" s="2">
        <v>929146.36999999988</v>
      </c>
      <c r="N293" s="2">
        <v>929146.36999999988</v>
      </c>
      <c r="P293" t="s">
        <v>182</v>
      </c>
      <c r="Q293" s="2">
        <v>0</v>
      </c>
      <c r="R293" s="2">
        <v>1337570.3699999999</v>
      </c>
      <c r="S293" s="2">
        <v>1337570.3699999999</v>
      </c>
      <c r="U293" t="s">
        <v>182</v>
      </c>
      <c r="V293" s="1">
        <v>0</v>
      </c>
      <c r="W293" s="15">
        <v>-507090.70999999985</v>
      </c>
      <c r="X293" s="15">
        <v>-507090.70999999985</v>
      </c>
      <c r="Z293" t="s">
        <v>182</v>
      </c>
      <c r="AA293" s="1">
        <v>0</v>
      </c>
      <c r="AB293" s="1">
        <v>1235162.78</v>
      </c>
      <c r="AC293" s="2">
        <v>1235162.78</v>
      </c>
    </row>
    <row r="294" spans="1:30" x14ac:dyDescent="0.35">
      <c r="A294" s="19" t="s">
        <v>11</v>
      </c>
      <c r="B294" s="20">
        <v>0</v>
      </c>
      <c r="C294" s="20">
        <v>-20176273.959999997</v>
      </c>
      <c r="D294" s="20">
        <v>-20176273.959999997</v>
      </c>
      <c r="F294" s="19" t="s">
        <v>11</v>
      </c>
      <c r="G294" s="20">
        <v>0</v>
      </c>
      <c r="H294" s="20">
        <v>-3933197</v>
      </c>
      <c r="I294" s="20">
        <v>-3933197</v>
      </c>
      <c r="K294" s="20" t="s">
        <v>11</v>
      </c>
      <c r="L294" s="20">
        <v>0</v>
      </c>
      <c r="M294" s="20">
        <v>-1596582.82</v>
      </c>
      <c r="N294" s="20">
        <v>-1596582.82</v>
      </c>
      <c r="P294" s="19" t="s">
        <v>11</v>
      </c>
      <c r="Q294" s="20">
        <v>0</v>
      </c>
      <c r="R294" s="20">
        <v>-5529779.8199999994</v>
      </c>
      <c r="S294" s="20">
        <v>-5529779.8199999994</v>
      </c>
      <c r="U294" s="19" t="s">
        <v>11</v>
      </c>
      <c r="V294" s="20">
        <v>0</v>
      </c>
      <c r="W294" s="20">
        <v>-3001453.0900000008</v>
      </c>
      <c r="X294" s="20">
        <v>-3001453.0900000008</v>
      </c>
      <c r="Z294" s="19" t="s">
        <v>11</v>
      </c>
      <c r="AA294" s="20">
        <v>0</v>
      </c>
      <c r="AB294" s="20">
        <v>-11645041.050000001</v>
      </c>
      <c r="AC294" s="20">
        <v>-11645041.050000001</v>
      </c>
    </row>
    <row r="295" spans="1:30" x14ac:dyDescent="0.35">
      <c r="B295" s="2"/>
      <c r="C295" s="15"/>
      <c r="D295" s="15"/>
      <c r="K295" s="2"/>
      <c r="L295" s="2"/>
      <c r="M295" s="15"/>
      <c r="N295" s="2"/>
      <c r="Q295" s="2"/>
      <c r="R295" s="15"/>
      <c r="S295" s="2"/>
      <c r="V295" s="2"/>
      <c r="W295" s="15"/>
      <c r="X295" s="15"/>
      <c r="AA295" s="2"/>
      <c r="AB295" s="15"/>
      <c r="AC295" s="2"/>
    </row>
    <row r="296" spans="1:30" x14ac:dyDescent="0.35">
      <c r="B296" s="2"/>
      <c r="C296" s="15"/>
      <c r="D296" s="15"/>
      <c r="K296" s="2"/>
      <c r="L296" s="2"/>
      <c r="M296" s="15"/>
      <c r="N296" s="2"/>
      <c r="Q296" s="2"/>
      <c r="R296" s="15"/>
      <c r="S296" s="2"/>
      <c r="V296" s="2"/>
      <c r="W296" s="15"/>
      <c r="X296" s="15"/>
      <c r="AA296" s="2"/>
      <c r="AB296" s="15"/>
      <c r="AC296" s="2"/>
    </row>
    <row r="297" spans="1:30" x14ac:dyDescent="0.35">
      <c r="A297" s="11" t="s">
        <v>43</v>
      </c>
      <c r="B297" s="4">
        <v>-12369872.459999941</v>
      </c>
      <c r="C297" s="4">
        <v>48873930.699999973</v>
      </c>
      <c r="D297" s="4">
        <v>36504058.240000032</v>
      </c>
      <c r="F297" s="11" t="s">
        <v>43</v>
      </c>
      <c r="G297" s="4">
        <v>760615</v>
      </c>
      <c r="H297" s="4">
        <v>14342520</v>
      </c>
      <c r="I297" s="4">
        <v>15103135</v>
      </c>
      <c r="K297" s="4" t="s">
        <v>43</v>
      </c>
      <c r="L297" s="4">
        <v>-467142.07000012323</v>
      </c>
      <c r="M297" s="4">
        <v>10899418.969999995</v>
      </c>
      <c r="N297" s="4">
        <v>10432276.899999872</v>
      </c>
      <c r="P297" s="11" t="s">
        <v>43</v>
      </c>
      <c r="Q297" s="4">
        <v>293472.92999987304</v>
      </c>
      <c r="R297" s="4">
        <v>25241938.970000003</v>
      </c>
      <c r="S297" s="4">
        <v>25535411.899999876</v>
      </c>
      <c r="U297" s="11" t="s">
        <v>43</v>
      </c>
      <c r="V297" s="137">
        <v>-5550845.6699998975</v>
      </c>
      <c r="W297" s="4">
        <v>14783555.799999963</v>
      </c>
      <c r="X297" s="4">
        <v>9232710.130000066</v>
      </c>
      <c r="Z297" s="11" t="s">
        <v>43</v>
      </c>
      <c r="AA297" s="4">
        <v>-7112499.7199998833</v>
      </c>
      <c r="AB297" s="4">
        <v>8848435.9299999997</v>
      </c>
      <c r="AC297" s="4">
        <v>1735936.2100001164</v>
      </c>
    </row>
    <row r="298" spans="1:30" x14ac:dyDescent="0.35">
      <c r="A298" t="s">
        <v>6</v>
      </c>
      <c r="B298" s="1">
        <v>0</v>
      </c>
      <c r="C298" s="15">
        <v>-13014739.539999999</v>
      </c>
      <c r="D298" s="2">
        <v>-13014739.539999999</v>
      </c>
      <c r="F298" t="s">
        <v>6</v>
      </c>
      <c r="G298" s="1">
        <v>0</v>
      </c>
      <c r="H298" s="15">
        <v>-2994157</v>
      </c>
      <c r="I298" s="15">
        <v>-2994157</v>
      </c>
      <c r="K298" s="2" t="s">
        <v>6</v>
      </c>
      <c r="L298" s="2">
        <v>0</v>
      </c>
      <c r="M298" s="2">
        <v>-2922619.4399999995</v>
      </c>
      <c r="N298" s="2">
        <v>-2922619.4399999995</v>
      </c>
      <c r="P298" t="s">
        <v>6</v>
      </c>
      <c r="Q298" s="2">
        <v>0</v>
      </c>
      <c r="R298" s="2">
        <v>-5916776.4399999995</v>
      </c>
      <c r="S298" s="2">
        <v>-5916776.4399999995</v>
      </c>
      <c r="U298" t="s">
        <v>6</v>
      </c>
      <c r="V298" s="1">
        <v>0</v>
      </c>
      <c r="W298" s="15">
        <v>-3354976.8299999982</v>
      </c>
      <c r="X298" s="2">
        <v>-3354976.8299999982</v>
      </c>
      <c r="Z298" t="s">
        <v>6</v>
      </c>
      <c r="AA298" s="1">
        <v>0</v>
      </c>
      <c r="AB298" s="1">
        <v>-3742986.2700000014</v>
      </c>
      <c r="AC298" s="2">
        <v>-3742986.2700000014</v>
      </c>
    </row>
    <row r="299" spans="1:30" x14ac:dyDescent="0.35">
      <c r="A299" s="11" t="s">
        <v>7</v>
      </c>
      <c r="B299" s="4">
        <v>-12369872.459999941</v>
      </c>
      <c r="C299" s="4">
        <v>35859191.159999974</v>
      </c>
      <c r="D299" s="4">
        <v>23489318.700000033</v>
      </c>
      <c r="F299" s="11" t="s">
        <v>7</v>
      </c>
      <c r="G299" s="4">
        <v>760615</v>
      </c>
      <c r="H299" s="4">
        <v>11348363</v>
      </c>
      <c r="I299" s="4">
        <v>12108978</v>
      </c>
      <c r="K299" s="4" t="s">
        <v>7</v>
      </c>
      <c r="L299" s="4">
        <v>-467142.07000012323</v>
      </c>
      <c r="M299" s="4">
        <v>7976799.5299999956</v>
      </c>
      <c r="N299" s="4">
        <v>7509657.4599998724</v>
      </c>
      <c r="P299" s="11" t="s">
        <v>7</v>
      </c>
      <c r="Q299" s="4">
        <v>293472.92999987304</v>
      </c>
      <c r="R299" s="4">
        <v>19325162.530000001</v>
      </c>
      <c r="S299" s="4">
        <v>19618635.459999874</v>
      </c>
      <c r="U299" s="11" t="s">
        <v>7</v>
      </c>
      <c r="V299" s="137">
        <v>-5550845.6699998975</v>
      </c>
      <c r="W299" s="4">
        <v>11428578.969999969</v>
      </c>
      <c r="X299" s="4">
        <v>5877733.3000000715</v>
      </c>
      <c r="Z299" s="11" t="s">
        <v>7</v>
      </c>
      <c r="AA299" s="137">
        <v>-7112499.7199998833</v>
      </c>
      <c r="AB299" s="137">
        <v>5105449.6599999983</v>
      </c>
      <c r="AC299" s="4">
        <v>-2007050.059999885</v>
      </c>
    </row>
    <row r="300" spans="1:30" x14ac:dyDescent="0.35">
      <c r="A300" t="s">
        <v>8</v>
      </c>
      <c r="B300" s="1">
        <v>0</v>
      </c>
      <c r="C300" s="15">
        <v>-13637656.777499987</v>
      </c>
      <c r="D300" s="2">
        <v>-13637656.777499987</v>
      </c>
      <c r="F300" t="s">
        <v>8</v>
      </c>
      <c r="G300" s="1">
        <v>0</v>
      </c>
      <c r="H300" s="15">
        <v>-4498399.2997000003</v>
      </c>
      <c r="I300" s="2">
        <v>-4498399.2997000003</v>
      </c>
      <c r="K300" s="2" t="s">
        <v>8</v>
      </c>
      <c r="L300" s="2">
        <v>0</v>
      </c>
      <c r="M300" s="2">
        <v>-2682953.2869999968</v>
      </c>
      <c r="N300" s="2">
        <v>-2682953.2869999968</v>
      </c>
      <c r="P300" t="s">
        <v>8</v>
      </c>
      <c r="Q300" s="2">
        <v>0</v>
      </c>
      <c r="R300" s="2">
        <v>-7181352.5866999971</v>
      </c>
      <c r="S300" s="2">
        <v>-7181352.5866999971</v>
      </c>
      <c r="U300" t="s">
        <v>8</v>
      </c>
      <c r="V300" s="1">
        <v>0</v>
      </c>
      <c r="W300" s="15">
        <v>-4932516.0788179832</v>
      </c>
      <c r="X300" s="2">
        <v>-4932516.0788179832</v>
      </c>
      <c r="Z300" t="s">
        <v>8</v>
      </c>
      <c r="AA300" s="1">
        <v>0</v>
      </c>
      <c r="AB300" s="1">
        <v>-1523788.1119820056</v>
      </c>
      <c r="AC300" s="2">
        <v>-1523788.1119820056</v>
      </c>
    </row>
    <row r="301" spans="1:30" x14ac:dyDescent="0.35">
      <c r="A301" s="11" t="s">
        <v>143</v>
      </c>
      <c r="B301" s="4">
        <v>-12369872.459999941</v>
      </c>
      <c r="C301" s="4">
        <v>22221534.382499985</v>
      </c>
      <c r="D301" s="4">
        <v>9851661.9225000441</v>
      </c>
      <c r="F301" s="11" t="s">
        <v>161</v>
      </c>
      <c r="G301" s="4">
        <v>760615</v>
      </c>
      <c r="H301" s="4">
        <v>6849963.7002999997</v>
      </c>
      <c r="I301" s="4">
        <v>7610578.7002999997</v>
      </c>
      <c r="K301" s="4" t="s">
        <v>161</v>
      </c>
      <c r="L301" s="4">
        <v>-467142.07000012323</v>
      </c>
      <c r="M301" s="4">
        <v>5293846.2429999989</v>
      </c>
      <c r="N301" s="4">
        <v>4826704.1729998756</v>
      </c>
      <c r="P301" s="11" t="s">
        <v>161</v>
      </c>
      <c r="Q301" s="4">
        <v>293472.92999987304</v>
      </c>
      <c r="R301" s="4">
        <v>12143809.943300005</v>
      </c>
      <c r="S301" s="4">
        <v>12437282.873299878</v>
      </c>
      <c r="U301" s="11" t="s">
        <v>9</v>
      </c>
      <c r="V301" s="137">
        <v>-5550845.6699998975</v>
      </c>
      <c r="W301" s="4">
        <v>6496062.8911819868</v>
      </c>
      <c r="X301" s="4">
        <v>945217.2211820893</v>
      </c>
      <c r="Z301" s="11" t="s">
        <v>9</v>
      </c>
      <c r="AA301" s="137">
        <v>-7112499.7199998833</v>
      </c>
      <c r="AB301" s="137">
        <v>3581661.5480179926</v>
      </c>
      <c r="AC301" s="4">
        <v>-3530838.1719818907</v>
      </c>
      <c r="AD301" s="3"/>
    </row>
    <row r="302" spans="1:30" x14ac:dyDescent="0.35">
      <c r="B302" s="3">
        <v>0</v>
      </c>
      <c r="C302" s="3">
        <v>0</v>
      </c>
      <c r="K302" s="2"/>
      <c r="L302" s="2">
        <v>-3.7252902984619141E-9</v>
      </c>
      <c r="M302" s="2">
        <v>0</v>
      </c>
      <c r="N302" s="2">
        <v>0</v>
      </c>
      <c r="Q302" s="3"/>
      <c r="R302" s="3"/>
      <c r="V302" s="12">
        <v>0</v>
      </c>
      <c r="W302" s="12">
        <v>0</v>
      </c>
      <c r="AA302" s="12">
        <v>-3.3527612686157227E-8</v>
      </c>
      <c r="AB302" s="12">
        <v>0</v>
      </c>
      <c r="AC302" s="12">
        <v>-3.3527612686157227E-8</v>
      </c>
    </row>
    <row r="304" spans="1:30" ht="18.5" x14ac:dyDescent="0.35">
      <c r="A304" s="303" t="s">
        <v>167</v>
      </c>
      <c r="B304" s="303"/>
      <c r="C304" s="303"/>
      <c r="D304" s="303"/>
      <c r="F304" s="303" t="s">
        <v>164</v>
      </c>
      <c r="G304" s="303"/>
      <c r="H304" s="303"/>
      <c r="I304" s="303"/>
      <c r="K304" s="303" t="s">
        <v>173</v>
      </c>
      <c r="L304" s="303"/>
      <c r="M304" s="303"/>
      <c r="N304" s="303"/>
      <c r="P304" s="303" t="s">
        <v>178</v>
      </c>
      <c r="Q304" s="303"/>
      <c r="R304" s="303"/>
      <c r="S304" s="303"/>
      <c r="U304" s="303" t="s">
        <v>183</v>
      </c>
      <c r="V304" s="303"/>
      <c r="W304" s="303"/>
      <c r="X304" s="303"/>
      <c r="Z304" s="135" t="s">
        <v>207</v>
      </c>
      <c r="AA304" s="135"/>
      <c r="AB304" s="135"/>
      <c r="AC304" s="135"/>
    </row>
    <row r="305" spans="1:29" ht="15.5" x14ac:dyDescent="0.35">
      <c r="A305" s="8"/>
      <c r="B305" s="10" t="s">
        <v>46</v>
      </c>
      <c r="C305" s="10" t="s">
        <v>1</v>
      </c>
      <c r="D305" s="10" t="s">
        <v>48</v>
      </c>
      <c r="F305" s="8"/>
      <c r="G305" s="10" t="s">
        <v>46</v>
      </c>
      <c r="H305" s="10" t="s">
        <v>1</v>
      </c>
      <c r="I305" s="10" t="s">
        <v>48</v>
      </c>
      <c r="K305" s="8"/>
      <c r="L305" s="10" t="s">
        <v>46</v>
      </c>
      <c r="M305" s="10" t="s">
        <v>1</v>
      </c>
      <c r="N305" s="10" t="s">
        <v>48</v>
      </c>
      <c r="P305" s="8"/>
      <c r="Q305" s="10" t="s">
        <v>46</v>
      </c>
      <c r="R305" s="10" t="s">
        <v>1</v>
      </c>
      <c r="S305" s="10" t="s">
        <v>48</v>
      </c>
      <c r="U305" s="8"/>
      <c r="V305" s="10" t="s">
        <v>46</v>
      </c>
      <c r="W305" s="10" t="s">
        <v>1</v>
      </c>
      <c r="X305" s="10" t="s">
        <v>48</v>
      </c>
      <c r="Z305" s="24"/>
      <c r="AA305" s="10" t="s">
        <v>46</v>
      </c>
      <c r="AB305" s="10" t="s">
        <v>1</v>
      </c>
      <c r="AC305" s="26" t="s">
        <v>48</v>
      </c>
    </row>
    <row r="306" spans="1:29" x14ac:dyDescent="0.35">
      <c r="A306" t="s">
        <v>85</v>
      </c>
      <c r="B306" s="2">
        <v>0</v>
      </c>
      <c r="C306" s="2">
        <v>17304479.109999999</v>
      </c>
      <c r="D306" s="3">
        <v>17304479.109999999</v>
      </c>
      <c r="F306" t="s">
        <v>85</v>
      </c>
      <c r="G306" s="1">
        <v>0</v>
      </c>
      <c r="H306" s="1">
        <v>12186834.85</v>
      </c>
      <c r="I306" s="12">
        <v>12186834.85</v>
      </c>
      <c r="K306" t="s">
        <v>85</v>
      </c>
      <c r="L306" s="2">
        <v>0</v>
      </c>
      <c r="M306" s="2">
        <v>1660681.3600000013</v>
      </c>
      <c r="N306" s="2">
        <v>1660681.3600000013</v>
      </c>
      <c r="P306" t="s">
        <v>85</v>
      </c>
      <c r="Q306" s="1">
        <v>0</v>
      </c>
      <c r="R306" s="1">
        <v>13847516.210000001</v>
      </c>
      <c r="S306" s="12">
        <v>13847516.210000001</v>
      </c>
      <c r="U306" t="s">
        <v>85</v>
      </c>
      <c r="V306" s="2">
        <v>0</v>
      </c>
      <c r="W306" s="2">
        <v>1710044.7300000004</v>
      </c>
      <c r="X306" s="2">
        <v>1710044.7300000004</v>
      </c>
      <c r="Y306" s="12">
        <v>15557560.940000001</v>
      </c>
      <c r="Z306" t="s">
        <v>85</v>
      </c>
      <c r="AA306" s="1">
        <v>0</v>
      </c>
      <c r="AB306" s="1">
        <v>1746918.1699999981</v>
      </c>
      <c r="AC306" s="2">
        <v>1746918.1699999981</v>
      </c>
    </row>
    <row r="307" spans="1:29" x14ac:dyDescent="0.35">
      <c r="A307" t="s">
        <v>19</v>
      </c>
      <c r="B307" s="2">
        <v>0</v>
      </c>
      <c r="C307" s="2">
        <v>88899.78</v>
      </c>
      <c r="D307" s="3">
        <v>88899.78</v>
      </c>
      <c r="F307" t="s">
        <v>19</v>
      </c>
      <c r="G307" s="1">
        <v>0</v>
      </c>
      <c r="H307" s="1">
        <v>12270.94</v>
      </c>
      <c r="I307" s="12">
        <v>12270.94</v>
      </c>
      <c r="K307" t="s">
        <v>19</v>
      </c>
      <c r="L307" s="2">
        <v>0</v>
      </c>
      <c r="M307" s="2">
        <v>40747.42</v>
      </c>
      <c r="N307" s="2">
        <v>40747.42</v>
      </c>
      <c r="P307" t="s">
        <v>19</v>
      </c>
      <c r="Q307" s="1">
        <v>0</v>
      </c>
      <c r="R307" s="1">
        <v>53018.36</v>
      </c>
      <c r="S307" s="12">
        <v>53018.36</v>
      </c>
      <c r="U307" t="s">
        <v>19</v>
      </c>
      <c r="V307" s="2">
        <v>0</v>
      </c>
      <c r="W307" s="2">
        <v>21517.61</v>
      </c>
      <c r="X307" s="2">
        <v>21517.61</v>
      </c>
      <c r="Y307" s="12">
        <v>74535.97</v>
      </c>
      <c r="Z307" t="s">
        <v>19</v>
      </c>
      <c r="AA307" s="1">
        <v>0</v>
      </c>
      <c r="AB307" s="1">
        <v>14363.809999999998</v>
      </c>
      <c r="AC307" s="2">
        <v>14363.809999999998</v>
      </c>
    </row>
    <row r="308" spans="1:29" x14ac:dyDescent="0.35">
      <c r="A308" t="s">
        <v>86</v>
      </c>
      <c r="B308" s="2">
        <v>0</v>
      </c>
      <c r="C308" s="2">
        <v>0</v>
      </c>
      <c r="D308" s="3">
        <v>0</v>
      </c>
      <c r="F308" t="s">
        <v>86</v>
      </c>
      <c r="G308" s="1">
        <v>0</v>
      </c>
      <c r="H308" s="1">
        <v>0</v>
      </c>
      <c r="I308" s="12">
        <v>0</v>
      </c>
      <c r="K308" t="s">
        <v>86</v>
      </c>
      <c r="L308" s="2">
        <v>0</v>
      </c>
      <c r="M308" s="2">
        <v>0</v>
      </c>
      <c r="N308" s="2">
        <v>0</v>
      </c>
      <c r="P308" t="s">
        <v>86</v>
      </c>
      <c r="Q308" s="1">
        <v>0</v>
      </c>
      <c r="R308" s="1">
        <v>0</v>
      </c>
      <c r="S308" s="12">
        <v>0</v>
      </c>
      <c r="U308" t="s">
        <v>86</v>
      </c>
      <c r="V308" s="2">
        <v>0</v>
      </c>
      <c r="W308" s="2">
        <v>0</v>
      </c>
      <c r="X308" s="2">
        <v>0</v>
      </c>
      <c r="Y308" s="12">
        <v>0</v>
      </c>
      <c r="Z308" t="s">
        <v>86</v>
      </c>
      <c r="AA308" s="1">
        <v>0</v>
      </c>
      <c r="AB308" s="1">
        <v>0</v>
      </c>
      <c r="AC308" s="2">
        <v>0</v>
      </c>
    </row>
    <row r="309" spans="1:29" x14ac:dyDescent="0.35">
      <c r="A309" t="s">
        <v>87</v>
      </c>
      <c r="B309" s="2">
        <v>0</v>
      </c>
      <c r="C309" s="2">
        <v>0</v>
      </c>
      <c r="D309" s="3">
        <v>0</v>
      </c>
      <c r="F309" t="s">
        <v>87</v>
      </c>
      <c r="G309" s="1">
        <v>0</v>
      </c>
      <c r="H309" s="1">
        <v>0</v>
      </c>
      <c r="I309" s="12">
        <v>0</v>
      </c>
      <c r="K309" t="s">
        <v>87</v>
      </c>
      <c r="L309" s="2">
        <v>0</v>
      </c>
      <c r="M309" s="2">
        <v>0</v>
      </c>
      <c r="N309" s="2">
        <v>0</v>
      </c>
      <c r="P309" t="s">
        <v>87</v>
      </c>
      <c r="Q309" s="1">
        <v>0</v>
      </c>
      <c r="R309" s="1">
        <v>0</v>
      </c>
      <c r="S309" s="12">
        <v>0</v>
      </c>
      <c r="U309" t="s">
        <v>87</v>
      </c>
      <c r="V309" s="2">
        <v>0</v>
      </c>
      <c r="W309" s="2">
        <v>0</v>
      </c>
      <c r="X309" s="2">
        <v>0</v>
      </c>
      <c r="Y309" s="12">
        <v>0</v>
      </c>
      <c r="Z309" t="s">
        <v>87</v>
      </c>
      <c r="AA309" s="1">
        <v>0</v>
      </c>
      <c r="AB309" s="1">
        <v>0</v>
      </c>
      <c r="AC309" s="2">
        <v>0</v>
      </c>
    </row>
    <row r="310" spans="1:29" x14ac:dyDescent="0.35">
      <c r="A310" s="19" t="s">
        <v>18</v>
      </c>
      <c r="B310" s="20">
        <v>0</v>
      </c>
      <c r="C310" s="20">
        <v>17393378.890000001</v>
      </c>
      <c r="D310" s="20">
        <v>17393378.890000001</v>
      </c>
      <c r="F310" s="19" t="s">
        <v>18</v>
      </c>
      <c r="G310" s="20">
        <v>0</v>
      </c>
      <c r="H310" s="20">
        <v>12199105.789999999</v>
      </c>
      <c r="I310" s="20">
        <v>12199105.789999999</v>
      </c>
      <c r="K310" s="19" t="s">
        <v>18</v>
      </c>
      <c r="L310" s="20">
        <v>0</v>
      </c>
      <c r="M310" s="20">
        <v>1701428.7800000012</v>
      </c>
      <c r="N310" s="20">
        <v>1701428.7800000012</v>
      </c>
      <c r="P310" s="19" t="s">
        <v>18</v>
      </c>
      <c r="Q310" s="20">
        <v>0</v>
      </c>
      <c r="R310" s="20">
        <v>13900534.57</v>
      </c>
      <c r="S310" s="20">
        <v>13900534.57</v>
      </c>
      <c r="U310" s="19" t="s">
        <v>18</v>
      </c>
      <c r="V310" s="20">
        <v>0</v>
      </c>
      <c r="W310" s="20">
        <v>1731562.3400000005</v>
      </c>
      <c r="X310" s="20">
        <v>1731562.3400000005</v>
      </c>
      <c r="Y310" s="12">
        <v>15632096.91</v>
      </c>
      <c r="Z310" s="19" t="s">
        <v>18</v>
      </c>
      <c r="AA310" s="20">
        <v>0</v>
      </c>
      <c r="AB310" s="20">
        <v>1761281.9799999981</v>
      </c>
      <c r="AC310" s="20">
        <v>1761281.9799999981</v>
      </c>
    </row>
    <row r="311" spans="1:29" x14ac:dyDescent="0.35">
      <c r="B311" s="2"/>
      <c r="C311" s="15"/>
      <c r="D311" s="3"/>
      <c r="G311" s="1"/>
      <c r="H311" s="15"/>
      <c r="I311" s="12"/>
      <c r="L311" s="2"/>
      <c r="M311" s="15"/>
      <c r="N311" s="2"/>
      <c r="Q311" s="1"/>
      <c r="R311" s="15"/>
      <c r="S311" s="12"/>
      <c r="V311" s="2"/>
      <c r="W311" s="15"/>
      <c r="X311" s="2"/>
      <c r="Y311" s="12">
        <v>0</v>
      </c>
      <c r="AA311" s="1"/>
      <c r="AB311" s="15"/>
      <c r="AC311" s="2"/>
    </row>
    <row r="312" spans="1:29" x14ac:dyDescent="0.35">
      <c r="B312" s="2"/>
      <c r="C312" s="15"/>
      <c r="D312" s="3"/>
      <c r="G312" s="1"/>
      <c r="H312" s="15"/>
      <c r="I312" s="12"/>
      <c r="L312" s="2"/>
      <c r="M312" s="15"/>
      <c r="N312" s="2"/>
      <c r="Q312" s="1"/>
      <c r="R312" s="15"/>
      <c r="S312" s="12"/>
      <c r="V312" s="2"/>
      <c r="W312" s="15"/>
      <c r="X312" s="2"/>
      <c r="Y312" s="12">
        <v>0</v>
      </c>
      <c r="AA312" s="1"/>
      <c r="AB312" s="15"/>
      <c r="AC312" s="2"/>
    </row>
    <row r="313" spans="1:29" x14ac:dyDescent="0.35">
      <c r="A313" t="s">
        <v>12</v>
      </c>
      <c r="B313" s="2">
        <v>245043234.70000002</v>
      </c>
      <c r="C313" s="2">
        <v>19943798.407474592</v>
      </c>
      <c r="D313" s="3">
        <v>264987033.10747463</v>
      </c>
      <c r="F313" t="s">
        <v>12</v>
      </c>
      <c r="G313" s="1">
        <v>79120903.289999977</v>
      </c>
      <c r="H313" s="1">
        <v>3793852.3600000003</v>
      </c>
      <c r="I313" s="12">
        <v>82914755.649999976</v>
      </c>
      <c r="K313" t="s">
        <v>12</v>
      </c>
      <c r="L313" s="2">
        <v>66541703.570000008</v>
      </c>
      <c r="M313" s="2">
        <v>3265662.2899999991</v>
      </c>
      <c r="N313" s="2">
        <v>69807365.860000014</v>
      </c>
      <c r="P313" t="s">
        <v>12</v>
      </c>
      <c r="Q313" s="1">
        <v>145662606.85999998</v>
      </c>
      <c r="R313" s="1">
        <v>7059514.6499999994</v>
      </c>
      <c r="S313" s="12">
        <v>152722121.50999999</v>
      </c>
      <c r="U313" t="s">
        <v>12</v>
      </c>
      <c r="V313" s="2">
        <v>55472836.939999998</v>
      </c>
      <c r="W313" s="2">
        <v>6252701.8621825306</v>
      </c>
      <c r="X313" s="2">
        <v>61725538.802182525</v>
      </c>
      <c r="Y313" s="12">
        <v>214447660.31218252</v>
      </c>
      <c r="Z313" t="s">
        <v>12</v>
      </c>
      <c r="AA313" s="1">
        <v>43907790.900000036</v>
      </c>
      <c r="AB313" s="1">
        <v>6631581.8952920614</v>
      </c>
      <c r="AC313" s="2">
        <v>50539372.795292094</v>
      </c>
    </row>
    <row r="314" spans="1:29" x14ac:dyDescent="0.35">
      <c r="A314" t="s">
        <v>3</v>
      </c>
      <c r="B314" s="2">
        <v>-230836701.53000003</v>
      </c>
      <c r="C314" s="2">
        <v>-1291189.2054950001</v>
      </c>
      <c r="D314" s="3">
        <v>-232127890.73549503</v>
      </c>
      <c r="F314" t="s">
        <v>3</v>
      </c>
      <c r="G314" s="1">
        <v>-74309325.349999994</v>
      </c>
      <c r="H314" s="1">
        <v>-232134.88134399996</v>
      </c>
      <c r="I314" s="12">
        <v>-74541460.231344</v>
      </c>
      <c r="K314" t="s">
        <v>3</v>
      </c>
      <c r="L314" s="2">
        <v>-62182846.219999999</v>
      </c>
      <c r="M314" s="2">
        <v>-238339.06008766676</v>
      </c>
      <c r="N314" s="2">
        <v>-62421185.280087665</v>
      </c>
      <c r="P314" t="s">
        <v>3</v>
      </c>
      <c r="Q314" s="1">
        <v>-136492171.56999999</v>
      </c>
      <c r="R314" s="1">
        <v>-470473.94143166672</v>
      </c>
      <c r="S314" s="12">
        <v>-136962645.51143166</v>
      </c>
      <c r="U314" t="s">
        <v>3</v>
      </c>
      <c r="V314" s="2">
        <v>-52382989.150000006</v>
      </c>
      <c r="W314" s="2">
        <v>-234832.27756125003</v>
      </c>
      <c r="X314" s="2">
        <v>-52617821.427561253</v>
      </c>
      <c r="Y314" s="12">
        <v>-189580466.93899292</v>
      </c>
      <c r="Z314" t="s">
        <v>3</v>
      </c>
      <c r="AA314" s="1">
        <v>-41961540.810000032</v>
      </c>
      <c r="AB314" s="1">
        <v>-585882.98650208348</v>
      </c>
      <c r="AC314" s="2">
        <v>-42547423.796502113</v>
      </c>
    </row>
    <row r="315" spans="1:29" x14ac:dyDescent="0.35">
      <c r="A315" t="s">
        <v>88</v>
      </c>
      <c r="B315" s="2">
        <v>19958680.59</v>
      </c>
      <c r="C315" s="2">
        <v>9636807.5965743996</v>
      </c>
      <c r="D315" s="3">
        <v>29595488.186574399</v>
      </c>
      <c r="F315" t="s">
        <v>88</v>
      </c>
      <c r="G315" s="1">
        <v>4346773.8099999996</v>
      </c>
      <c r="H315" s="1">
        <v>2885656.41</v>
      </c>
      <c r="I315" s="12">
        <v>7232430.2199999997</v>
      </c>
      <c r="K315" t="s">
        <v>88</v>
      </c>
      <c r="L315" s="2">
        <v>6642514.3600000003</v>
      </c>
      <c r="M315" s="2">
        <v>2483390.1900000004</v>
      </c>
      <c r="N315" s="2">
        <v>9125904.5500000007</v>
      </c>
      <c r="P315" t="s">
        <v>88</v>
      </c>
      <c r="Q315" s="1">
        <v>10989288.17</v>
      </c>
      <c r="R315" s="1">
        <v>5369046.6000000006</v>
      </c>
      <c r="S315" s="12">
        <v>16358334.77</v>
      </c>
      <c r="U315" t="s">
        <v>88</v>
      </c>
      <c r="V315" s="2">
        <v>4091313.290000001</v>
      </c>
      <c r="W315" s="2">
        <v>2850388.6015966227</v>
      </c>
      <c r="X315" s="2">
        <v>6941701.8915966237</v>
      </c>
      <c r="Y315" s="12">
        <v>23300036.661596622</v>
      </c>
      <c r="Z315" t="s">
        <v>88</v>
      </c>
      <c r="AA315" s="1">
        <v>4878079.129999999</v>
      </c>
      <c r="AB315" s="1">
        <v>1417372.3949777763</v>
      </c>
      <c r="AC315" s="2">
        <v>6295451.5249777753</v>
      </c>
    </row>
    <row r="316" spans="1:29" x14ac:dyDescent="0.35">
      <c r="A316" t="s">
        <v>13</v>
      </c>
      <c r="B316" s="2">
        <v>-13712737.52</v>
      </c>
      <c r="C316" s="2">
        <v>-226202.62</v>
      </c>
      <c r="D316" s="3">
        <v>-13938940.139999999</v>
      </c>
      <c r="F316" t="s">
        <v>13</v>
      </c>
      <c r="G316" s="1">
        <v>-4425534.3900000006</v>
      </c>
      <c r="H316" s="1">
        <v>-94225.8</v>
      </c>
      <c r="I316" s="12">
        <v>-4519760.1900000004</v>
      </c>
      <c r="K316" t="s">
        <v>13</v>
      </c>
      <c r="L316" s="2">
        <v>-3762231.0199999996</v>
      </c>
      <c r="M316" s="2">
        <v>-43743.08</v>
      </c>
      <c r="N316" s="2">
        <v>-3805974.0999999996</v>
      </c>
      <c r="P316" t="s">
        <v>13</v>
      </c>
      <c r="Q316" s="1">
        <v>-8187765.4100000001</v>
      </c>
      <c r="R316" s="1">
        <v>-137968.88</v>
      </c>
      <c r="S316" s="12">
        <v>-8325734.29</v>
      </c>
      <c r="U316" t="s">
        <v>13</v>
      </c>
      <c r="V316" s="2">
        <v>-3081657.16</v>
      </c>
      <c r="W316" s="2">
        <v>-25872.210000000021</v>
      </c>
      <c r="X316" s="2">
        <v>-3107529.37</v>
      </c>
      <c r="Y316" s="12">
        <v>-11433263.66</v>
      </c>
      <c r="Z316" t="s">
        <v>13</v>
      </c>
      <c r="AA316" s="1">
        <v>-2443314.9499999993</v>
      </c>
      <c r="AB316" s="1">
        <v>-62361.52999999997</v>
      </c>
      <c r="AC316" s="2">
        <v>-2505676.4799999991</v>
      </c>
    </row>
    <row r="317" spans="1:29" x14ac:dyDescent="0.35">
      <c r="A317" s="19" t="s">
        <v>14</v>
      </c>
      <c r="B317" s="20">
        <v>20452476.239999991</v>
      </c>
      <c r="C317" s="20">
        <v>28063214.178553991</v>
      </c>
      <c r="D317" s="20">
        <v>48515690.418553978</v>
      </c>
      <c r="F317" s="19" t="s">
        <v>14</v>
      </c>
      <c r="G317" s="20">
        <v>4732817.3599999808</v>
      </c>
      <c r="H317" s="20">
        <v>6353148.0886560008</v>
      </c>
      <c r="I317" s="20">
        <v>11085965.448655982</v>
      </c>
      <c r="K317" s="19" t="s">
        <v>14</v>
      </c>
      <c r="L317" s="20">
        <v>7239140.6900000088</v>
      </c>
      <c r="M317" s="20">
        <v>5466970.3399123326</v>
      </c>
      <c r="N317" s="20">
        <v>12706111.029912341</v>
      </c>
      <c r="P317" s="19" t="s">
        <v>14</v>
      </c>
      <c r="Q317" s="20">
        <v>11971958.049999993</v>
      </c>
      <c r="R317" s="20">
        <v>11820118.428568332</v>
      </c>
      <c r="S317" s="20">
        <v>23792076.478568323</v>
      </c>
      <c r="U317" s="19" t="s">
        <v>14</v>
      </c>
      <c r="V317" s="20">
        <v>4099503.9199999925</v>
      </c>
      <c r="W317" s="20">
        <v>8842385.9762179032</v>
      </c>
      <c r="X317" s="20">
        <v>12941889.896217896</v>
      </c>
      <c r="Y317" s="12">
        <v>36733966.37478622</v>
      </c>
      <c r="Z317" s="19" t="s">
        <v>14</v>
      </c>
      <c r="AA317" s="20">
        <v>4381014.2700000033</v>
      </c>
      <c r="AB317" s="20">
        <v>7400709.7737677535</v>
      </c>
      <c r="AC317" s="20">
        <v>11781724.043767758</v>
      </c>
    </row>
    <row r="318" spans="1:29" x14ac:dyDescent="0.35">
      <c r="B318" s="2"/>
      <c r="C318" s="15"/>
      <c r="D318" s="3"/>
      <c r="G318" s="2"/>
      <c r="H318" s="15"/>
      <c r="I318" s="12"/>
      <c r="L318" s="2"/>
      <c r="M318" s="15"/>
      <c r="N318" s="2"/>
      <c r="Q318" s="2"/>
      <c r="R318" s="15"/>
      <c r="S318" s="12"/>
      <c r="V318" s="2"/>
      <c r="W318" s="15"/>
      <c r="X318" s="2"/>
      <c r="Y318" s="12">
        <v>0</v>
      </c>
      <c r="AA318" s="12"/>
      <c r="AB318" s="15"/>
      <c r="AC318" s="2"/>
    </row>
    <row r="319" spans="1:29" x14ac:dyDescent="0.35">
      <c r="B319" s="2"/>
      <c r="C319" s="15"/>
      <c r="D319" s="3"/>
      <c r="G319" s="2"/>
      <c r="H319" s="15"/>
      <c r="I319" s="12"/>
      <c r="L319" s="2"/>
      <c r="M319" s="15"/>
      <c r="N319" s="2"/>
      <c r="Q319" s="2"/>
      <c r="R319" s="15"/>
      <c r="S319" s="12"/>
      <c r="V319" s="2"/>
      <c r="W319" s="15"/>
      <c r="X319" s="2"/>
      <c r="Y319" s="12">
        <v>0</v>
      </c>
      <c r="AA319" s="12"/>
      <c r="AB319" s="15"/>
      <c r="AC319" s="2"/>
    </row>
    <row r="320" spans="1:29" x14ac:dyDescent="0.35">
      <c r="A320" t="s">
        <v>15</v>
      </c>
      <c r="B320" s="2">
        <v>0</v>
      </c>
      <c r="C320" s="2">
        <v>4598012.800666932</v>
      </c>
      <c r="D320" s="3">
        <v>4598012.800666932</v>
      </c>
      <c r="F320" t="s">
        <v>15</v>
      </c>
      <c r="G320" s="1">
        <v>0</v>
      </c>
      <c r="H320" s="1">
        <v>2242118.34</v>
      </c>
      <c r="I320" s="12">
        <v>2242118.34</v>
      </c>
      <c r="K320" t="s">
        <v>15</v>
      </c>
      <c r="L320" s="2">
        <v>0</v>
      </c>
      <c r="M320" s="2">
        <v>-254809.66999999969</v>
      </c>
      <c r="N320" s="2">
        <v>-254809.66999999969</v>
      </c>
      <c r="P320" t="s">
        <v>15</v>
      </c>
      <c r="Q320" s="1">
        <v>0</v>
      </c>
      <c r="R320" s="1">
        <v>1987308.6700000002</v>
      </c>
      <c r="S320" s="12">
        <v>1987308.6700000002</v>
      </c>
      <c r="U320" t="s">
        <v>15</v>
      </c>
      <c r="V320" s="2">
        <v>0</v>
      </c>
      <c r="W320" s="2">
        <v>1915341.1382937592</v>
      </c>
      <c r="X320" s="2">
        <v>1915341.1382937592</v>
      </c>
      <c r="Y320" s="12">
        <v>3902649.8082937594</v>
      </c>
      <c r="Z320" t="s">
        <v>15</v>
      </c>
      <c r="AA320" s="1">
        <v>0</v>
      </c>
      <c r="AB320" s="1">
        <v>695362.99237317289</v>
      </c>
      <c r="AC320" s="2">
        <v>695362.99237317289</v>
      </c>
    </row>
    <row r="321" spans="1:29" x14ac:dyDescent="0.35">
      <c r="A321" t="s">
        <v>16</v>
      </c>
      <c r="B321" s="2">
        <v>0</v>
      </c>
      <c r="C321" s="2">
        <v>-4067867.84</v>
      </c>
      <c r="D321" s="3">
        <v>-4067867.84</v>
      </c>
      <c r="F321" t="s">
        <v>16</v>
      </c>
      <c r="G321" s="1">
        <v>0</v>
      </c>
      <c r="H321" s="1">
        <v>-1126895.19</v>
      </c>
      <c r="I321" s="12">
        <v>-1126895.19</v>
      </c>
      <c r="K321" t="s">
        <v>16</v>
      </c>
      <c r="L321" s="2">
        <v>0</v>
      </c>
      <c r="M321" s="2">
        <v>-351430.77</v>
      </c>
      <c r="N321" s="2">
        <v>-351430.77</v>
      </c>
      <c r="P321" t="s">
        <v>16</v>
      </c>
      <c r="Q321" s="1">
        <v>0</v>
      </c>
      <c r="R321" s="1">
        <v>-1478325.96</v>
      </c>
      <c r="S321" s="12">
        <v>-1478325.96</v>
      </c>
      <c r="U321" t="s">
        <v>16</v>
      </c>
      <c r="V321" s="2">
        <v>0</v>
      </c>
      <c r="W321" s="2">
        <v>-1084269.9699999997</v>
      </c>
      <c r="X321" s="2">
        <v>-1084269.9699999997</v>
      </c>
      <c r="Y321" s="12">
        <v>-2562595.9299999997</v>
      </c>
      <c r="Z321" t="s">
        <v>16</v>
      </c>
      <c r="AA321" s="1">
        <v>0</v>
      </c>
      <c r="AB321" s="1">
        <v>-1505271.9100000001</v>
      </c>
      <c r="AC321" s="2">
        <v>-1505271.9100000001</v>
      </c>
    </row>
    <row r="322" spans="1:29" x14ac:dyDescent="0.35">
      <c r="A322" s="19" t="s">
        <v>17</v>
      </c>
      <c r="B322" s="20">
        <v>0</v>
      </c>
      <c r="C322" s="20">
        <v>530144.96066693217</v>
      </c>
      <c r="D322" s="20">
        <v>530144.96066693217</v>
      </c>
      <c r="F322" s="19" t="s">
        <v>17</v>
      </c>
      <c r="G322" s="20">
        <v>0</v>
      </c>
      <c r="H322" s="20">
        <v>1115223.1499999999</v>
      </c>
      <c r="I322" s="20">
        <v>1115223.1499999999</v>
      </c>
      <c r="K322" s="19" t="s">
        <v>17</v>
      </c>
      <c r="L322" s="20">
        <v>0</v>
      </c>
      <c r="M322" s="20">
        <v>-606240.43999999971</v>
      </c>
      <c r="N322" s="20">
        <v>-606240.43999999971</v>
      </c>
      <c r="P322" s="19" t="s">
        <v>17</v>
      </c>
      <c r="Q322" s="20">
        <v>0</v>
      </c>
      <c r="R322" s="20">
        <v>508982.7100000002</v>
      </c>
      <c r="S322" s="20">
        <v>508982.7100000002</v>
      </c>
      <c r="U322" s="19" t="s">
        <v>17</v>
      </c>
      <c r="V322" s="20">
        <v>0</v>
      </c>
      <c r="W322" s="20">
        <v>831071.16829375946</v>
      </c>
      <c r="X322" s="20">
        <v>831071.16829375946</v>
      </c>
      <c r="Y322" s="12">
        <v>1340053.8782937597</v>
      </c>
      <c r="Z322" s="19" t="s">
        <v>17</v>
      </c>
      <c r="AA322" s="20">
        <v>0</v>
      </c>
      <c r="AB322" s="20">
        <v>-809908.91762682726</v>
      </c>
      <c r="AC322" s="20">
        <v>-809908.91762682726</v>
      </c>
    </row>
    <row r="323" spans="1:29" x14ac:dyDescent="0.35">
      <c r="B323" s="2"/>
      <c r="C323" s="15"/>
      <c r="D323" s="3"/>
      <c r="G323" s="1"/>
      <c r="H323" s="15"/>
      <c r="I323" s="12"/>
      <c r="L323" s="2"/>
      <c r="M323" s="15"/>
      <c r="N323" s="2"/>
      <c r="Q323" s="1"/>
      <c r="R323" s="15"/>
      <c r="S323" s="12"/>
      <c r="V323" s="2"/>
      <c r="W323" s="15"/>
      <c r="X323" s="2"/>
      <c r="Y323" s="12">
        <v>0</v>
      </c>
      <c r="AA323" s="1"/>
      <c r="AB323" s="15"/>
      <c r="AC323" s="2"/>
    </row>
    <row r="324" spans="1:29" x14ac:dyDescent="0.35">
      <c r="B324" s="2"/>
      <c r="C324" s="15"/>
      <c r="D324" s="3"/>
      <c r="G324" s="1"/>
      <c r="H324" s="15"/>
      <c r="I324" s="12"/>
      <c r="L324" s="2"/>
      <c r="M324" s="15"/>
      <c r="N324" s="2"/>
      <c r="Q324" s="1"/>
      <c r="R324" s="15"/>
      <c r="S324" s="12"/>
      <c r="V324" s="2"/>
      <c r="W324" s="15"/>
      <c r="X324" s="2"/>
      <c r="Y324" s="12">
        <v>0</v>
      </c>
      <c r="AA324" s="1"/>
      <c r="AB324" s="15"/>
      <c r="AC324" s="2"/>
    </row>
    <row r="325" spans="1:29" x14ac:dyDescent="0.35">
      <c r="A325" s="16" t="s">
        <v>20</v>
      </c>
      <c r="B325" s="23">
        <v>0</v>
      </c>
      <c r="C325" s="23">
        <v>0</v>
      </c>
      <c r="D325" s="208">
        <v>0</v>
      </c>
      <c r="F325" s="16" t="s">
        <v>20</v>
      </c>
      <c r="G325" s="141">
        <v>0</v>
      </c>
      <c r="H325" s="141">
        <v>0</v>
      </c>
      <c r="I325" s="142">
        <v>0</v>
      </c>
      <c r="K325" s="16" t="s">
        <v>20</v>
      </c>
      <c r="L325" s="2">
        <v>0</v>
      </c>
      <c r="M325" s="2">
        <v>0</v>
      </c>
      <c r="N325" s="7">
        <v>0</v>
      </c>
      <c r="P325" s="16" t="s">
        <v>20</v>
      </c>
      <c r="Q325" s="1">
        <v>0</v>
      </c>
      <c r="R325" s="1">
        <v>0</v>
      </c>
      <c r="S325" s="142">
        <v>0</v>
      </c>
      <c r="U325" s="16" t="s">
        <v>20</v>
      </c>
      <c r="V325" s="2">
        <v>0</v>
      </c>
      <c r="W325" s="2">
        <v>0</v>
      </c>
      <c r="X325" s="7">
        <v>0</v>
      </c>
      <c r="Y325" s="12">
        <v>0</v>
      </c>
      <c r="Z325" s="16" t="s">
        <v>20</v>
      </c>
      <c r="AA325" s="27">
        <v>0</v>
      </c>
      <c r="AB325" s="28">
        <v>0</v>
      </c>
      <c r="AC325" s="17">
        <v>0</v>
      </c>
    </row>
    <row r="326" spans="1:29" x14ac:dyDescent="0.35">
      <c r="B326" s="2"/>
      <c r="C326" s="15"/>
      <c r="D326" s="3"/>
      <c r="G326" s="1"/>
      <c r="H326" s="15"/>
      <c r="I326" s="12"/>
      <c r="L326" s="155"/>
      <c r="M326" s="156"/>
      <c r="N326" s="155"/>
      <c r="Q326" s="1"/>
      <c r="R326" s="15"/>
      <c r="S326" s="12"/>
      <c r="V326" s="155"/>
      <c r="W326" s="156"/>
      <c r="X326" s="155"/>
      <c r="Y326" s="12">
        <v>0</v>
      </c>
      <c r="AA326" s="1"/>
      <c r="AB326" s="15"/>
      <c r="AC326" s="2"/>
    </row>
    <row r="327" spans="1:29" x14ac:dyDescent="0.35">
      <c r="B327" s="2"/>
      <c r="C327" s="15"/>
      <c r="D327" s="3"/>
      <c r="G327" s="1"/>
      <c r="H327" s="15"/>
      <c r="I327" s="12"/>
      <c r="L327" s="2"/>
      <c r="M327" s="15"/>
      <c r="N327" s="2"/>
      <c r="Q327" s="1"/>
      <c r="R327" s="15"/>
      <c r="S327" s="12"/>
      <c r="V327" s="2"/>
      <c r="W327" s="15"/>
      <c r="X327" s="2"/>
      <c r="Y327" s="12">
        <v>0</v>
      </c>
      <c r="AC327" s="2"/>
    </row>
    <row r="328" spans="1:29" x14ac:dyDescent="0.35">
      <c r="B328" s="2"/>
      <c r="C328" s="15"/>
      <c r="D328" s="3"/>
      <c r="G328" s="1"/>
      <c r="H328" s="15"/>
      <c r="I328" s="12"/>
      <c r="L328" s="2"/>
      <c r="M328" s="15"/>
      <c r="N328" s="2"/>
      <c r="Q328" s="1"/>
      <c r="R328" s="15"/>
      <c r="S328" s="12"/>
      <c r="V328" s="2"/>
      <c r="W328" s="15"/>
      <c r="X328" s="2"/>
      <c r="Y328" s="12">
        <v>0</v>
      </c>
      <c r="AC328" s="2"/>
    </row>
    <row r="329" spans="1:29" x14ac:dyDescent="0.35">
      <c r="A329" t="s">
        <v>0</v>
      </c>
      <c r="B329" s="2">
        <v>0</v>
      </c>
      <c r="C329" s="2">
        <v>22303987</v>
      </c>
      <c r="D329" s="3">
        <v>22303987</v>
      </c>
      <c r="F329" t="s">
        <v>0</v>
      </c>
      <c r="G329" s="1">
        <v>0</v>
      </c>
      <c r="H329" s="1">
        <v>7056667</v>
      </c>
      <c r="I329" s="12">
        <v>7056667</v>
      </c>
      <c r="K329" t="s">
        <v>0</v>
      </c>
      <c r="L329" s="2">
        <v>0</v>
      </c>
      <c r="M329" s="2">
        <v>4889397</v>
      </c>
      <c r="N329" s="2">
        <v>4889397</v>
      </c>
      <c r="P329" t="s">
        <v>0</v>
      </c>
      <c r="Q329" s="1">
        <v>0</v>
      </c>
      <c r="R329" s="1">
        <v>11946064</v>
      </c>
      <c r="S329" s="12">
        <v>11946064</v>
      </c>
      <c r="U329" t="s">
        <v>0</v>
      </c>
      <c r="V329" s="2">
        <v>0</v>
      </c>
      <c r="W329" s="2">
        <v>5878737</v>
      </c>
      <c r="X329" s="2">
        <v>5878737</v>
      </c>
      <c r="Y329" s="12">
        <v>17824801</v>
      </c>
      <c r="Z329" t="s">
        <v>0</v>
      </c>
      <c r="AA329" s="1">
        <v>0</v>
      </c>
      <c r="AB329" s="1">
        <v>4479186</v>
      </c>
      <c r="AC329" s="2">
        <v>4479186</v>
      </c>
    </row>
    <row r="330" spans="1:29" x14ac:dyDescent="0.35">
      <c r="A330" t="s">
        <v>2</v>
      </c>
      <c r="B330" s="2">
        <v>0</v>
      </c>
      <c r="C330" s="2">
        <v>-12469794.805179611</v>
      </c>
      <c r="D330" s="3">
        <v>-12469794.805179611</v>
      </c>
      <c r="F330" t="s">
        <v>2</v>
      </c>
      <c r="G330" s="1">
        <v>0</v>
      </c>
      <c r="H330" s="1">
        <v>-2887142.99</v>
      </c>
      <c r="I330" s="12">
        <v>-2887142.99</v>
      </c>
      <c r="K330" t="s">
        <v>2</v>
      </c>
      <c r="L330" s="2">
        <v>0</v>
      </c>
      <c r="M330" s="2">
        <v>-3145564</v>
      </c>
      <c r="N330" s="2">
        <v>-3145564</v>
      </c>
      <c r="P330" t="s">
        <v>2</v>
      </c>
      <c r="Q330" s="1">
        <v>0</v>
      </c>
      <c r="R330" s="1">
        <v>-6032706.9900000002</v>
      </c>
      <c r="S330" s="12">
        <v>-6032706.9900000002</v>
      </c>
      <c r="U330" t="s">
        <v>2</v>
      </c>
      <c r="V330" s="2">
        <v>0</v>
      </c>
      <c r="W330" s="2">
        <v>-3112837.635518657</v>
      </c>
      <c r="X330" s="2">
        <v>-3112837.635518657</v>
      </c>
      <c r="Y330" s="12">
        <v>-9145544.6255186573</v>
      </c>
      <c r="Z330" t="s">
        <v>2</v>
      </c>
      <c r="AA330" s="1">
        <v>0</v>
      </c>
      <c r="AB330" s="1">
        <v>-3324250.1796609536</v>
      </c>
      <c r="AC330" s="2">
        <v>-3324250.1796609536</v>
      </c>
    </row>
    <row r="331" spans="1:29" x14ac:dyDescent="0.35">
      <c r="A331" s="19" t="s">
        <v>21</v>
      </c>
      <c r="B331" s="20">
        <v>0</v>
      </c>
      <c r="C331" s="20">
        <v>9834192.1948203892</v>
      </c>
      <c r="D331" s="20">
        <v>9834192.1948203892</v>
      </c>
      <c r="F331" s="19" t="s">
        <v>21</v>
      </c>
      <c r="G331" s="20">
        <v>0</v>
      </c>
      <c r="H331" s="20">
        <v>4169524.01</v>
      </c>
      <c r="I331" s="20">
        <v>4169524.01</v>
      </c>
      <c r="K331" s="19" t="s">
        <v>21</v>
      </c>
      <c r="L331" s="20">
        <v>0</v>
      </c>
      <c r="M331" s="20">
        <v>1743833</v>
      </c>
      <c r="N331" s="20">
        <v>1743833</v>
      </c>
      <c r="P331" s="19" t="s">
        <v>21</v>
      </c>
      <c r="Q331" s="20">
        <v>0</v>
      </c>
      <c r="R331" s="20">
        <v>5913357.0099999998</v>
      </c>
      <c r="S331" s="20">
        <v>5913357.0099999998</v>
      </c>
      <c r="U331" s="19" t="s">
        <v>21</v>
      </c>
      <c r="V331" s="20">
        <v>0</v>
      </c>
      <c r="W331" s="20">
        <v>2765899.364481343</v>
      </c>
      <c r="X331" s="20">
        <v>2765899.364481343</v>
      </c>
      <c r="Y331" s="12">
        <v>8679256.3744813427</v>
      </c>
      <c r="Z331" s="19" t="s">
        <v>21</v>
      </c>
      <c r="AA331" s="20">
        <v>0</v>
      </c>
      <c r="AB331" s="20">
        <v>1154935.8203390464</v>
      </c>
      <c r="AC331" s="20">
        <v>1154935.8203390464</v>
      </c>
    </row>
    <row r="332" spans="1:29" x14ac:dyDescent="0.35">
      <c r="B332" s="2"/>
      <c r="C332" s="15"/>
      <c r="D332" s="3"/>
      <c r="G332" s="2"/>
      <c r="H332" s="15"/>
      <c r="I332" s="12"/>
      <c r="L332" s="2"/>
      <c r="M332" s="15"/>
      <c r="N332" s="2"/>
      <c r="Q332" s="2"/>
      <c r="R332" s="15"/>
      <c r="S332" s="12"/>
      <c r="V332" s="2"/>
      <c r="W332" s="15"/>
      <c r="X332" s="2"/>
      <c r="Y332" s="12">
        <v>0</v>
      </c>
      <c r="AA332" s="2"/>
      <c r="AB332" s="15"/>
      <c r="AC332" s="2"/>
    </row>
    <row r="333" spans="1:29" x14ac:dyDescent="0.35">
      <c r="B333" s="2"/>
      <c r="C333" s="15"/>
      <c r="D333" s="3"/>
      <c r="G333" s="2"/>
      <c r="H333" s="15"/>
      <c r="I333" s="12"/>
      <c r="L333" s="2"/>
      <c r="M333" s="15"/>
      <c r="N333" s="2"/>
      <c r="Q333" s="2"/>
      <c r="R333" s="15"/>
      <c r="S333" s="12"/>
      <c r="V333" s="2"/>
      <c r="W333" s="15"/>
      <c r="X333" s="2"/>
      <c r="Y333" s="12">
        <v>0</v>
      </c>
      <c r="AA333" s="2"/>
      <c r="AB333" s="15"/>
      <c r="AC333" s="2"/>
    </row>
    <row r="334" spans="1:29" x14ac:dyDescent="0.35">
      <c r="A334" t="s">
        <v>24</v>
      </c>
      <c r="B334" s="2">
        <v>0</v>
      </c>
      <c r="C334" s="2">
        <v>0</v>
      </c>
      <c r="D334" s="3">
        <v>0</v>
      </c>
      <c r="F334" t="s">
        <v>24</v>
      </c>
      <c r="G334" s="1">
        <v>0</v>
      </c>
      <c r="H334" s="1">
        <v>0</v>
      </c>
      <c r="I334" s="12">
        <v>0</v>
      </c>
      <c r="K334" t="s">
        <v>24</v>
      </c>
      <c r="L334" s="2">
        <v>0</v>
      </c>
      <c r="M334" s="2">
        <v>0</v>
      </c>
      <c r="N334" s="2">
        <v>0</v>
      </c>
      <c r="P334" t="s">
        <v>24</v>
      </c>
      <c r="Q334" s="1">
        <v>0</v>
      </c>
      <c r="R334" s="1">
        <v>0</v>
      </c>
      <c r="S334" s="12">
        <v>0</v>
      </c>
      <c r="U334" t="s">
        <v>24</v>
      </c>
      <c r="V334" s="2">
        <v>0</v>
      </c>
      <c r="W334" s="2">
        <v>0</v>
      </c>
      <c r="X334" s="2">
        <v>0</v>
      </c>
      <c r="Y334" s="12">
        <v>0</v>
      </c>
      <c r="Z334" t="s">
        <v>24</v>
      </c>
      <c r="AA334" s="1">
        <v>0</v>
      </c>
      <c r="AB334" s="1">
        <v>0</v>
      </c>
      <c r="AC334" s="2">
        <v>0</v>
      </c>
    </row>
    <row r="335" spans="1:29" x14ac:dyDescent="0.35">
      <c r="A335" t="s">
        <v>25</v>
      </c>
      <c r="B335" s="2">
        <v>0</v>
      </c>
      <c r="C335" s="2">
        <v>0</v>
      </c>
      <c r="D335" s="3">
        <v>0</v>
      </c>
      <c r="F335" t="s">
        <v>25</v>
      </c>
      <c r="G335" s="1">
        <v>0</v>
      </c>
      <c r="H335" s="1">
        <v>0</v>
      </c>
      <c r="I335" s="12">
        <v>0</v>
      </c>
      <c r="K335" t="s">
        <v>25</v>
      </c>
      <c r="L335" s="2">
        <v>0</v>
      </c>
      <c r="M335" s="2">
        <v>0</v>
      </c>
      <c r="N335" s="2">
        <v>0</v>
      </c>
      <c r="P335" t="s">
        <v>25</v>
      </c>
      <c r="Q335" s="1">
        <v>0</v>
      </c>
      <c r="R335" s="1">
        <v>0</v>
      </c>
      <c r="S335" s="12">
        <v>0</v>
      </c>
      <c r="U335" t="s">
        <v>25</v>
      </c>
      <c r="V335" s="2">
        <v>0</v>
      </c>
      <c r="W335" s="2">
        <v>0</v>
      </c>
      <c r="X335" s="2">
        <v>0</v>
      </c>
      <c r="Y335" s="12">
        <v>0</v>
      </c>
      <c r="Z335" t="s">
        <v>25</v>
      </c>
      <c r="AA335" s="1">
        <v>0</v>
      </c>
      <c r="AB335" s="1">
        <v>0</v>
      </c>
      <c r="AC335" s="2">
        <v>0</v>
      </c>
    </row>
    <row r="336" spans="1:29" x14ac:dyDescent="0.35">
      <c r="A336" t="s">
        <v>26</v>
      </c>
      <c r="B336" s="2">
        <v>0</v>
      </c>
      <c r="C336" s="2">
        <v>0</v>
      </c>
      <c r="D336" s="3">
        <v>0</v>
      </c>
      <c r="F336" t="s">
        <v>26</v>
      </c>
      <c r="G336" s="1">
        <v>0</v>
      </c>
      <c r="H336" s="1">
        <v>0</v>
      </c>
      <c r="I336" s="12">
        <v>0</v>
      </c>
      <c r="K336" t="s">
        <v>26</v>
      </c>
      <c r="L336" s="2">
        <v>0</v>
      </c>
      <c r="M336" s="2">
        <v>0</v>
      </c>
      <c r="N336" s="2">
        <v>0</v>
      </c>
      <c r="P336" t="s">
        <v>26</v>
      </c>
      <c r="Q336" s="1">
        <v>0</v>
      </c>
      <c r="R336" s="1">
        <v>0</v>
      </c>
      <c r="S336" s="12">
        <v>0</v>
      </c>
      <c r="U336" t="s">
        <v>26</v>
      </c>
      <c r="V336" s="2">
        <v>0</v>
      </c>
      <c r="W336" s="2">
        <v>0</v>
      </c>
      <c r="X336" s="2">
        <v>0</v>
      </c>
      <c r="Y336" s="12">
        <v>0</v>
      </c>
      <c r="Z336" t="s">
        <v>26</v>
      </c>
      <c r="AA336" s="1">
        <v>0</v>
      </c>
      <c r="AB336" s="1">
        <v>0</v>
      </c>
      <c r="AC336" s="2">
        <v>0</v>
      </c>
    </row>
    <row r="337" spans="1:29" x14ac:dyDescent="0.35">
      <c r="A337" s="19" t="s">
        <v>101</v>
      </c>
      <c r="B337" s="20">
        <v>0</v>
      </c>
      <c r="C337" s="20">
        <v>0</v>
      </c>
      <c r="D337" s="20">
        <v>0</v>
      </c>
      <c r="F337" s="19" t="s">
        <v>101</v>
      </c>
      <c r="G337" s="20">
        <v>0</v>
      </c>
      <c r="H337" s="20">
        <v>0</v>
      </c>
      <c r="I337" s="20">
        <v>0</v>
      </c>
      <c r="K337" s="19" t="s">
        <v>101</v>
      </c>
      <c r="L337" s="20">
        <v>0</v>
      </c>
      <c r="M337" s="20">
        <v>0</v>
      </c>
      <c r="N337" s="20">
        <v>0</v>
      </c>
      <c r="P337" s="19" t="s">
        <v>101</v>
      </c>
      <c r="Q337" s="20">
        <v>0</v>
      </c>
      <c r="R337" s="20">
        <v>0</v>
      </c>
      <c r="S337" s="20">
        <v>0</v>
      </c>
      <c r="U337" s="19" t="s">
        <v>101</v>
      </c>
      <c r="V337" s="20">
        <v>0</v>
      </c>
      <c r="W337" s="20">
        <v>0</v>
      </c>
      <c r="X337" s="20">
        <v>0</v>
      </c>
      <c r="Y337" s="12">
        <v>0</v>
      </c>
      <c r="Z337" s="19" t="s">
        <v>152</v>
      </c>
      <c r="AA337" s="20">
        <v>0</v>
      </c>
      <c r="AB337" s="20">
        <v>0</v>
      </c>
      <c r="AC337" s="20">
        <v>0</v>
      </c>
    </row>
    <row r="338" spans="1:29" x14ac:dyDescent="0.35">
      <c r="B338" s="2"/>
      <c r="C338" s="15"/>
      <c r="D338" s="3"/>
      <c r="G338" s="2"/>
      <c r="H338" s="15"/>
      <c r="I338" s="12"/>
      <c r="L338" s="2"/>
      <c r="M338" s="15"/>
      <c r="N338" s="2"/>
      <c r="Q338" s="2"/>
      <c r="R338" s="15"/>
      <c r="S338" s="12"/>
      <c r="V338" s="2"/>
      <c r="W338" s="15"/>
      <c r="X338" s="2"/>
      <c r="Y338" s="12">
        <v>0</v>
      </c>
      <c r="AA338" s="2"/>
      <c r="AB338" s="15"/>
      <c r="AC338" s="2"/>
    </row>
    <row r="339" spans="1:29" x14ac:dyDescent="0.35">
      <c r="B339" s="2"/>
      <c r="C339" s="15"/>
      <c r="D339" s="3"/>
      <c r="G339" s="2"/>
      <c r="H339" s="15"/>
      <c r="I339" s="12"/>
      <c r="L339" s="2"/>
      <c r="M339" s="15"/>
      <c r="N339" s="2"/>
      <c r="Q339" s="2"/>
      <c r="R339" s="15"/>
      <c r="S339" s="12"/>
      <c r="V339" s="2"/>
      <c r="W339" s="15"/>
      <c r="X339" s="2"/>
      <c r="Y339" s="12">
        <v>0</v>
      </c>
      <c r="AA339" s="2"/>
      <c r="AB339" s="15"/>
      <c r="AC339" s="2"/>
    </row>
    <row r="340" spans="1:29" x14ac:dyDescent="0.35">
      <c r="A340" t="s">
        <v>27</v>
      </c>
      <c r="B340" s="2">
        <v>0</v>
      </c>
      <c r="C340" s="2">
        <v>0</v>
      </c>
      <c r="D340" s="3">
        <v>0</v>
      </c>
      <c r="F340" t="s">
        <v>27</v>
      </c>
      <c r="G340" s="1">
        <v>0</v>
      </c>
      <c r="H340" s="1">
        <v>0</v>
      </c>
      <c r="I340" s="12">
        <v>0</v>
      </c>
      <c r="K340" t="s">
        <v>27</v>
      </c>
      <c r="L340" s="2">
        <v>0</v>
      </c>
      <c r="M340" s="2">
        <v>0</v>
      </c>
      <c r="N340" s="2">
        <v>0</v>
      </c>
      <c r="P340" t="s">
        <v>27</v>
      </c>
      <c r="Q340" s="1">
        <v>0</v>
      </c>
      <c r="R340" s="1">
        <v>0</v>
      </c>
      <c r="S340" s="12">
        <v>0</v>
      </c>
      <c r="U340" t="s">
        <v>27</v>
      </c>
      <c r="V340" s="2">
        <v>0</v>
      </c>
      <c r="W340" s="2">
        <v>0</v>
      </c>
      <c r="X340" s="2">
        <v>0</v>
      </c>
      <c r="Y340" s="12">
        <v>0</v>
      </c>
      <c r="Z340" t="s">
        <v>27</v>
      </c>
      <c r="AA340" s="1">
        <v>0</v>
      </c>
      <c r="AB340" s="1">
        <v>0</v>
      </c>
      <c r="AC340" s="2">
        <v>0</v>
      </c>
    </row>
    <row r="341" spans="1:29" x14ac:dyDescent="0.35">
      <c r="A341" t="s">
        <v>28</v>
      </c>
      <c r="B341" s="2">
        <v>0</v>
      </c>
      <c r="C341" s="2">
        <v>0</v>
      </c>
      <c r="D341" s="3">
        <v>0</v>
      </c>
      <c r="F341" t="s">
        <v>28</v>
      </c>
      <c r="G341" s="1">
        <v>0</v>
      </c>
      <c r="H341" s="1">
        <v>0</v>
      </c>
      <c r="I341" s="12">
        <v>0</v>
      </c>
      <c r="K341" t="s">
        <v>28</v>
      </c>
      <c r="L341" s="2">
        <v>0</v>
      </c>
      <c r="M341" s="2">
        <v>0</v>
      </c>
      <c r="N341" s="2">
        <v>0</v>
      </c>
      <c r="P341" t="s">
        <v>28</v>
      </c>
      <c r="Q341" s="1">
        <v>0</v>
      </c>
      <c r="R341" s="1">
        <v>0</v>
      </c>
      <c r="S341" s="12">
        <v>0</v>
      </c>
      <c r="U341" t="s">
        <v>28</v>
      </c>
      <c r="V341" s="2">
        <v>0</v>
      </c>
      <c r="W341" s="2">
        <v>0</v>
      </c>
      <c r="X341" s="2">
        <v>0</v>
      </c>
      <c r="Y341" s="12">
        <v>0</v>
      </c>
      <c r="Z341" t="s">
        <v>28</v>
      </c>
      <c r="AA341" s="1">
        <v>0</v>
      </c>
      <c r="AB341" s="1">
        <v>0</v>
      </c>
      <c r="AC341" s="2">
        <v>0</v>
      </c>
    </row>
    <row r="342" spans="1:29" x14ac:dyDescent="0.35">
      <c r="A342" t="s">
        <v>29</v>
      </c>
      <c r="B342" s="2">
        <v>0</v>
      </c>
      <c r="C342" s="2">
        <v>0</v>
      </c>
      <c r="D342" s="3">
        <v>0</v>
      </c>
      <c r="F342" t="s">
        <v>29</v>
      </c>
      <c r="G342" s="1">
        <v>0</v>
      </c>
      <c r="H342" s="1">
        <v>0</v>
      </c>
      <c r="I342" s="12">
        <v>0</v>
      </c>
      <c r="K342" t="s">
        <v>29</v>
      </c>
      <c r="L342" s="2">
        <v>0</v>
      </c>
      <c r="M342" s="2">
        <v>0</v>
      </c>
      <c r="N342" s="2">
        <v>0</v>
      </c>
      <c r="P342" t="s">
        <v>29</v>
      </c>
      <c r="Q342" s="1">
        <v>0</v>
      </c>
      <c r="R342" s="1">
        <v>0</v>
      </c>
      <c r="S342" s="12">
        <v>0</v>
      </c>
      <c r="U342" t="s">
        <v>29</v>
      </c>
      <c r="V342" s="2">
        <v>0</v>
      </c>
      <c r="W342" s="2">
        <v>0</v>
      </c>
      <c r="X342" s="2">
        <v>0</v>
      </c>
      <c r="Y342" s="12">
        <v>0</v>
      </c>
      <c r="Z342" t="s">
        <v>29</v>
      </c>
      <c r="AA342" s="1">
        <v>0</v>
      </c>
      <c r="AB342" s="1">
        <v>0</v>
      </c>
      <c r="AC342" s="2">
        <v>0</v>
      </c>
    </row>
    <row r="343" spans="1:29" x14ac:dyDescent="0.35">
      <c r="A343" t="s">
        <v>30</v>
      </c>
      <c r="B343" s="2">
        <v>0</v>
      </c>
      <c r="C343" s="2">
        <v>0</v>
      </c>
      <c r="D343" s="3">
        <v>0</v>
      </c>
      <c r="F343" t="s">
        <v>30</v>
      </c>
      <c r="G343" s="1">
        <v>0</v>
      </c>
      <c r="H343" s="1">
        <v>0</v>
      </c>
      <c r="I343" s="12">
        <v>0</v>
      </c>
      <c r="K343" t="s">
        <v>30</v>
      </c>
      <c r="L343" s="2">
        <v>0</v>
      </c>
      <c r="M343" s="2">
        <v>0</v>
      </c>
      <c r="N343" s="2">
        <v>0</v>
      </c>
      <c r="P343" t="s">
        <v>30</v>
      </c>
      <c r="Q343" s="1">
        <v>0</v>
      </c>
      <c r="R343" s="1">
        <v>0</v>
      </c>
      <c r="S343" s="12">
        <v>0</v>
      </c>
      <c r="U343" t="s">
        <v>30</v>
      </c>
      <c r="V343" s="2">
        <v>0</v>
      </c>
      <c r="W343" s="2">
        <v>0</v>
      </c>
      <c r="X343" s="2">
        <v>0</v>
      </c>
      <c r="Y343" s="12">
        <v>0</v>
      </c>
      <c r="Z343" t="s">
        <v>30</v>
      </c>
      <c r="AA343" s="1">
        <v>0</v>
      </c>
      <c r="AB343" s="1">
        <v>0</v>
      </c>
      <c r="AC343" s="2">
        <v>0</v>
      </c>
    </row>
    <row r="344" spans="1:29" x14ac:dyDescent="0.35">
      <c r="A344" s="19" t="s">
        <v>90</v>
      </c>
      <c r="B344" s="20">
        <v>0</v>
      </c>
      <c r="C344" s="20">
        <v>0</v>
      </c>
      <c r="D344" s="20">
        <v>0</v>
      </c>
      <c r="F344" s="19" t="s">
        <v>90</v>
      </c>
      <c r="G344" s="20">
        <v>0</v>
      </c>
      <c r="H344" s="20">
        <v>0</v>
      </c>
      <c r="I344" s="20">
        <v>0</v>
      </c>
      <c r="K344" s="19" t="s">
        <v>90</v>
      </c>
      <c r="L344" s="20">
        <v>0</v>
      </c>
      <c r="M344" s="20">
        <v>0</v>
      </c>
      <c r="N344" s="20">
        <v>0</v>
      </c>
      <c r="P344" s="19" t="s">
        <v>90</v>
      </c>
      <c r="Q344" s="20">
        <v>0</v>
      </c>
      <c r="R344" s="20">
        <v>0</v>
      </c>
      <c r="S344" s="20">
        <v>0</v>
      </c>
      <c r="U344" s="19" t="s">
        <v>90</v>
      </c>
      <c r="V344" s="20">
        <v>0</v>
      </c>
      <c r="W344" s="20">
        <v>0</v>
      </c>
      <c r="X344" s="20">
        <v>0</v>
      </c>
      <c r="Y344" s="12">
        <v>0</v>
      </c>
      <c r="Z344" s="19" t="s">
        <v>90</v>
      </c>
      <c r="AA344" s="20">
        <v>0</v>
      </c>
      <c r="AB344" s="20">
        <v>0</v>
      </c>
      <c r="AC344" s="20">
        <v>0</v>
      </c>
    </row>
    <row r="345" spans="1:29" x14ac:dyDescent="0.35">
      <c r="B345" s="2"/>
      <c r="C345" s="15"/>
      <c r="D345" s="3"/>
      <c r="G345" s="2"/>
      <c r="H345" s="15"/>
      <c r="I345" s="12"/>
      <c r="L345" s="2"/>
      <c r="M345" s="15"/>
      <c r="N345" s="2"/>
      <c r="Q345" s="2"/>
      <c r="R345" s="15"/>
      <c r="S345" s="12"/>
      <c r="V345" s="2"/>
      <c r="W345" s="15"/>
      <c r="X345" s="2"/>
      <c r="Y345" s="12">
        <v>0</v>
      </c>
      <c r="AA345" s="2"/>
      <c r="AB345" s="15"/>
      <c r="AC345" s="2"/>
    </row>
    <row r="346" spans="1:29" x14ac:dyDescent="0.35">
      <c r="B346" s="2"/>
      <c r="C346" s="15"/>
      <c r="D346" s="3"/>
      <c r="G346" s="2"/>
      <c r="H346" s="15"/>
      <c r="I346" s="12"/>
      <c r="L346" s="2"/>
      <c r="M346" s="15"/>
      <c r="N346" s="2"/>
      <c r="Q346" s="2"/>
      <c r="R346" s="15"/>
      <c r="S346" s="12"/>
      <c r="V346" s="2"/>
      <c r="W346" s="15"/>
      <c r="X346" s="2"/>
      <c r="Y346" s="12">
        <v>0</v>
      </c>
      <c r="AA346" s="2"/>
      <c r="AB346" s="15"/>
      <c r="AC346" s="2"/>
    </row>
    <row r="347" spans="1:29" x14ac:dyDescent="0.35">
      <c r="A347" t="s">
        <v>89</v>
      </c>
      <c r="B347" s="2">
        <v>0</v>
      </c>
      <c r="C347" s="2">
        <v>0</v>
      </c>
      <c r="D347" s="3">
        <v>0</v>
      </c>
      <c r="F347" t="s">
        <v>89</v>
      </c>
      <c r="G347" s="1">
        <v>0</v>
      </c>
      <c r="H347" s="1">
        <v>0</v>
      </c>
      <c r="I347" s="12">
        <v>0</v>
      </c>
      <c r="K347" t="s">
        <v>89</v>
      </c>
      <c r="L347" s="2">
        <v>0</v>
      </c>
      <c r="M347" s="2">
        <v>0</v>
      </c>
      <c r="N347" s="2">
        <v>0</v>
      </c>
      <c r="P347" t="s">
        <v>89</v>
      </c>
      <c r="Q347" s="1">
        <v>0</v>
      </c>
      <c r="R347" s="1">
        <v>0</v>
      </c>
      <c r="S347" s="12">
        <v>0</v>
      </c>
      <c r="U347" t="s">
        <v>89</v>
      </c>
      <c r="V347" s="2">
        <v>0</v>
      </c>
      <c r="W347" s="2">
        <v>0</v>
      </c>
      <c r="X347" s="2">
        <v>0</v>
      </c>
      <c r="Y347" s="12">
        <v>0</v>
      </c>
      <c r="Z347" s="16" t="s">
        <v>89</v>
      </c>
      <c r="AA347" s="27">
        <v>0</v>
      </c>
      <c r="AB347" s="28">
        <v>0</v>
      </c>
      <c r="AC347" s="17">
        <v>0</v>
      </c>
    </row>
    <row r="348" spans="1:29" x14ac:dyDescent="0.35">
      <c r="B348" s="2"/>
      <c r="C348" s="15"/>
      <c r="D348" s="3"/>
      <c r="G348" s="2"/>
      <c r="H348" s="15"/>
      <c r="I348" s="12"/>
      <c r="L348" s="2"/>
      <c r="M348" s="15"/>
      <c r="N348" s="2"/>
      <c r="Q348" s="2"/>
      <c r="R348" s="15"/>
      <c r="S348" s="12"/>
      <c r="V348" s="2"/>
      <c r="W348" s="15"/>
      <c r="X348" s="2"/>
      <c r="Y348" s="12">
        <v>0</v>
      </c>
      <c r="AA348" s="2"/>
      <c r="AB348" s="15"/>
      <c r="AC348" s="2"/>
    </row>
    <row r="349" spans="1:29" x14ac:dyDescent="0.35">
      <c r="B349" s="2"/>
      <c r="C349" s="15"/>
      <c r="D349" s="3"/>
      <c r="G349" s="2"/>
      <c r="H349" s="15"/>
      <c r="I349" s="12"/>
      <c r="L349" s="2"/>
      <c r="M349" s="15"/>
      <c r="N349" s="2"/>
      <c r="Q349" s="2"/>
      <c r="R349" s="15"/>
      <c r="S349" s="12"/>
      <c r="V349" s="2"/>
      <c r="W349" s="15"/>
      <c r="X349" s="2"/>
      <c r="Y349" s="12">
        <v>0</v>
      </c>
      <c r="AC349" s="2"/>
    </row>
    <row r="350" spans="1:29" x14ac:dyDescent="0.35">
      <c r="B350" s="2"/>
      <c r="C350" s="15"/>
      <c r="D350" s="3"/>
      <c r="G350" s="2"/>
      <c r="H350" s="15"/>
      <c r="I350" s="12"/>
      <c r="L350" s="2"/>
      <c r="M350" s="15"/>
      <c r="N350" s="2"/>
      <c r="Q350" s="2"/>
      <c r="R350" s="15"/>
      <c r="S350" s="12"/>
      <c r="V350" s="2"/>
      <c r="W350" s="15"/>
      <c r="X350" s="2"/>
      <c r="Y350" s="12">
        <v>0</v>
      </c>
      <c r="AC350" s="2"/>
    </row>
    <row r="351" spans="1:29" x14ac:dyDescent="0.35">
      <c r="A351" t="s">
        <v>31</v>
      </c>
      <c r="B351" s="2">
        <v>0</v>
      </c>
      <c r="C351" s="2">
        <v>0</v>
      </c>
      <c r="D351" s="3">
        <v>0</v>
      </c>
      <c r="F351" t="s">
        <v>31</v>
      </c>
      <c r="G351" s="1">
        <v>0</v>
      </c>
      <c r="H351" s="1">
        <v>0</v>
      </c>
      <c r="I351" s="12">
        <v>0</v>
      </c>
      <c r="K351" t="s">
        <v>31</v>
      </c>
      <c r="L351" s="2">
        <v>0</v>
      </c>
      <c r="M351" s="2">
        <v>0</v>
      </c>
      <c r="N351" s="2">
        <v>0</v>
      </c>
      <c r="P351" t="s">
        <v>31</v>
      </c>
      <c r="Q351" s="1">
        <v>0</v>
      </c>
      <c r="R351" s="1">
        <v>0</v>
      </c>
      <c r="S351" s="12">
        <v>0</v>
      </c>
      <c r="U351" t="s">
        <v>31</v>
      </c>
      <c r="V351" s="2">
        <v>0</v>
      </c>
      <c r="W351" s="2">
        <v>0</v>
      </c>
      <c r="X351" s="2">
        <v>0</v>
      </c>
      <c r="Y351" s="12">
        <v>0</v>
      </c>
      <c r="Z351" t="s">
        <v>31</v>
      </c>
      <c r="AA351" s="1">
        <v>0</v>
      </c>
      <c r="AB351" s="1">
        <v>0</v>
      </c>
      <c r="AC351" s="2">
        <v>0</v>
      </c>
    </row>
    <row r="352" spans="1:29" x14ac:dyDescent="0.35">
      <c r="A352" t="s">
        <v>32</v>
      </c>
      <c r="B352" s="2">
        <v>0</v>
      </c>
      <c r="C352" s="2">
        <v>0</v>
      </c>
      <c r="D352" s="3">
        <v>0</v>
      </c>
      <c r="F352" t="s">
        <v>32</v>
      </c>
      <c r="G352" s="1">
        <v>0</v>
      </c>
      <c r="H352" s="1">
        <v>0</v>
      </c>
      <c r="I352" s="12">
        <v>0</v>
      </c>
      <c r="K352" t="s">
        <v>32</v>
      </c>
      <c r="L352" s="2">
        <v>0</v>
      </c>
      <c r="M352" s="2">
        <v>0</v>
      </c>
      <c r="N352" s="2">
        <v>0</v>
      </c>
      <c r="P352" t="s">
        <v>32</v>
      </c>
      <c r="Q352" s="1">
        <v>0</v>
      </c>
      <c r="R352" s="1">
        <v>0</v>
      </c>
      <c r="S352" s="12">
        <v>0</v>
      </c>
      <c r="U352" t="s">
        <v>32</v>
      </c>
      <c r="V352" s="2">
        <v>0</v>
      </c>
      <c r="W352" s="2">
        <v>0</v>
      </c>
      <c r="X352" s="2">
        <v>0</v>
      </c>
      <c r="Y352" s="12">
        <v>0</v>
      </c>
      <c r="Z352" t="s">
        <v>32</v>
      </c>
      <c r="AA352" s="1">
        <v>0</v>
      </c>
      <c r="AB352" s="1">
        <v>0</v>
      </c>
      <c r="AC352" s="2">
        <v>0</v>
      </c>
    </row>
    <row r="353" spans="1:29" x14ac:dyDescent="0.35">
      <c r="A353" s="19" t="s">
        <v>33</v>
      </c>
      <c r="B353" s="20">
        <v>0</v>
      </c>
      <c r="C353" s="20">
        <v>0</v>
      </c>
      <c r="D353" s="20">
        <v>0</v>
      </c>
      <c r="F353" s="19" t="s">
        <v>33</v>
      </c>
      <c r="G353" s="20">
        <v>0</v>
      </c>
      <c r="H353" s="20">
        <v>0</v>
      </c>
      <c r="I353" s="20">
        <v>0</v>
      </c>
      <c r="K353" s="19" t="s">
        <v>33</v>
      </c>
      <c r="L353" s="20">
        <v>0</v>
      </c>
      <c r="M353" s="20">
        <v>0</v>
      </c>
      <c r="N353" s="20">
        <v>0</v>
      </c>
      <c r="P353" s="19" t="s">
        <v>33</v>
      </c>
      <c r="Q353" s="20">
        <v>0</v>
      </c>
      <c r="R353" s="20">
        <v>0</v>
      </c>
      <c r="S353" s="20">
        <v>0</v>
      </c>
      <c r="U353" s="19" t="s">
        <v>33</v>
      </c>
      <c r="V353" s="20">
        <v>0</v>
      </c>
      <c r="W353" s="20">
        <v>0</v>
      </c>
      <c r="X353" s="20">
        <v>0</v>
      </c>
      <c r="Y353" s="12">
        <v>0</v>
      </c>
      <c r="Z353" s="25" t="s">
        <v>33</v>
      </c>
      <c r="AA353" s="20">
        <v>0</v>
      </c>
      <c r="AB353" s="20">
        <v>0</v>
      </c>
      <c r="AC353" s="20">
        <v>0</v>
      </c>
    </row>
    <row r="354" spans="1:29" x14ac:dyDescent="0.35">
      <c r="B354" s="2"/>
      <c r="C354" s="15"/>
      <c r="D354" s="3"/>
      <c r="G354" s="2"/>
      <c r="H354" s="15"/>
      <c r="I354" s="12"/>
      <c r="L354" s="2"/>
      <c r="M354" s="15"/>
      <c r="N354" s="2"/>
      <c r="Q354" s="2"/>
      <c r="R354" s="15"/>
      <c r="S354" s="12"/>
      <c r="V354" s="2"/>
      <c r="W354" s="15"/>
      <c r="X354" s="2"/>
      <c r="Y354" s="12">
        <v>0</v>
      </c>
      <c r="AA354" s="2"/>
      <c r="AB354" s="15"/>
      <c r="AC354" s="2"/>
    </row>
    <row r="355" spans="1:29" x14ac:dyDescent="0.35">
      <c r="B355" s="2"/>
      <c r="C355" s="15"/>
      <c r="D355" s="3"/>
      <c r="G355" s="2"/>
      <c r="H355" s="15"/>
      <c r="I355" s="12"/>
      <c r="L355" s="2"/>
      <c r="M355" s="15"/>
      <c r="N355" s="2"/>
      <c r="Q355" s="2"/>
      <c r="R355" s="15"/>
      <c r="S355" s="12"/>
      <c r="V355" s="2"/>
      <c r="W355" s="15"/>
      <c r="X355" s="2"/>
      <c r="Y355" s="12">
        <v>0</v>
      </c>
      <c r="AA355" s="2"/>
      <c r="AB355" s="15"/>
      <c r="AC355" s="2"/>
    </row>
    <row r="356" spans="1:29" x14ac:dyDescent="0.35">
      <c r="A356" t="s">
        <v>35</v>
      </c>
      <c r="B356" s="2">
        <v>0</v>
      </c>
      <c r="C356" s="2">
        <v>2936894.2112933332</v>
      </c>
      <c r="D356" s="3">
        <v>2936894.2112933332</v>
      </c>
      <c r="F356" t="s">
        <v>35</v>
      </c>
      <c r="G356" s="1">
        <v>0</v>
      </c>
      <c r="H356" s="1">
        <v>199173.54928000001</v>
      </c>
      <c r="I356" s="12">
        <v>199173.54928000001</v>
      </c>
      <c r="K356" t="s">
        <v>35</v>
      </c>
      <c r="L356" s="2">
        <v>0</v>
      </c>
      <c r="M356" s="2">
        <v>441478.32467250002</v>
      </c>
      <c r="N356" s="2">
        <v>441478.32467250002</v>
      </c>
      <c r="P356" t="s">
        <v>35</v>
      </c>
      <c r="Q356" s="1">
        <v>0</v>
      </c>
      <c r="R356" s="1">
        <v>640651.87395250006</v>
      </c>
      <c r="S356" s="12">
        <v>640651.87395250006</v>
      </c>
      <c r="U356" t="s">
        <v>35</v>
      </c>
      <c r="V356" s="2">
        <v>0</v>
      </c>
      <c r="W356" s="2">
        <v>541514.60448916652</v>
      </c>
      <c r="X356" s="2">
        <v>541514.60448916652</v>
      </c>
      <c r="Y356" s="12">
        <v>1182166.4784416666</v>
      </c>
      <c r="Z356" t="s">
        <v>35</v>
      </c>
      <c r="AA356" s="1">
        <v>0</v>
      </c>
      <c r="AB356" s="1">
        <v>1754727.7328516669</v>
      </c>
      <c r="AC356" s="2">
        <v>1754727.7328516669</v>
      </c>
    </row>
    <row r="357" spans="1:29" x14ac:dyDescent="0.35">
      <c r="A357" t="s">
        <v>36</v>
      </c>
      <c r="B357" s="2">
        <v>-37211449.859999999</v>
      </c>
      <c r="C357" s="2">
        <v>-6855500.1599999992</v>
      </c>
      <c r="D357" s="3">
        <v>-44066950.019999996</v>
      </c>
      <c r="F357" t="s">
        <v>36</v>
      </c>
      <c r="G357" s="1">
        <v>-12078075.07</v>
      </c>
      <c r="H357" s="1">
        <v>-2870581.0199999996</v>
      </c>
      <c r="I357" s="12">
        <v>-14948656.09</v>
      </c>
      <c r="K357" t="s">
        <v>36</v>
      </c>
      <c r="L357" s="2">
        <v>-10116391.609999999</v>
      </c>
      <c r="M357" s="2">
        <v>-1527937.38</v>
      </c>
      <c r="N357" s="2">
        <v>-11644328.989999998</v>
      </c>
      <c r="P357" t="s">
        <v>36</v>
      </c>
      <c r="Q357" s="1">
        <v>-22194466.68</v>
      </c>
      <c r="R357" s="1">
        <v>-4398518.3999999994</v>
      </c>
      <c r="S357" s="12">
        <v>-26592985.079999998</v>
      </c>
      <c r="U357" t="s">
        <v>36</v>
      </c>
      <c r="V357" s="2">
        <v>-8315387.7899999991</v>
      </c>
      <c r="W357" s="2">
        <v>-1188812.3500000006</v>
      </c>
      <c r="X357" s="2">
        <v>-9504200.1400000006</v>
      </c>
      <c r="Y357" s="12">
        <v>-36097185.219999999</v>
      </c>
      <c r="Z357" t="s">
        <v>36</v>
      </c>
      <c r="AA357" s="1">
        <v>-6701595.3900000006</v>
      </c>
      <c r="AB357" s="1">
        <v>-1268169.4099999992</v>
      </c>
      <c r="AC357" s="2">
        <v>-7969764.7999999998</v>
      </c>
    </row>
    <row r="358" spans="1:29" x14ac:dyDescent="0.35">
      <c r="A358" s="19" t="s">
        <v>37</v>
      </c>
      <c r="B358" s="20">
        <v>-37211449.859999999</v>
      </c>
      <c r="C358" s="20">
        <v>-3918605.948706666</v>
      </c>
      <c r="D358" s="20">
        <v>-41130055.808706664</v>
      </c>
      <c r="F358" s="19" t="s">
        <v>37</v>
      </c>
      <c r="G358" s="20">
        <v>-12078075.07</v>
      </c>
      <c r="H358" s="20">
        <v>-2671407.4707199996</v>
      </c>
      <c r="I358" s="20">
        <v>-14749482.540720001</v>
      </c>
      <c r="K358" s="19" t="s">
        <v>37</v>
      </c>
      <c r="L358" s="20">
        <v>-10116391.609999999</v>
      </c>
      <c r="M358" s="20">
        <v>-1086459.0553274998</v>
      </c>
      <c r="N358" s="20">
        <v>-11202850.665327499</v>
      </c>
      <c r="P358" s="19" t="s">
        <v>37</v>
      </c>
      <c r="Q358" s="20">
        <v>-22194466.68</v>
      </c>
      <c r="R358" s="20">
        <v>-3757866.5260474994</v>
      </c>
      <c r="S358" s="20">
        <v>-25952333.206047498</v>
      </c>
      <c r="U358" s="19" t="s">
        <v>37</v>
      </c>
      <c r="V358" s="20">
        <v>-8315387.7899999991</v>
      </c>
      <c r="W358" s="20">
        <v>-647297.74551083404</v>
      </c>
      <c r="X358" s="20">
        <v>-8962685.5355108324</v>
      </c>
      <c r="Y358" s="12">
        <v>-34915018.741558328</v>
      </c>
      <c r="Z358" s="25" t="s">
        <v>37</v>
      </c>
      <c r="AA358" s="20">
        <v>-6701595.3900000006</v>
      </c>
      <c r="AB358" s="20">
        <v>486558.32285166765</v>
      </c>
      <c r="AC358" s="20">
        <v>-6215037.0671483334</v>
      </c>
    </row>
    <row r="359" spans="1:29" x14ac:dyDescent="0.35">
      <c r="B359" s="2"/>
      <c r="C359" s="15"/>
      <c r="D359" s="3"/>
      <c r="G359" s="2"/>
      <c r="H359" s="15"/>
      <c r="I359" s="12"/>
      <c r="L359" s="2"/>
      <c r="M359" s="15"/>
      <c r="N359" s="2"/>
      <c r="Q359" s="2"/>
      <c r="R359" s="15"/>
      <c r="S359" s="12"/>
      <c r="V359" s="2"/>
      <c r="W359" s="15"/>
      <c r="X359" s="2"/>
      <c r="Y359" s="12">
        <v>0</v>
      </c>
      <c r="AA359" s="2"/>
      <c r="AB359" s="15"/>
      <c r="AC359" s="2"/>
    </row>
    <row r="360" spans="1:29" x14ac:dyDescent="0.35">
      <c r="B360" s="2"/>
      <c r="C360" s="15"/>
      <c r="D360" s="3"/>
      <c r="G360" s="2"/>
      <c r="H360" s="15"/>
      <c r="I360" s="12"/>
      <c r="L360" s="2"/>
      <c r="M360" s="15"/>
      <c r="N360" s="2"/>
      <c r="Q360" s="2"/>
      <c r="R360" s="15"/>
      <c r="S360" s="12"/>
      <c r="V360" s="2"/>
      <c r="W360" s="15"/>
      <c r="X360" s="2"/>
      <c r="Y360" s="12">
        <v>0</v>
      </c>
      <c r="AA360" s="2"/>
      <c r="AB360" s="15"/>
      <c r="AC360" s="2"/>
    </row>
    <row r="361" spans="1:29" x14ac:dyDescent="0.35">
      <c r="A361" t="s">
        <v>38</v>
      </c>
      <c r="B361" s="2">
        <v>0</v>
      </c>
      <c r="C361" s="2">
        <v>-706077.74320000014</v>
      </c>
      <c r="D361" s="3">
        <v>-706077.74320000014</v>
      </c>
      <c r="F361" t="s">
        <v>38</v>
      </c>
      <c r="G361" s="1">
        <v>0</v>
      </c>
      <c r="H361" s="1">
        <v>-52639.130400000002</v>
      </c>
      <c r="I361" s="12">
        <v>-52639.130400000002</v>
      </c>
      <c r="K361" t="s">
        <v>38</v>
      </c>
      <c r="L361" s="2">
        <v>0</v>
      </c>
      <c r="M361" s="2">
        <v>-70679.166999999987</v>
      </c>
      <c r="N361" s="2">
        <v>-70679.166999999987</v>
      </c>
      <c r="P361" t="s">
        <v>38</v>
      </c>
      <c r="Q361" s="1">
        <v>0</v>
      </c>
      <c r="R361" s="1">
        <v>-123318.2974</v>
      </c>
      <c r="S361" s="12">
        <v>-123318.2974</v>
      </c>
      <c r="U361" t="s">
        <v>38</v>
      </c>
      <c r="V361" s="2">
        <v>0</v>
      </c>
      <c r="W361" s="2">
        <v>-109695.30749999998</v>
      </c>
      <c r="X361" s="2">
        <v>-109695.30749999998</v>
      </c>
      <c r="Y361" s="12">
        <v>-233013.60489999998</v>
      </c>
      <c r="Z361" t="s">
        <v>38</v>
      </c>
      <c r="AA361" s="1">
        <v>0</v>
      </c>
      <c r="AB361" s="1">
        <v>-473064.13830000017</v>
      </c>
      <c r="AC361" s="2">
        <v>-473064.13830000017</v>
      </c>
    </row>
    <row r="362" spans="1:29" x14ac:dyDescent="0.35">
      <c r="A362" t="s">
        <v>78</v>
      </c>
      <c r="B362" s="2">
        <v>0</v>
      </c>
      <c r="C362" s="2">
        <v>-31972914.546296824</v>
      </c>
      <c r="D362" s="3">
        <v>-31972914.546296824</v>
      </c>
      <c r="F362" t="s">
        <v>78</v>
      </c>
      <c r="G362" s="1">
        <v>0</v>
      </c>
      <c r="H362" s="1">
        <v>-7370289.1600000001</v>
      </c>
      <c r="I362" s="12">
        <v>-7370289.1600000001</v>
      </c>
      <c r="K362" t="s">
        <v>78</v>
      </c>
      <c r="L362" s="2">
        <v>0</v>
      </c>
      <c r="M362" s="2">
        <v>-4838792.0500000007</v>
      </c>
      <c r="N362" s="2">
        <v>-4838792.0500000007</v>
      </c>
      <c r="P362" t="s">
        <v>78</v>
      </c>
      <c r="Q362" s="1">
        <v>0</v>
      </c>
      <c r="R362" s="1">
        <v>-12209081.210000001</v>
      </c>
      <c r="S362" s="12">
        <v>-12209081.210000001</v>
      </c>
      <c r="U362" t="s">
        <v>78</v>
      </c>
      <c r="V362" s="2">
        <v>0</v>
      </c>
      <c r="W362" s="2">
        <v>-10827783.391907435</v>
      </c>
      <c r="X362" s="2">
        <v>-10827783.391907435</v>
      </c>
      <c r="Y362" s="12">
        <v>-23036864.601907436</v>
      </c>
      <c r="Z362" t="s">
        <v>78</v>
      </c>
      <c r="AA362" s="1">
        <v>0</v>
      </c>
      <c r="AB362" s="1">
        <v>-8936049.944389388</v>
      </c>
      <c r="AC362" s="2">
        <v>-8936049.944389388</v>
      </c>
    </row>
    <row r="363" spans="1:29" x14ac:dyDescent="0.35">
      <c r="A363" t="s">
        <v>39</v>
      </c>
      <c r="B363" s="2">
        <v>0</v>
      </c>
      <c r="C363" s="2">
        <v>-13108505.546880377</v>
      </c>
      <c r="D363" s="3">
        <v>-13108505.546880377</v>
      </c>
      <c r="F363" t="s">
        <v>39</v>
      </c>
      <c r="G363" s="1">
        <v>0</v>
      </c>
      <c r="H363" s="1">
        <v>-1467226.978688</v>
      </c>
      <c r="I363" s="12">
        <v>-1467226.978688</v>
      </c>
      <c r="K363" t="s">
        <v>39</v>
      </c>
      <c r="L363" s="2">
        <v>0</v>
      </c>
      <c r="M363" s="2">
        <v>298322.56434133346</v>
      </c>
      <c r="N363" s="2">
        <v>298322.56434133346</v>
      </c>
      <c r="P363" t="s">
        <v>39</v>
      </c>
      <c r="Q363" s="1">
        <v>0</v>
      </c>
      <c r="R363" s="1">
        <v>-1168904.4143466665</v>
      </c>
      <c r="S363" s="12">
        <v>-1168904.4143466665</v>
      </c>
      <c r="U363" t="s">
        <v>39</v>
      </c>
      <c r="V363" s="2">
        <v>0</v>
      </c>
      <c r="W363" s="2">
        <v>-5896158.2654805575</v>
      </c>
      <c r="X363" s="2">
        <v>-5896158.2654805575</v>
      </c>
      <c r="Y363" s="12">
        <v>-7065062.6798272245</v>
      </c>
      <c r="Z363" t="s">
        <v>39</v>
      </c>
      <c r="AA363" s="1">
        <v>0</v>
      </c>
      <c r="AB363" s="1">
        <v>-6043442.867053153</v>
      </c>
      <c r="AC363" s="2">
        <v>-6043442.867053153</v>
      </c>
    </row>
    <row r="364" spans="1:29" x14ac:dyDescent="0.35">
      <c r="A364" t="s">
        <v>40</v>
      </c>
      <c r="B364" s="2">
        <v>0</v>
      </c>
      <c r="C364" s="2">
        <v>-3013868.0636266666</v>
      </c>
      <c r="D364" s="3">
        <v>-3013868.0636266666</v>
      </c>
      <c r="F364" t="s">
        <v>40</v>
      </c>
      <c r="G364" s="1">
        <v>0</v>
      </c>
      <c r="H364" s="1">
        <v>-436602.03139200003</v>
      </c>
      <c r="I364" s="12">
        <v>-436602.03139200003</v>
      </c>
      <c r="K364" t="s">
        <v>40</v>
      </c>
      <c r="L364" s="2">
        <v>0</v>
      </c>
      <c r="M364" s="2">
        <v>-493397.4666705</v>
      </c>
      <c r="N364" s="2">
        <v>-493397.4666705</v>
      </c>
      <c r="P364" t="s">
        <v>40</v>
      </c>
      <c r="Q364" s="1">
        <v>0</v>
      </c>
      <c r="R364" s="1">
        <v>-929999.49806250003</v>
      </c>
      <c r="S364" s="12">
        <v>-929999.49806250003</v>
      </c>
      <c r="U364" t="s">
        <v>40</v>
      </c>
      <c r="V364" s="2">
        <v>0</v>
      </c>
      <c r="W364" s="2">
        <v>-860542.13889583317</v>
      </c>
      <c r="X364" s="2">
        <v>-860542.13889583317</v>
      </c>
      <c r="Y364" s="12">
        <v>-1790541.6369583332</v>
      </c>
      <c r="Z364" t="s">
        <v>40</v>
      </c>
      <c r="AA364" s="1">
        <v>0</v>
      </c>
      <c r="AB364" s="1">
        <v>-1223326.4266683336</v>
      </c>
      <c r="AC364" s="2">
        <v>-1223326.4266683336</v>
      </c>
    </row>
    <row r="365" spans="1:29" x14ac:dyDescent="0.35">
      <c r="A365" t="s">
        <v>41</v>
      </c>
      <c r="B365" s="2">
        <v>0</v>
      </c>
      <c r="C365" s="2">
        <v>-50377</v>
      </c>
      <c r="D365" s="3">
        <v>-50377</v>
      </c>
      <c r="F365" t="s">
        <v>41</v>
      </c>
      <c r="G365" s="1">
        <v>0</v>
      </c>
      <c r="H365" s="1">
        <v>0</v>
      </c>
      <c r="I365" s="12">
        <v>0</v>
      </c>
      <c r="K365" t="s">
        <v>41</v>
      </c>
      <c r="L365" s="2">
        <v>0</v>
      </c>
      <c r="M365" s="2">
        <v>-29949</v>
      </c>
      <c r="N365" s="2">
        <v>-29949</v>
      </c>
      <c r="P365" t="s">
        <v>41</v>
      </c>
      <c r="Q365" s="1">
        <v>0</v>
      </c>
      <c r="R365" s="1">
        <v>-29949</v>
      </c>
      <c r="S365" s="12">
        <v>-29949</v>
      </c>
      <c r="U365" t="s">
        <v>41</v>
      </c>
      <c r="V365" s="2">
        <v>0</v>
      </c>
      <c r="W365" s="2">
        <v>-14735</v>
      </c>
      <c r="X365" s="2">
        <v>-14735</v>
      </c>
      <c r="Y365" s="12">
        <v>-44684</v>
      </c>
      <c r="Z365" t="s">
        <v>41</v>
      </c>
      <c r="AA365" s="1">
        <v>0</v>
      </c>
      <c r="AB365" s="1">
        <v>-5693</v>
      </c>
      <c r="AC365" s="2">
        <v>-5693</v>
      </c>
    </row>
    <row r="366" spans="1:29" x14ac:dyDescent="0.35">
      <c r="A366" t="s">
        <v>42</v>
      </c>
      <c r="B366" s="2">
        <v>0</v>
      </c>
      <c r="C366" s="2">
        <v>-156277</v>
      </c>
      <c r="D366" s="3">
        <v>-156277</v>
      </c>
      <c r="F366" t="s">
        <v>42</v>
      </c>
      <c r="G366" s="1">
        <v>0</v>
      </c>
      <c r="H366" s="1">
        <v>0</v>
      </c>
      <c r="I366" s="12">
        <v>0</v>
      </c>
      <c r="K366" t="s">
        <v>42</v>
      </c>
      <c r="L366" s="2">
        <v>0</v>
      </c>
      <c r="M366" s="2">
        <v>0</v>
      </c>
      <c r="N366" s="2">
        <v>0</v>
      </c>
      <c r="P366" t="s">
        <v>42</v>
      </c>
      <c r="Q366" s="1">
        <v>0</v>
      </c>
      <c r="R366" s="1">
        <v>0</v>
      </c>
      <c r="S366" s="12">
        <v>0</v>
      </c>
      <c r="U366" t="s">
        <v>42</v>
      </c>
      <c r="V366" s="2">
        <v>0</v>
      </c>
      <c r="W366" s="2">
        <v>0</v>
      </c>
      <c r="X366" s="2">
        <v>0</v>
      </c>
      <c r="Y366" s="12">
        <v>0</v>
      </c>
      <c r="Z366" t="s">
        <v>42</v>
      </c>
      <c r="AA366" s="1">
        <v>0</v>
      </c>
      <c r="AB366" s="1">
        <v>-156277</v>
      </c>
      <c r="AC366" s="2">
        <v>-156277</v>
      </c>
    </row>
    <row r="367" spans="1:29" x14ac:dyDescent="0.35">
      <c r="A367" t="s">
        <v>4</v>
      </c>
      <c r="B367" s="2">
        <v>0</v>
      </c>
      <c r="C367" s="2">
        <v>3107944.1881260145</v>
      </c>
      <c r="D367" s="3">
        <v>3107944.1881260145</v>
      </c>
      <c r="F367" t="s">
        <v>4</v>
      </c>
      <c r="G367" s="1">
        <v>0</v>
      </c>
      <c r="H367" s="1">
        <v>-4453716.4125919994</v>
      </c>
      <c r="I367" s="12">
        <v>-4453716.4125919994</v>
      </c>
      <c r="K367" t="s">
        <v>4</v>
      </c>
      <c r="L367" s="2">
        <v>0</v>
      </c>
      <c r="M367" s="2">
        <v>-511890.16886716709</v>
      </c>
      <c r="N367" s="2">
        <v>-511890.16886716709</v>
      </c>
      <c r="P367" t="s">
        <v>4</v>
      </c>
      <c r="Q367" s="1">
        <v>0</v>
      </c>
      <c r="R367" s="1">
        <v>-4965606.5814591665</v>
      </c>
      <c r="S367" s="12">
        <v>-4965606.5814591665</v>
      </c>
      <c r="U367" t="s">
        <v>4</v>
      </c>
      <c r="V367" s="2">
        <v>0</v>
      </c>
      <c r="W367" s="2">
        <v>5277676.194345599</v>
      </c>
      <c r="X367" s="2">
        <v>5277676.194345599</v>
      </c>
      <c r="Y367" s="12">
        <v>312069.61288643256</v>
      </c>
      <c r="Z367" t="s">
        <v>4</v>
      </c>
      <c r="AA367" s="1">
        <v>0</v>
      </c>
      <c r="AB367" s="1">
        <v>2795874.575239582</v>
      </c>
      <c r="AC367" s="2">
        <v>2795874.575239582</v>
      </c>
    </row>
    <row r="368" spans="1:29" x14ac:dyDescent="0.35">
      <c r="A368" t="s">
        <v>5</v>
      </c>
      <c r="B368" s="2">
        <v>0</v>
      </c>
      <c r="C368" s="2">
        <v>-4371011.2254800014</v>
      </c>
      <c r="D368" s="3">
        <v>-4371011.2254800014</v>
      </c>
      <c r="F368" t="s">
        <v>5</v>
      </c>
      <c r="G368" s="1">
        <v>0</v>
      </c>
      <c r="H368" s="1">
        <v>0</v>
      </c>
      <c r="I368" s="12">
        <v>0</v>
      </c>
      <c r="K368" t="s">
        <v>5</v>
      </c>
      <c r="L368" s="2">
        <v>0</v>
      </c>
      <c r="M368" s="2">
        <v>0</v>
      </c>
      <c r="N368" s="2">
        <v>0</v>
      </c>
      <c r="P368" t="s">
        <v>5</v>
      </c>
      <c r="Q368" s="1">
        <v>0</v>
      </c>
      <c r="R368" s="1">
        <v>0</v>
      </c>
      <c r="S368" s="12">
        <v>0</v>
      </c>
      <c r="U368" t="s">
        <v>5</v>
      </c>
      <c r="V368" s="2">
        <v>0</v>
      </c>
      <c r="W368" s="2">
        <v>-3212626.8034420181</v>
      </c>
      <c r="X368" s="2">
        <v>-3212626.8034420181</v>
      </c>
      <c r="Y368" s="12">
        <v>-3212626.8034420181</v>
      </c>
      <c r="Z368" t="s">
        <v>5</v>
      </c>
      <c r="AA368" s="1">
        <v>0</v>
      </c>
      <c r="AB368" s="1">
        <v>-1158384.4220379833</v>
      </c>
      <c r="AC368" s="2">
        <v>-1158384.4220379833</v>
      </c>
    </row>
    <row r="369" spans="1:29" x14ac:dyDescent="0.35">
      <c r="A369" t="s">
        <v>182</v>
      </c>
      <c r="B369" s="2">
        <v>0</v>
      </c>
      <c r="C369" s="2">
        <v>1399476.8985000001</v>
      </c>
      <c r="D369" s="3">
        <v>1399476.8985000001</v>
      </c>
      <c r="F369" t="s">
        <v>182</v>
      </c>
      <c r="G369" s="1">
        <v>0</v>
      </c>
      <c r="H369" s="1">
        <v>-277956.46889599995</v>
      </c>
      <c r="I369" s="12">
        <v>-277956.46889599995</v>
      </c>
      <c r="K369" t="s">
        <v>182</v>
      </c>
      <c r="L369" s="2">
        <v>0</v>
      </c>
      <c r="M369" s="2">
        <v>604498.11205349991</v>
      </c>
      <c r="N369" s="2">
        <v>604498.11205349991</v>
      </c>
      <c r="P369" t="s">
        <v>182</v>
      </c>
      <c r="Q369" s="1">
        <v>0</v>
      </c>
      <c r="R369" s="1">
        <v>326541.64315749996</v>
      </c>
      <c r="S369" s="12">
        <v>326541.64315749996</v>
      </c>
      <c r="U369" t="s">
        <v>182</v>
      </c>
      <c r="V369" s="2">
        <v>0</v>
      </c>
      <c r="W369" s="2">
        <v>-1517210.9546758332</v>
      </c>
      <c r="X369" s="2">
        <v>-1517210.9546758332</v>
      </c>
      <c r="Y369" s="12">
        <v>-1190669.3115183334</v>
      </c>
      <c r="Z369" t="s">
        <v>182</v>
      </c>
      <c r="AA369" s="1">
        <v>0</v>
      </c>
      <c r="AB369" s="1">
        <v>2590146.2100183335</v>
      </c>
      <c r="AC369" s="2">
        <v>2590146.2100183335</v>
      </c>
    </row>
    <row r="370" spans="1:29" x14ac:dyDescent="0.35">
      <c r="A370" s="19" t="s">
        <v>11</v>
      </c>
      <c r="B370" s="20">
        <v>0</v>
      </c>
      <c r="C370" s="20">
        <v>-48871610.038857855</v>
      </c>
      <c r="D370" s="20">
        <v>-48871610.038857855</v>
      </c>
      <c r="F370" s="19" t="s">
        <v>11</v>
      </c>
      <c r="G370" s="20">
        <v>0</v>
      </c>
      <c r="H370" s="20">
        <v>-14058430.181968</v>
      </c>
      <c r="I370" s="20">
        <v>-14058430.181968</v>
      </c>
      <c r="K370" s="19" t="s">
        <v>11</v>
      </c>
      <c r="L370" s="20">
        <v>0</v>
      </c>
      <c r="M370" s="20">
        <v>-5041887.1761428351</v>
      </c>
      <c r="N370" s="20">
        <v>-5041887.1761428351</v>
      </c>
      <c r="P370" s="19" t="s">
        <v>11</v>
      </c>
      <c r="Q370" s="20">
        <v>0</v>
      </c>
      <c r="R370" s="20">
        <v>-19100317.358110834</v>
      </c>
      <c r="S370" s="20">
        <v>-19100317.358110834</v>
      </c>
      <c r="U370" s="19" t="s">
        <v>11</v>
      </c>
      <c r="V370" s="20">
        <v>0</v>
      </c>
      <c r="W370" s="20">
        <v>-17161075.667556077</v>
      </c>
      <c r="X370" s="20">
        <v>-17161075.667556077</v>
      </c>
      <c r="Y370" s="12">
        <v>-36261393.025666907</v>
      </c>
      <c r="Z370" s="19" t="s">
        <v>11</v>
      </c>
      <c r="AA370" s="20">
        <v>0</v>
      </c>
      <c r="AB370" s="20">
        <v>-12610217.01319094</v>
      </c>
      <c r="AC370" s="20">
        <v>-12610217.01319094</v>
      </c>
    </row>
    <row r="371" spans="1:29" x14ac:dyDescent="0.35">
      <c r="B371" s="2"/>
      <c r="C371" s="15"/>
      <c r="D371" s="3"/>
      <c r="G371" s="2"/>
      <c r="H371" s="15"/>
      <c r="I371" s="12"/>
      <c r="L371" s="2"/>
      <c r="M371" s="15"/>
      <c r="N371" s="2"/>
      <c r="Q371" s="2"/>
      <c r="R371" s="15"/>
      <c r="S371" s="12"/>
      <c r="V371" s="2"/>
      <c r="W371" s="15"/>
      <c r="X371" s="2"/>
      <c r="Y371" s="12">
        <v>0</v>
      </c>
      <c r="AA371" s="2"/>
      <c r="AB371" s="15"/>
      <c r="AC371" s="2"/>
    </row>
    <row r="372" spans="1:29" x14ac:dyDescent="0.35">
      <c r="B372" s="2"/>
      <c r="C372" s="15"/>
      <c r="D372" s="3"/>
      <c r="G372" s="2"/>
      <c r="H372" s="15"/>
      <c r="I372" s="12"/>
      <c r="L372" s="2"/>
      <c r="M372" s="15"/>
      <c r="N372" s="2"/>
      <c r="Q372" s="2"/>
      <c r="R372" s="15"/>
      <c r="S372" s="12"/>
      <c r="V372" s="2"/>
      <c r="W372" s="15"/>
      <c r="X372" s="2"/>
      <c r="Y372" s="12">
        <v>0</v>
      </c>
      <c r="AA372" s="2"/>
      <c r="AB372" s="15"/>
      <c r="AC372" s="2"/>
    </row>
    <row r="373" spans="1:29" x14ac:dyDescent="0.35">
      <c r="A373" s="11" t="s">
        <v>43</v>
      </c>
      <c r="B373" s="4">
        <v>-16758973.620000008</v>
      </c>
      <c r="C373" s="4">
        <v>3030714.2364767939</v>
      </c>
      <c r="D373" s="4">
        <v>-13728259.383523215</v>
      </c>
      <c r="F373" s="11" t="s">
        <v>43</v>
      </c>
      <c r="G373" s="4">
        <v>-7345257.7100000195</v>
      </c>
      <c r="H373" s="4">
        <v>7107163.385967996</v>
      </c>
      <c r="I373" s="4">
        <v>-238094.32403202355</v>
      </c>
      <c r="K373" s="11" t="s">
        <v>43</v>
      </c>
      <c r="L373" s="4">
        <v>-2877250.9199999906</v>
      </c>
      <c r="M373" s="4">
        <v>2177645.448442</v>
      </c>
      <c r="N373" s="4">
        <v>-699605.47155799065</v>
      </c>
      <c r="P373" s="11" t="s">
        <v>43</v>
      </c>
      <c r="Q373" s="4">
        <v>-10222508.630000006</v>
      </c>
      <c r="R373" s="4">
        <v>9284808.8344100006</v>
      </c>
      <c r="S373" s="4">
        <v>-937699.79559000582</v>
      </c>
      <c r="U373" s="11" t="s">
        <v>43</v>
      </c>
      <c r="V373" s="4">
        <v>-4215883.8700000066</v>
      </c>
      <c r="W373" s="4">
        <v>-3637454.5640739053</v>
      </c>
      <c r="X373" s="4">
        <v>-7853338.434073912</v>
      </c>
      <c r="Y373" s="12">
        <v>-8791038.2296639178</v>
      </c>
      <c r="Z373" s="11" t="s">
        <v>43</v>
      </c>
      <c r="AA373" s="4">
        <v>-2320581.1199999973</v>
      </c>
      <c r="AB373" s="4">
        <v>-2616640.0338593032</v>
      </c>
      <c r="AC373" s="4">
        <v>-4937221.1538593005</v>
      </c>
    </row>
    <row r="374" spans="1:29" x14ac:dyDescent="0.35">
      <c r="A374" t="s">
        <v>6</v>
      </c>
      <c r="B374" s="2">
        <v>0</v>
      </c>
      <c r="C374" s="2">
        <v>-6691862.3499999996</v>
      </c>
      <c r="D374" s="2">
        <v>-6691862.3499999996</v>
      </c>
      <c r="F374" t="s">
        <v>6</v>
      </c>
      <c r="G374" s="1">
        <v>0</v>
      </c>
      <c r="H374" s="1">
        <v>-3637418.76</v>
      </c>
      <c r="I374" s="2">
        <v>-3637418.76</v>
      </c>
      <c r="K374" t="s">
        <v>6</v>
      </c>
      <c r="L374" s="2">
        <v>0</v>
      </c>
      <c r="M374" s="2">
        <v>-886615.40000000037</v>
      </c>
      <c r="N374" s="2">
        <v>-886615.40000000037</v>
      </c>
      <c r="P374" t="s">
        <v>6</v>
      </c>
      <c r="Q374" s="1">
        <v>0</v>
      </c>
      <c r="R374" s="1">
        <v>-4524034.16</v>
      </c>
      <c r="S374" s="2">
        <v>-4524034.16</v>
      </c>
      <c r="U374" t="s">
        <v>6</v>
      </c>
      <c r="V374" s="2">
        <v>0</v>
      </c>
      <c r="W374" s="2">
        <v>-614176.84999999963</v>
      </c>
      <c r="X374" s="2">
        <v>-614176.84999999963</v>
      </c>
      <c r="Y374" s="12">
        <v>-5138211.01</v>
      </c>
      <c r="Z374" t="s">
        <v>6</v>
      </c>
      <c r="AA374" s="1">
        <v>0</v>
      </c>
      <c r="AB374" s="1">
        <v>-1553651.3399999999</v>
      </c>
      <c r="AC374" s="2">
        <v>-1553651.3399999999</v>
      </c>
    </row>
    <row r="375" spans="1:29" x14ac:dyDescent="0.35">
      <c r="A375" s="11" t="s">
        <v>7</v>
      </c>
      <c r="B375" s="4">
        <v>-16758973.620000008</v>
      </c>
      <c r="C375" s="4">
        <v>-3661148.1135232057</v>
      </c>
      <c r="D375" s="4">
        <v>-20420121.733523212</v>
      </c>
      <c r="F375" s="11" t="s">
        <v>7</v>
      </c>
      <c r="G375" s="4">
        <v>-7345257.7100000195</v>
      </c>
      <c r="H375" s="4">
        <v>3469744.6259679962</v>
      </c>
      <c r="I375" s="4">
        <v>-3875513.0840320233</v>
      </c>
      <c r="K375" s="11" t="s">
        <v>7</v>
      </c>
      <c r="L375" s="4">
        <v>-2877250.9199999906</v>
      </c>
      <c r="M375" s="4">
        <v>1291030.0484419996</v>
      </c>
      <c r="N375" s="4">
        <v>-1586220.871557991</v>
      </c>
      <c r="P375" s="11" t="s">
        <v>7</v>
      </c>
      <c r="Q375" s="4">
        <v>-10222508.630000006</v>
      </c>
      <c r="R375" s="4">
        <v>4760774.6744100004</v>
      </c>
      <c r="S375" s="4">
        <v>-5461733.955590006</v>
      </c>
      <c r="U375" s="11" t="s">
        <v>7</v>
      </c>
      <c r="V375" s="4">
        <v>-4215883.8700000066</v>
      </c>
      <c r="W375" s="4">
        <v>-4251631.414073905</v>
      </c>
      <c r="X375" s="4">
        <v>-8467515.2840739116</v>
      </c>
      <c r="Y375" s="12">
        <v>-13929249.239663918</v>
      </c>
      <c r="Z375" s="11" t="s">
        <v>7</v>
      </c>
      <c r="AA375" s="137">
        <v>-2320581.1199999973</v>
      </c>
      <c r="AB375" s="137">
        <v>-4170291.3738593031</v>
      </c>
      <c r="AC375" s="4">
        <v>-6490872.4938593004</v>
      </c>
    </row>
    <row r="376" spans="1:29" x14ac:dyDescent="0.35">
      <c r="A376" t="s">
        <v>8</v>
      </c>
      <c r="B376" s="2">
        <v>0</v>
      </c>
      <c r="C376" s="2">
        <v>6033820.7187386192</v>
      </c>
      <c r="D376" s="2">
        <v>6033820.7187386192</v>
      </c>
      <c r="F376" t="s">
        <v>8</v>
      </c>
      <c r="G376" s="1">
        <v>0</v>
      </c>
      <c r="H376" s="1">
        <v>1162727.7338588103</v>
      </c>
      <c r="I376" s="2">
        <v>1162727.7338588103</v>
      </c>
      <c r="K376" t="s">
        <v>8</v>
      </c>
      <c r="L376" s="2">
        <v>0</v>
      </c>
      <c r="M376" s="2">
        <v>445177.64192021429</v>
      </c>
      <c r="N376" s="2">
        <v>445177.64192021429</v>
      </c>
      <c r="P376" t="s">
        <v>8</v>
      </c>
      <c r="Q376" s="1">
        <v>0</v>
      </c>
      <c r="R376" s="1">
        <v>1607905.3757790246</v>
      </c>
      <c r="S376" s="2">
        <v>1607905.3757790246</v>
      </c>
      <c r="U376" t="s">
        <v>8</v>
      </c>
      <c r="V376" s="2">
        <v>0</v>
      </c>
      <c r="W376" s="2">
        <v>3607990.3757863948</v>
      </c>
      <c r="X376" s="2">
        <v>3607990.3757863948</v>
      </c>
      <c r="Y376" s="12">
        <v>5215895.7515654191</v>
      </c>
      <c r="Z376" t="s">
        <v>8</v>
      </c>
      <c r="AA376" s="1">
        <v>0</v>
      </c>
      <c r="AB376" s="1">
        <v>817924.96717319987</v>
      </c>
      <c r="AC376" s="2">
        <v>817924.96717319987</v>
      </c>
    </row>
    <row r="377" spans="1:29" x14ac:dyDescent="0.35">
      <c r="A377" s="11" t="s">
        <v>161</v>
      </c>
      <c r="B377" s="4">
        <v>-16758973.620000008</v>
      </c>
      <c r="C377" s="4">
        <v>2372672.6052154135</v>
      </c>
      <c r="D377" s="4">
        <v>-14386301.014784595</v>
      </c>
      <c r="F377" s="11" t="s">
        <v>161</v>
      </c>
      <c r="G377" s="4">
        <v>-7345257.7100000195</v>
      </c>
      <c r="H377" s="4">
        <v>4632472.3598268069</v>
      </c>
      <c r="I377" s="4">
        <v>-2712785.3501732126</v>
      </c>
      <c r="K377" s="11" t="s">
        <v>161</v>
      </c>
      <c r="L377" s="4">
        <v>-2877250.9199999906</v>
      </c>
      <c r="M377" s="4">
        <v>1736207.6903622139</v>
      </c>
      <c r="N377" s="4">
        <v>-1141043.2296377767</v>
      </c>
      <c r="P377" s="11" t="s">
        <v>161</v>
      </c>
      <c r="Q377" s="4">
        <v>-10222508.630000006</v>
      </c>
      <c r="R377" s="4">
        <v>6368680.0501890248</v>
      </c>
      <c r="S377" s="4">
        <v>-3853828.5798109816</v>
      </c>
      <c r="U377" s="11" t="s">
        <v>161</v>
      </c>
      <c r="V377" s="4">
        <v>-4215883.8700000066</v>
      </c>
      <c r="W377" s="4">
        <v>-643641.03828751016</v>
      </c>
      <c r="X377" s="4">
        <v>-4859524.9082875168</v>
      </c>
      <c r="Y377" s="12">
        <v>-8713353.4880984984</v>
      </c>
      <c r="Z377" s="11" t="s">
        <v>9</v>
      </c>
      <c r="AA377" s="137">
        <v>-2320581.1199999973</v>
      </c>
      <c r="AB377" s="137">
        <v>-3352366.406686103</v>
      </c>
      <c r="AC377" s="4">
        <v>-5672947.5266861003</v>
      </c>
    </row>
    <row r="378" spans="1:29" x14ac:dyDescent="0.35">
      <c r="B378" s="3"/>
      <c r="C378" s="3"/>
      <c r="L378" s="2">
        <v>3.7252902984619141E-9</v>
      </c>
      <c r="M378" s="2">
        <v>3.9581209421157837E-9</v>
      </c>
      <c r="N378" s="2">
        <v>7.6834112405776978E-9</v>
      </c>
      <c r="Q378" s="3">
        <v>0</v>
      </c>
      <c r="R378" s="3">
        <v>0</v>
      </c>
      <c r="AA378" s="12">
        <v>0</v>
      </c>
      <c r="AB378" s="12">
        <v>0</v>
      </c>
      <c r="AC378" s="12">
        <v>0</v>
      </c>
    </row>
    <row r="379" spans="1:29" x14ac:dyDescent="0.35">
      <c r="B379" s="3"/>
      <c r="C379" s="3"/>
      <c r="L379" s="2"/>
      <c r="M379" s="2"/>
      <c r="N379" s="2"/>
      <c r="Q379" s="3"/>
      <c r="R379" s="3"/>
      <c r="AA379" s="12"/>
      <c r="AB379" s="12"/>
      <c r="AC379" s="12"/>
    </row>
    <row r="380" spans="1:29" x14ac:dyDescent="0.35">
      <c r="B380" s="2">
        <v>0</v>
      </c>
      <c r="C380" s="2">
        <v>-3.7252902984619141E-9</v>
      </c>
    </row>
    <row r="381" spans="1:29" ht="18.5" x14ac:dyDescent="0.35">
      <c r="A381" s="303" t="s">
        <v>205</v>
      </c>
      <c r="B381" s="303"/>
      <c r="C381" s="303"/>
      <c r="D381" s="303"/>
      <c r="F381" s="303" t="s">
        <v>193</v>
      </c>
      <c r="G381" s="303"/>
      <c r="H381" s="303"/>
      <c r="I381" s="303"/>
      <c r="K381" s="303" t="s">
        <v>197</v>
      </c>
      <c r="L381" s="303"/>
      <c r="M381" s="303"/>
      <c r="N381" s="303"/>
      <c r="P381" s="303" t="s">
        <v>199</v>
      </c>
      <c r="Q381" s="303"/>
      <c r="R381" s="303"/>
      <c r="S381" s="303"/>
      <c r="U381" s="303" t="s">
        <v>202</v>
      </c>
      <c r="V381" s="303"/>
      <c r="W381" s="303"/>
      <c r="X381" s="303"/>
      <c r="Z381" s="135" t="s">
        <v>208</v>
      </c>
      <c r="AA381" s="135"/>
      <c r="AB381" s="135"/>
      <c r="AC381" s="135"/>
    </row>
    <row r="382" spans="1:29" ht="15.5" x14ac:dyDescent="0.35">
      <c r="A382" s="8"/>
      <c r="B382" s="10" t="s">
        <v>46</v>
      </c>
      <c r="C382" s="10" t="s">
        <v>1</v>
      </c>
      <c r="D382" s="10" t="s">
        <v>48</v>
      </c>
      <c r="F382" s="8"/>
      <c r="G382" s="10" t="s">
        <v>46</v>
      </c>
      <c r="H382" s="10" t="s">
        <v>1</v>
      </c>
      <c r="I382" s="10" t="s">
        <v>48</v>
      </c>
      <c r="K382" s="8"/>
      <c r="L382" s="10" t="s">
        <v>46</v>
      </c>
      <c r="M382" s="10" t="s">
        <v>1</v>
      </c>
      <c r="N382" s="10" t="s">
        <v>48</v>
      </c>
      <c r="P382" s="8"/>
      <c r="Q382" s="10" t="s">
        <v>46</v>
      </c>
      <c r="R382" s="10" t="s">
        <v>1</v>
      </c>
      <c r="S382" s="10" t="s">
        <v>48</v>
      </c>
      <c r="U382" s="8"/>
      <c r="V382" s="10" t="s">
        <v>46</v>
      </c>
      <c r="W382" s="10" t="s">
        <v>1</v>
      </c>
      <c r="X382" s="10" t="s">
        <v>48</v>
      </c>
      <c r="Z382" s="24"/>
      <c r="AA382" s="10" t="s">
        <v>46</v>
      </c>
      <c r="AB382" s="10" t="s">
        <v>1</v>
      </c>
      <c r="AC382" s="26" t="s">
        <v>48</v>
      </c>
    </row>
    <row r="383" spans="1:29" x14ac:dyDescent="0.35">
      <c r="A383" t="s">
        <v>85</v>
      </c>
      <c r="B383" s="2">
        <v>0</v>
      </c>
      <c r="C383" s="2">
        <v>6029804.1200000001</v>
      </c>
      <c r="D383" s="3">
        <v>6029804.1200000001</v>
      </c>
      <c r="F383" t="s">
        <v>85</v>
      </c>
      <c r="G383" s="1">
        <v>0</v>
      </c>
      <c r="H383" s="1">
        <v>1170162.43</v>
      </c>
      <c r="I383" s="2">
        <v>1170162.43</v>
      </c>
      <c r="K383" t="s">
        <v>85</v>
      </c>
      <c r="L383" s="1">
        <v>0</v>
      </c>
      <c r="M383" s="1">
        <v>2752033.37</v>
      </c>
      <c r="N383" s="2">
        <v>2752033.37</v>
      </c>
      <c r="P383" t="s">
        <v>85</v>
      </c>
      <c r="Q383" s="1">
        <v>0</v>
      </c>
      <c r="R383" s="1">
        <v>3922195.8</v>
      </c>
      <c r="S383" s="2">
        <v>3922195.8</v>
      </c>
      <c r="U383" t="s">
        <v>85</v>
      </c>
      <c r="V383" s="2">
        <v>0</v>
      </c>
      <c r="W383" s="2">
        <v>1311617.8600000003</v>
      </c>
      <c r="X383" s="2">
        <v>1311617.8600000003</v>
      </c>
      <c r="Z383" t="s">
        <v>85</v>
      </c>
      <c r="AA383" s="1">
        <v>0</v>
      </c>
      <c r="AB383" s="1">
        <v>795990.46</v>
      </c>
      <c r="AC383" s="2">
        <v>795990.46</v>
      </c>
    </row>
    <row r="384" spans="1:29" x14ac:dyDescent="0.35">
      <c r="A384" t="s">
        <v>19</v>
      </c>
      <c r="B384" s="2">
        <v>0</v>
      </c>
      <c r="C384" s="2">
        <v>117210.7</v>
      </c>
      <c r="D384" s="3">
        <v>117210.7</v>
      </c>
      <c r="F384" t="s">
        <v>19</v>
      </c>
      <c r="G384" s="1">
        <v>0</v>
      </c>
      <c r="H384" s="1">
        <v>29059.780000000002</v>
      </c>
      <c r="I384" s="2">
        <v>29059.780000000002</v>
      </c>
      <c r="K384" t="s">
        <v>19</v>
      </c>
      <c r="L384" s="1">
        <v>0</v>
      </c>
      <c r="M384" s="1">
        <v>32875.009999999995</v>
      </c>
      <c r="N384" s="2">
        <v>32875.009999999995</v>
      </c>
      <c r="P384" t="s">
        <v>19</v>
      </c>
      <c r="Q384" s="1">
        <v>0</v>
      </c>
      <c r="R384" s="1">
        <v>61934.79</v>
      </c>
      <c r="S384" s="2">
        <v>61934.79</v>
      </c>
      <c r="U384" t="s">
        <v>19</v>
      </c>
      <c r="V384" s="2">
        <v>0</v>
      </c>
      <c r="W384" s="2">
        <v>28851.640000000007</v>
      </c>
      <c r="X384" s="2">
        <v>28851.640000000007</v>
      </c>
      <c r="Z384" t="s">
        <v>19</v>
      </c>
      <c r="AA384" s="1">
        <v>0</v>
      </c>
      <c r="AB384" s="1">
        <v>26424.269999999997</v>
      </c>
      <c r="AC384" s="2">
        <v>26424.269999999997</v>
      </c>
    </row>
    <row r="385" spans="1:29" x14ac:dyDescent="0.35">
      <c r="A385" t="s">
        <v>86</v>
      </c>
      <c r="B385" s="2">
        <v>0</v>
      </c>
      <c r="C385" s="2">
        <v>0</v>
      </c>
      <c r="D385" s="3">
        <v>0</v>
      </c>
      <c r="F385" t="s">
        <v>86</v>
      </c>
      <c r="G385" s="1">
        <v>0</v>
      </c>
      <c r="H385" s="1">
        <v>0</v>
      </c>
      <c r="I385" s="2">
        <v>0</v>
      </c>
      <c r="K385" t="s">
        <v>86</v>
      </c>
      <c r="L385" s="1">
        <v>0</v>
      </c>
      <c r="M385" s="1">
        <v>0</v>
      </c>
      <c r="N385" s="2">
        <v>0</v>
      </c>
      <c r="P385" t="s">
        <v>86</v>
      </c>
      <c r="Q385" s="1">
        <v>0</v>
      </c>
      <c r="R385" s="1">
        <v>0</v>
      </c>
      <c r="S385" s="2">
        <v>0</v>
      </c>
      <c r="U385" t="s">
        <v>86</v>
      </c>
      <c r="V385" s="2">
        <v>0</v>
      </c>
      <c r="W385" s="2">
        <v>0</v>
      </c>
      <c r="X385" s="2">
        <v>0</v>
      </c>
      <c r="Z385" t="s">
        <v>86</v>
      </c>
      <c r="AA385" s="1">
        <v>0</v>
      </c>
      <c r="AB385" s="1">
        <v>0</v>
      </c>
      <c r="AC385" s="2">
        <v>0</v>
      </c>
    </row>
    <row r="386" spans="1:29" x14ac:dyDescent="0.35">
      <c r="A386" t="s">
        <v>87</v>
      </c>
      <c r="B386" s="2">
        <v>0</v>
      </c>
      <c r="C386" s="2">
        <v>0</v>
      </c>
      <c r="D386" s="3">
        <v>0</v>
      </c>
      <c r="F386" t="s">
        <v>87</v>
      </c>
      <c r="G386" s="1">
        <v>0</v>
      </c>
      <c r="H386" s="1">
        <v>0</v>
      </c>
      <c r="I386" s="2">
        <v>0</v>
      </c>
      <c r="K386" t="s">
        <v>87</v>
      </c>
      <c r="L386" s="1">
        <v>0</v>
      </c>
      <c r="M386" s="1">
        <v>0</v>
      </c>
      <c r="N386" s="2">
        <v>0</v>
      </c>
      <c r="P386" t="s">
        <v>87</v>
      </c>
      <c r="Q386" s="1">
        <v>0</v>
      </c>
      <c r="R386" s="1">
        <v>0</v>
      </c>
      <c r="S386" s="2">
        <v>0</v>
      </c>
      <c r="U386" t="s">
        <v>87</v>
      </c>
      <c r="V386" s="2">
        <v>0</v>
      </c>
      <c r="W386" s="2">
        <v>0</v>
      </c>
      <c r="X386" s="2">
        <v>0</v>
      </c>
      <c r="Z386" t="s">
        <v>87</v>
      </c>
      <c r="AA386" s="1">
        <v>0</v>
      </c>
      <c r="AB386" s="1">
        <v>0</v>
      </c>
      <c r="AC386" s="2">
        <v>0</v>
      </c>
    </row>
    <row r="387" spans="1:29" x14ac:dyDescent="0.35">
      <c r="A387" s="19" t="s">
        <v>18</v>
      </c>
      <c r="B387" s="20">
        <v>0</v>
      </c>
      <c r="C387" s="20">
        <v>6147014.8200000003</v>
      </c>
      <c r="D387" s="20">
        <v>6147014.8200000003</v>
      </c>
      <c r="F387" s="19" t="s">
        <v>18</v>
      </c>
      <c r="G387" s="20">
        <v>0</v>
      </c>
      <c r="H387" s="20">
        <v>1199222.21</v>
      </c>
      <c r="I387" s="20">
        <v>1199222.21</v>
      </c>
      <c r="K387" s="19" t="s">
        <v>18</v>
      </c>
      <c r="L387" s="20">
        <v>0</v>
      </c>
      <c r="M387" s="20">
        <v>2784908.38</v>
      </c>
      <c r="N387" s="20">
        <v>2784908.38</v>
      </c>
      <c r="P387" s="19" t="s">
        <v>18</v>
      </c>
      <c r="Q387" s="20">
        <v>0</v>
      </c>
      <c r="R387" s="20">
        <v>3984130.59</v>
      </c>
      <c r="S387" s="20">
        <v>3984130.59</v>
      </c>
      <c r="U387" s="19" t="s">
        <v>18</v>
      </c>
      <c r="V387" s="20">
        <v>0</v>
      </c>
      <c r="W387" s="20">
        <v>1340469.5000000002</v>
      </c>
      <c r="X387" s="20">
        <v>1340469.5000000002</v>
      </c>
      <c r="Z387" s="19" t="s">
        <v>18</v>
      </c>
      <c r="AA387" s="20">
        <v>0</v>
      </c>
      <c r="AB387" s="20">
        <v>822414.73</v>
      </c>
      <c r="AC387" s="20">
        <v>822414.73</v>
      </c>
    </row>
    <row r="388" spans="1:29" x14ac:dyDescent="0.35">
      <c r="B388" s="2"/>
      <c r="C388" s="15"/>
      <c r="D388" s="3"/>
      <c r="G388" s="1"/>
      <c r="H388" s="15"/>
      <c r="I388" s="12"/>
      <c r="L388" s="1"/>
      <c r="M388" s="15"/>
      <c r="N388" s="12"/>
      <c r="Q388" s="1"/>
      <c r="R388" s="15"/>
      <c r="S388" s="12"/>
      <c r="V388" s="2"/>
      <c r="W388" s="15"/>
      <c r="X388" s="2"/>
      <c r="AA388" s="1"/>
      <c r="AB388" s="15"/>
      <c r="AC388" s="2"/>
    </row>
    <row r="389" spans="1:29" x14ac:dyDescent="0.35">
      <c r="B389" s="2"/>
      <c r="C389" s="15"/>
      <c r="D389" s="3"/>
      <c r="G389" s="1"/>
      <c r="H389" s="15"/>
      <c r="I389" s="12"/>
      <c r="L389" s="1"/>
      <c r="M389" s="15"/>
      <c r="N389" s="12"/>
      <c r="Q389" s="1"/>
      <c r="R389" s="15"/>
      <c r="S389" s="12"/>
      <c r="V389" s="2"/>
      <c r="W389" s="15"/>
      <c r="X389" s="2"/>
      <c r="AA389" s="1"/>
      <c r="AB389" s="15"/>
      <c r="AC389" s="2"/>
    </row>
    <row r="390" spans="1:29" x14ac:dyDescent="0.35">
      <c r="A390" t="s">
        <v>12</v>
      </c>
      <c r="B390" s="2">
        <v>103675870.92</v>
      </c>
      <c r="C390" s="2">
        <v>64721090.557783417</v>
      </c>
      <c r="D390" s="3">
        <v>168396961.47778341</v>
      </c>
      <c r="F390" t="s">
        <v>12</v>
      </c>
      <c r="G390" s="1">
        <v>33263661.140000008</v>
      </c>
      <c r="H390" s="1">
        <v>10451686.657177169</v>
      </c>
      <c r="I390" s="2">
        <v>43715347.797177181</v>
      </c>
      <c r="K390" t="s">
        <v>12</v>
      </c>
      <c r="L390" s="1">
        <v>29866311.509999998</v>
      </c>
      <c r="M390" s="1">
        <v>17354492.285024758</v>
      </c>
      <c r="N390" s="2">
        <v>47220803.795024753</v>
      </c>
      <c r="P390" t="s">
        <v>12</v>
      </c>
      <c r="Q390" s="1">
        <v>63129972.650000006</v>
      </c>
      <c r="R390" s="1">
        <v>27806178.942201927</v>
      </c>
      <c r="S390" s="2">
        <v>90936151.592201933</v>
      </c>
      <c r="U390" t="s">
        <v>12</v>
      </c>
      <c r="V390" s="2">
        <v>22899246.089999974</v>
      </c>
      <c r="W390" s="2">
        <v>17964074.884111866</v>
      </c>
      <c r="X390" s="2">
        <v>40863320.97411184</v>
      </c>
      <c r="Z390" t="s">
        <v>12</v>
      </c>
      <c r="AA390" s="1">
        <v>17646652.180000022</v>
      </c>
      <c r="AB390" s="1">
        <v>18950836.731469624</v>
      </c>
      <c r="AC390" s="2">
        <v>36597488.911469646</v>
      </c>
    </row>
    <row r="391" spans="1:29" x14ac:dyDescent="0.35">
      <c r="A391" t="s">
        <v>3</v>
      </c>
      <c r="B391" s="2">
        <v>-98058306.410000011</v>
      </c>
      <c r="C391" s="2">
        <v>-11269690.470524892</v>
      </c>
      <c r="D391" s="3">
        <v>-109327996.8805249</v>
      </c>
      <c r="F391" t="s">
        <v>3</v>
      </c>
      <c r="G391" s="1">
        <v>-33634384.479999997</v>
      </c>
      <c r="H391" s="1">
        <v>-927113.45000000007</v>
      </c>
      <c r="I391" s="2">
        <v>-34561497.93</v>
      </c>
      <c r="K391" t="s">
        <v>3</v>
      </c>
      <c r="L391" s="1">
        <v>-26415864.710000008</v>
      </c>
      <c r="M391" s="1">
        <v>-2115397.8199999998</v>
      </c>
      <c r="N391" s="2">
        <v>-28531262.530000009</v>
      </c>
      <c r="P391" t="s">
        <v>3</v>
      </c>
      <c r="Q391" s="1">
        <v>-60050249.190000005</v>
      </c>
      <c r="R391" s="1">
        <v>-3042511.27</v>
      </c>
      <c r="S391" s="2">
        <v>-63092760.460000008</v>
      </c>
      <c r="U391" t="s">
        <v>3</v>
      </c>
      <c r="V391" s="2">
        <v>-21938332.43999999</v>
      </c>
      <c r="W391" s="2">
        <v>-2175115.7245000009</v>
      </c>
      <c r="X391" s="2">
        <v>-24113448.164499991</v>
      </c>
      <c r="Z391" t="s">
        <v>3</v>
      </c>
      <c r="AA391" s="1">
        <v>-16069724.780000024</v>
      </c>
      <c r="AB391" s="1">
        <v>-6052063.4760248922</v>
      </c>
      <c r="AC391" s="2">
        <v>-22121788.256024916</v>
      </c>
    </row>
    <row r="392" spans="1:29" x14ac:dyDescent="0.35">
      <c r="A392" t="s">
        <v>88</v>
      </c>
      <c r="B392" s="2">
        <v>23700466.479999997</v>
      </c>
      <c r="C392" s="2">
        <v>11653157.011253774</v>
      </c>
      <c r="D392" s="3">
        <v>35353623.491253771</v>
      </c>
      <c r="F392" t="s">
        <v>88</v>
      </c>
      <c r="G392" s="1">
        <v>4745289.0199999996</v>
      </c>
      <c r="H392" s="1">
        <v>2502615.0672203549</v>
      </c>
      <c r="I392" s="2">
        <v>7247904.087220354</v>
      </c>
      <c r="K392" t="s">
        <v>88</v>
      </c>
      <c r="L392" s="1">
        <v>6379374.1300000008</v>
      </c>
      <c r="M392" s="1">
        <v>2983876.62887504</v>
      </c>
      <c r="N392" s="2">
        <v>9363250.7588750403</v>
      </c>
      <c r="P392" t="s">
        <v>88</v>
      </c>
      <c r="Q392" s="1">
        <v>11124663.15</v>
      </c>
      <c r="R392" s="1">
        <v>5486491.6960953949</v>
      </c>
      <c r="S392" s="2">
        <v>16611154.846095394</v>
      </c>
      <c r="U392" t="s">
        <v>88</v>
      </c>
      <c r="V392" s="2">
        <v>6523531.2700000014</v>
      </c>
      <c r="W392" s="2">
        <v>2800869.1605962366</v>
      </c>
      <c r="X392" s="2">
        <v>9324400.430596238</v>
      </c>
      <c r="Z392" t="s">
        <v>88</v>
      </c>
      <c r="AA392" s="1">
        <v>6052272.0599999931</v>
      </c>
      <c r="AB392" s="1">
        <v>3365796.1545621427</v>
      </c>
      <c r="AC392" s="2">
        <v>9418068.2145621367</v>
      </c>
    </row>
    <row r="393" spans="1:29" x14ac:dyDescent="0.35">
      <c r="A393" t="s">
        <v>13</v>
      </c>
      <c r="B393" s="2">
        <v>-5618094.9800000004</v>
      </c>
      <c r="C393" s="2">
        <v>-269293.27</v>
      </c>
      <c r="D393" s="3">
        <v>-5887388.25</v>
      </c>
      <c r="F393" t="s">
        <v>13</v>
      </c>
      <c r="G393" s="1">
        <v>-1993259.24</v>
      </c>
      <c r="H393" s="1">
        <v>-61203.55</v>
      </c>
      <c r="I393" s="2">
        <v>-2054462.79</v>
      </c>
      <c r="K393" t="s">
        <v>13</v>
      </c>
      <c r="L393" s="1">
        <v>-1605951.7800000005</v>
      </c>
      <c r="M393" s="1">
        <v>-102676.18000000001</v>
      </c>
      <c r="N393" s="2">
        <v>-1708627.9600000004</v>
      </c>
      <c r="P393" t="s">
        <v>13</v>
      </c>
      <c r="Q393" s="1">
        <v>-3599211.0200000005</v>
      </c>
      <c r="R393" s="1">
        <v>-163879.73000000001</v>
      </c>
      <c r="S393" s="2">
        <v>-3763090.7500000005</v>
      </c>
      <c r="U393" t="s">
        <v>13</v>
      </c>
      <c r="V393" s="2">
        <v>-1144724.46</v>
      </c>
      <c r="W393" s="2">
        <v>-36781.78</v>
      </c>
      <c r="X393" s="2">
        <v>-1181506.24</v>
      </c>
      <c r="Z393" t="s">
        <v>13</v>
      </c>
      <c r="AA393" s="1">
        <v>-874159.5</v>
      </c>
      <c r="AB393" s="1">
        <v>-68631.760000000009</v>
      </c>
      <c r="AC393" s="2">
        <v>-942791.26</v>
      </c>
    </row>
    <row r="394" spans="1:29" x14ac:dyDescent="0.35">
      <c r="A394" s="19" t="s">
        <v>14</v>
      </c>
      <c r="B394" s="20">
        <v>23699936.009999987</v>
      </c>
      <c r="C394" s="20">
        <v>64835263.828512296</v>
      </c>
      <c r="D394" s="20">
        <v>88535199.838512287</v>
      </c>
      <c r="F394" s="19" t="s">
        <v>14</v>
      </c>
      <c r="G394" s="20">
        <v>2381306.4400000107</v>
      </c>
      <c r="H394" s="20">
        <v>11965984.724397523</v>
      </c>
      <c r="I394" s="20">
        <v>14347291.164397534</v>
      </c>
      <c r="K394" s="19" t="s">
        <v>14</v>
      </c>
      <c r="L394" s="20">
        <v>8223869.1499999901</v>
      </c>
      <c r="M394" s="20">
        <v>18120294.913899798</v>
      </c>
      <c r="N394" s="20">
        <v>26344164.063899789</v>
      </c>
      <c r="P394" s="19" t="s">
        <v>14</v>
      </c>
      <c r="Q394" s="20">
        <v>10605175.59</v>
      </c>
      <c r="R394" s="20">
        <v>30086279.638297323</v>
      </c>
      <c r="S394" s="20">
        <v>40691455.228297323</v>
      </c>
      <c r="U394" s="19" t="s">
        <v>14</v>
      </c>
      <c r="V394" s="20">
        <v>6339720.4599999851</v>
      </c>
      <c r="W394" s="20">
        <v>18553046.540208101</v>
      </c>
      <c r="X394" s="20">
        <v>24892767.000208087</v>
      </c>
      <c r="Z394" s="19" t="s">
        <v>14</v>
      </c>
      <c r="AA394" s="20">
        <v>6755039.9599999916</v>
      </c>
      <c r="AB394" s="20">
        <v>16195937.650006874</v>
      </c>
      <c r="AC394" s="20">
        <v>22950977.610006865</v>
      </c>
    </row>
    <row r="395" spans="1:29" x14ac:dyDescent="0.35">
      <c r="B395" s="2"/>
      <c r="C395" s="15"/>
      <c r="D395" s="3"/>
      <c r="G395" s="2"/>
      <c r="H395" s="15"/>
      <c r="I395" s="12"/>
      <c r="L395" s="2"/>
      <c r="M395" s="15"/>
      <c r="N395" s="12"/>
      <c r="Q395" s="2"/>
      <c r="R395" s="15"/>
      <c r="S395" s="12"/>
      <c r="V395" s="2"/>
      <c r="W395" s="15"/>
      <c r="X395" s="2"/>
      <c r="AA395" s="12"/>
      <c r="AB395" s="15"/>
      <c r="AC395" s="2"/>
    </row>
    <row r="396" spans="1:29" x14ac:dyDescent="0.35">
      <c r="B396" s="2"/>
      <c r="C396" s="15"/>
      <c r="D396" s="3"/>
      <c r="G396" s="2"/>
      <c r="H396" s="15"/>
      <c r="I396" s="12"/>
      <c r="L396" s="2"/>
      <c r="M396" s="15"/>
      <c r="N396" s="12"/>
      <c r="Q396" s="2"/>
      <c r="R396" s="15"/>
      <c r="S396" s="12"/>
      <c r="V396" s="2"/>
      <c r="W396" s="15"/>
      <c r="X396" s="2"/>
      <c r="AA396" s="12"/>
      <c r="AB396" s="15"/>
      <c r="AC396" s="2"/>
    </row>
    <row r="397" spans="1:29" x14ac:dyDescent="0.35">
      <c r="A397" t="s">
        <v>15</v>
      </c>
      <c r="B397" s="2">
        <v>0</v>
      </c>
      <c r="C397" s="2">
        <v>10793721.04262067</v>
      </c>
      <c r="D397" s="3">
        <v>10793721.04262067</v>
      </c>
      <c r="F397" t="s">
        <v>15</v>
      </c>
      <c r="G397" s="1">
        <v>0</v>
      </c>
      <c r="H397" s="1">
        <v>2132496.9253098918</v>
      </c>
      <c r="I397" s="2">
        <v>2132496.9253098918</v>
      </c>
      <c r="K397" t="s">
        <v>15</v>
      </c>
      <c r="L397" s="1">
        <v>0</v>
      </c>
      <c r="M397" s="1">
        <v>4769970.1266918592</v>
      </c>
      <c r="N397" s="2">
        <v>4769970.1266918592</v>
      </c>
      <c r="P397" t="s">
        <v>15</v>
      </c>
      <c r="Q397" s="1">
        <v>0</v>
      </c>
      <c r="R397" s="1">
        <v>6902467.052001751</v>
      </c>
      <c r="S397" s="2">
        <v>6902467.052001751</v>
      </c>
      <c r="U397" t="s">
        <v>15</v>
      </c>
      <c r="V397" s="2">
        <v>0</v>
      </c>
      <c r="W397" s="2">
        <v>1799204.023789919</v>
      </c>
      <c r="X397" s="2">
        <v>1799204.023789919</v>
      </c>
      <c r="Z397" t="s">
        <v>15</v>
      </c>
      <c r="AA397" s="1">
        <v>0</v>
      </c>
      <c r="AB397" s="1">
        <v>2092049.9668289991</v>
      </c>
      <c r="AC397" s="2">
        <v>2092049.9668289991</v>
      </c>
    </row>
    <row r="398" spans="1:29" x14ac:dyDescent="0.35">
      <c r="A398" t="s">
        <v>16</v>
      </c>
      <c r="B398" s="2">
        <v>0</v>
      </c>
      <c r="C398" s="2">
        <v>-2663970.91</v>
      </c>
      <c r="D398" s="3">
        <v>-2663970.91</v>
      </c>
      <c r="F398" t="s">
        <v>16</v>
      </c>
      <c r="G398" s="1">
        <v>0</v>
      </c>
      <c r="H398" s="1">
        <v>-1744855.07</v>
      </c>
      <c r="I398" s="2">
        <v>-1744855.07</v>
      </c>
      <c r="K398" t="s">
        <v>16</v>
      </c>
      <c r="L398" s="1">
        <v>0</v>
      </c>
      <c r="M398" s="1">
        <v>-1758561.7699999998</v>
      </c>
      <c r="N398" s="2">
        <v>-1758561.7699999998</v>
      </c>
      <c r="P398" t="s">
        <v>16</v>
      </c>
      <c r="Q398" s="1">
        <v>0</v>
      </c>
      <c r="R398" s="1">
        <v>-3503416.84</v>
      </c>
      <c r="S398" s="2">
        <v>-3503416.84</v>
      </c>
      <c r="U398" t="s">
        <v>16</v>
      </c>
      <c r="V398" s="2">
        <v>0</v>
      </c>
      <c r="W398" s="2">
        <v>-1591907.5700000003</v>
      </c>
      <c r="X398" s="2">
        <v>-1591907.5700000003</v>
      </c>
      <c r="Z398" t="s">
        <v>16</v>
      </c>
      <c r="AA398" s="1">
        <v>0</v>
      </c>
      <c r="AB398" s="1">
        <v>2431353.5</v>
      </c>
      <c r="AC398" s="2">
        <v>2431353.5</v>
      </c>
    </row>
    <row r="399" spans="1:29" x14ac:dyDescent="0.35">
      <c r="A399" s="19" t="s">
        <v>17</v>
      </c>
      <c r="B399" s="20">
        <v>0</v>
      </c>
      <c r="C399" s="20">
        <v>8129750.1326206699</v>
      </c>
      <c r="D399" s="20">
        <v>8129750.1326206699</v>
      </c>
      <c r="F399" s="19" t="s">
        <v>17</v>
      </c>
      <c r="G399" s="20">
        <v>0</v>
      </c>
      <c r="H399" s="20">
        <v>387641.85530989175</v>
      </c>
      <c r="I399" s="20">
        <v>387641.85530989175</v>
      </c>
      <c r="K399" s="19" t="s">
        <v>17</v>
      </c>
      <c r="L399" s="20">
        <v>0</v>
      </c>
      <c r="M399" s="20">
        <v>3011408.3566918597</v>
      </c>
      <c r="N399" s="20">
        <v>3011408.3566918597</v>
      </c>
      <c r="P399" s="19" t="s">
        <v>17</v>
      </c>
      <c r="Q399" s="20">
        <v>0</v>
      </c>
      <c r="R399" s="20">
        <v>3399050.2120017512</v>
      </c>
      <c r="S399" s="20">
        <v>3399050.2120017512</v>
      </c>
      <c r="U399" s="19" t="s">
        <v>17</v>
      </c>
      <c r="V399" s="20">
        <v>0</v>
      </c>
      <c r="W399" s="20">
        <v>207296.45378991868</v>
      </c>
      <c r="X399" s="20">
        <v>207296.45378991868</v>
      </c>
      <c r="Z399" s="19" t="s">
        <v>17</v>
      </c>
      <c r="AA399" s="20">
        <v>0</v>
      </c>
      <c r="AB399" s="20">
        <v>4523403.4668289991</v>
      </c>
      <c r="AC399" s="20">
        <v>4523403.4668289991</v>
      </c>
    </row>
    <row r="400" spans="1:29" x14ac:dyDescent="0.35">
      <c r="B400" s="2"/>
      <c r="C400" s="15"/>
      <c r="D400" s="3"/>
      <c r="G400" s="1"/>
      <c r="H400" s="15"/>
      <c r="I400" s="12"/>
      <c r="L400" s="1"/>
      <c r="M400" s="15"/>
      <c r="N400" s="12"/>
      <c r="Q400" s="1"/>
      <c r="R400" s="15"/>
      <c r="S400" s="12"/>
      <c r="V400" s="2"/>
      <c r="W400" s="15"/>
      <c r="X400" s="2"/>
      <c r="AA400" s="1"/>
      <c r="AB400" s="15"/>
      <c r="AC400" s="2"/>
    </row>
    <row r="401" spans="1:29" x14ac:dyDescent="0.35">
      <c r="B401" s="2"/>
      <c r="C401" s="15"/>
      <c r="D401" s="3"/>
      <c r="G401" s="1"/>
      <c r="H401" s="15"/>
      <c r="I401" s="12"/>
      <c r="L401" s="1"/>
      <c r="M401" s="15"/>
      <c r="N401" s="12"/>
      <c r="Q401" s="1"/>
      <c r="R401" s="15"/>
      <c r="S401" s="12"/>
      <c r="V401" s="2"/>
      <c r="W401" s="15"/>
      <c r="X401" s="2"/>
      <c r="AA401" s="1"/>
      <c r="AB401" s="15"/>
      <c r="AC401" s="2"/>
    </row>
    <row r="402" spans="1:29" x14ac:dyDescent="0.35">
      <c r="A402" s="16" t="s">
        <v>20</v>
      </c>
      <c r="B402" s="2">
        <v>0</v>
      </c>
      <c r="C402" s="2">
        <v>0</v>
      </c>
      <c r="D402" s="208">
        <v>0</v>
      </c>
      <c r="F402" s="6" t="s">
        <v>20</v>
      </c>
      <c r="G402" s="218">
        <v>0</v>
      </c>
      <c r="H402" s="218">
        <v>0</v>
      </c>
      <c r="I402" s="216">
        <v>0</v>
      </c>
      <c r="K402" s="6" t="s">
        <v>20</v>
      </c>
      <c r="L402" s="1">
        <v>0</v>
      </c>
      <c r="M402" s="1">
        <v>0</v>
      </c>
      <c r="N402" s="216">
        <v>0</v>
      </c>
      <c r="P402" s="6" t="s">
        <v>20</v>
      </c>
      <c r="Q402" s="1">
        <v>0</v>
      </c>
      <c r="R402" s="1">
        <v>0</v>
      </c>
      <c r="S402" s="216">
        <v>0</v>
      </c>
      <c r="U402" s="16" t="s">
        <v>20</v>
      </c>
      <c r="V402" s="2">
        <v>0</v>
      </c>
      <c r="W402" s="2">
        <v>0</v>
      </c>
      <c r="X402" s="7">
        <v>0</v>
      </c>
      <c r="Z402" s="16" t="s">
        <v>20</v>
      </c>
      <c r="AA402" s="27">
        <v>0</v>
      </c>
      <c r="AB402" s="28">
        <v>0</v>
      </c>
      <c r="AC402" s="17">
        <v>0</v>
      </c>
    </row>
    <row r="403" spans="1:29" x14ac:dyDescent="0.35">
      <c r="B403" s="2"/>
      <c r="C403" s="15"/>
      <c r="D403" s="3"/>
      <c r="F403" s="13"/>
      <c r="G403" s="217"/>
      <c r="H403" s="156"/>
      <c r="I403" s="215"/>
      <c r="K403" s="13"/>
      <c r="L403" s="217"/>
      <c r="M403" s="156"/>
      <c r="N403" s="215"/>
      <c r="P403" s="13"/>
      <c r="Q403" s="217"/>
      <c r="R403" s="156"/>
      <c r="S403" s="215"/>
      <c r="V403" s="155"/>
      <c r="W403" s="156"/>
      <c r="X403" s="155"/>
      <c r="AA403" s="1"/>
      <c r="AB403" s="15"/>
      <c r="AC403" s="2"/>
    </row>
    <row r="404" spans="1:29" x14ac:dyDescent="0.35">
      <c r="B404" s="2"/>
      <c r="C404" s="15"/>
      <c r="D404" s="3"/>
      <c r="G404" s="1"/>
      <c r="H404" s="15"/>
      <c r="I404" s="12"/>
      <c r="L404" s="1"/>
      <c r="M404" s="15"/>
      <c r="N404" s="12"/>
      <c r="Q404" s="1"/>
      <c r="R404" s="15"/>
      <c r="S404" s="12"/>
      <c r="V404" s="2"/>
      <c r="W404" s="15"/>
      <c r="X404" s="2"/>
      <c r="AC404" s="2"/>
    </row>
    <row r="405" spans="1:29" x14ac:dyDescent="0.35">
      <c r="B405" s="2"/>
      <c r="C405" s="15"/>
      <c r="D405" s="3"/>
      <c r="G405" s="1"/>
      <c r="H405" s="15"/>
      <c r="I405" s="12"/>
      <c r="L405" s="1"/>
      <c r="M405" s="15"/>
      <c r="N405" s="12"/>
      <c r="Q405" s="1"/>
      <c r="R405" s="15"/>
      <c r="S405" s="12"/>
      <c r="V405" s="2"/>
      <c r="W405" s="15"/>
      <c r="X405" s="2"/>
      <c r="AC405" s="2"/>
    </row>
    <row r="406" spans="1:29" x14ac:dyDescent="0.35">
      <c r="A406" t="s">
        <v>0</v>
      </c>
      <c r="B406" s="2">
        <v>0</v>
      </c>
      <c r="C406" s="2">
        <v>16402468</v>
      </c>
      <c r="D406" s="3">
        <v>16402468</v>
      </c>
      <c r="F406" t="s">
        <v>0</v>
      </c>
      <c r="G406" s="1">
        <v>0</v>
      </c>
      <c r="H406" s="1">
        <v>3882442</v>
      </c>
      <c r="I406" s="2">
        <v>3882442</v>
      </c>
      <c r="K406" t="s">
        <v>0</v>
      </c>
      <c r="L406" s="1">
        <v>0</v>
      </c>
      <c r="M406" s="1">
        <v>3873203</v>
      </c>
      <c r="N406" s="2">
        <v>3873203</v>
      </c>
      <c r="P406" t="s">
        <v>0</v>
      </c>
      <c r="Q406" s="1">
        <v>0</v>
      </c>
      <c r="R406" s="1">
        <v>7755645</v>
      </c>
      <c r="S406" s="2">
        <v>7755645</v>
      </c>
      <c r="U406" t="s">
        <v>0</v>
      </c>
      <c r="V406" s="2">
        <v>0</v>
      </c>
      <c r="W406" s="2">
        <v>4276234</v>
      </c>
      <c r="X406" s="2">
        <v>4276234</v>
      </c>
      <c r="Z406" t="s">
        <v>0</v>
      </c>
      <c r="AA406" s="1">
        <v>0</v>
      </c>
      <c r="AB406" s="1">
        <v>4370589</v>
      </c>
      <c r="AC406" s="2">
        <v>4370589</v>
      </c>
    </row>
    <row r="407" spans="1:29" x14ac:dyDescent="0.35">
      <c r="A407" t="s">
        <v>2</v>
      </c>
      <c r="B407" s="2">
        <v>0</v>
      </c>
      <c r="C407" s="2">
        <v>-12565722.381027918</v>
      </c>
      <c r="D407" s="3">
        <v>-12565722.381027918</v>
      </c>
      <c r="F407" t="s">
        <v>2</v>
      </c>
      <c r="G407" s="1">
        <v>0</v>
      </c>
      <c r="H407" s="1">
        <v>-3309757.2327124374</v>
      </c>
      <c r="I407" s="2">
        <v>-3309757.2327124374</v>
      </c>
      <c r="K407" t="s">
        <v>2</v>
      </c>
      <c r="L407" s="1">
        <v>0</v>
      </c>
      <c r="M407" s="1">
        <v>2028751.1448025759</v>
      </c>
      <c r="N407" s="2">
        <v>2028751.1448025759</v>
      </c>
      <c r="P407" t="s">
        <v>2</v>
      </c>
      <c r="Q407" s="1">
        <v>0</v>
      </c>
      <c r="R407" s="1">
        <v>-1281006.0879098615</v>
      </c>
      <c r="S407" s="2">
        <v>-1281006.0879098615</v>
      </c>
      <c r="U407" t="s">
        <v>2</v>
      </c>
      <c r="V407" s="2">
        <v>0</v>
      </c>
      <c r="W407" s="2">
        <v>-8176691.941076451</v>
      </c>
      <c r="X407" s="2">
        <v>-8176691.941076451</v>
      </c>
      <c r="Z407" t="s">
        <v>2</v>
      </c>
      <c r="AA407" s="1">
        <v>0</v>
      </c>
      <c r="AB407" s="1">
        <v>-3108024.3520416059</v>
      </c>
      <c r="AC407" s="2">
        <v>-3108024.3520416059</v>
      </c>
    </row>
    <row r="408" spans="1:29" x14ac:dyDescent="0.35">
      <c r="A408" s="19" t="s">
        <v>21</v>
      </c>
      <c r="B408" s="20">
        <v>0</v>
      </c>
      <c r="C408" s="20">
        <v>3836745.6189720817</v>
      </c>
      <c r="D408" s="20">
        <v>3836745.6189720817</v>
      </c>
      <c r="F408" s="19" t="s">
        <v>21</v>
      </c>
      <c r="G408" s="20">
        <v>0</v>
      </c>
      <c r="H408" s="20">
        <v>572684.7672875626</v>
      </c>
      <c r="I408" s="20">
        <v>572684.7672875626</v>
      </c>
      <c r="K408" s="19" t="s">
        <v>21</v>
      </c>
      <c r="L408" s="20">
        <v>0</v>
      </c>
      <c r="M408" s="20">
        <v>5901954.1448025759</v>
      </c>
      <c r="N408" s="20">
        <v>5901954.1448025759</v>
      </c>
      <c r="P408" s="19" t="s">
        <v>21</v>
      </c>
      <c r="Q408" s="20">
        <v>0</v>
      </c>
      <c r="R408" s="20">
        <v>6474638.9120901385</v>
      </c>
      <c r="S408" s="20">
        <v>6474638.9120901385</v>
      </c>
      <c r="U408" s="19" t="s">
        <v>21</v>
      </c>
      <c r="V408" s="20">
        <v>0</v>
      </c>
      <c r="W408" s="20">
        <v>-3900457.941076451</v>
      </c>
      <c r="X408" s="20">
        <v>-3900457.941076451</v>
      </c>
      <c r="Z408" s="19" t="s">
        <v>21</v>
      </c>
      <c r="AA408" s="20">
        <v>0</v>
      </c>
      <c r="AB408" s="20">
        <v>1262564.6479583941</v>
      </c>
      <c r="AC408" s="20">
        <v>1262564.6479583941</v>
      </c>
    </row>
    <row r="409" spans="1:29" x14ac:dyDescent="0.35">
      <c r="B409" s="2"/>
      <c r="C409" s="15"/>
      <c r="D409" s="3"/>
      <c r="G409" s="2"/>
      <c r="H409" s="15"/>
      <c r="I409" s="12"/>
      <c r="L409" s="2"/>
      <c r="M409" s="15"/>
      <c r="N409" s="12"/>
      <c r="Q409" s="2"/>
      <c r="R409" s="15"/>
      <c r="S409" s="12"/>
      <c r="V409" s="2"/>
      <c r="W409" s="15"/>
      <c r="X409" s="2"/>
      <c r="AA409" s="2"/>
      <c r="AB409" s="15"/>
      <c r="AC409" s="2"/>
    </row>
    <row r="410" spans="1:29" x14ac:dyDescent="0.35">
      <c r="B410" s="2"/>
      <c r="C410" s="15"/>
      <c r="D410" s="3"/>
      <c r="G410" s="2"/>
      <c r="H410" s="15"/>
      <c r="I410" s="12"/>
      <c r="L410" s="2"/>
      <c r="M410" s="15"/>
      <c r="N410" s="12"/>
      <c r="Q410" s="2"/>
      <c r="R410" s="15"/>
      <c r="S410" s="12"/>
      <c r="V410" s="2"/>
      <c r="W410" s="15"/>
      <c r="X410" s="2"/>
      <c r="AA410" s="2"/>
      <c r="AB410" s="15"/>
      <c r="AC410" s="2"/>
    </row>
    <row r="411" spans="1:29" x14ac:dyDescent="0.35">
      <c r="A411" t="s">
        <v>24</v>
      </c>
      <c r="B411" s="2">
        <v>0</v>
      </c>
      <c r="C411" s="2">
        <v>0</v>
      </c>
      <c r="D411" s="3">
        <v>0</v>
      </c>
      <c r="F411" t="s">
        <v>24</v>
      </c>
      <c r="G411" s="1">
        <v>0</v>
      </c>
      <c r="H411" s="1">
        <v>0</v>
      </c>
      <c r="I411" s="2">
        <v>0</v>
      </c>
      <c r="K411" t="s">
        <v>24</v>
      </c>
      <c r="L411" s="1">
        <v>0</v>
      </c>
      <c r="M411" s="1">
        <v>0</v>
      </c>
      <c r="N411" s="2">
        <v>0</v>
      </c>
      <c r="P411" t="s">
        <v>24</v>
      </c>
      <c r="Q411" s="1">
        <v>0</v>
      </c>
      <c r="R411" s="1">
        <v>0</v>
      </c>
      <c r="S411" s="2">
        <v>0</v>
      </c>
      <c r="U411" t="s">
        <v>24</v>
      </c>
      <c r="V411" s="2">
        <v>0</v>
      </c>
      <c r="W411" s="2">
        <v>0</v>
      </c>
      <c r="X411" s="2">
        <v>0</v>
      </c>
      <c r="Z411" t="s">
        <v>24</v>
      </c>
      <c r="AA411" s="1">
        <v>0</v>
      </c>
      <c r="AB411" s="1">
        <v>0</v>
      </c>
      <c r="AC411" s="2">
        <v>0</v>
      </c>
    </row>
    <row r="412" spans="1:29" x14ac:dyDescent="0.35">
      <c r="A412" t="s">
        <v>25</v>
      </c>
      <c r="B412" s="2">
        <v>0</v>
      </c>
      <c r="C412" s="2">
        <v>0</v>
      </c>
      <c r="D412" s="3">
        <v>0</v>
      </c>
      <c r="F412" t="s">
        <v>25</v>
      </c>
      <c r="G412" s="1">
        <v>0</v>
      </c>
      <c r="H412" s="1">
        <v>0</v>
      </c>
      <c r="I412" s="2">
        <v>0</v>
      </c>
      <c r="K412" t="s">
        <v>25</v>
      </c>
      <c r="L412" s="1">
        <v>0</v>
      </c>
      <c r="M412" s="1">
        <v>0</v>
      </c>
      <c r="N412" s="2">
        <v>0</v>
      </c>
      <c r="P412" t="s">
        <v>25</v>
      </c>
      <c r="Q412" s="1">
        <v>0</v>
      </c>
      <c r="R412" s="1">
        <v>0</v>
      </c>
      <c r="S412" s="2">
        <v>0</v>
      </c>
      <c r="U412" t="s">
        <v>25</v>
      </c>
      <c r="V412" s="2">
        <v>0</v>
      </c>
      <c r="W412" s="2">
        <v>0</v>
      </c>
      <c r="X412" s="2">
        <v>0</v>
      </c>
      <c r="Z412" t="s">
        <v>25</v>
      </c>
      <c r="AA412" s="1">
        <v>0</v>
      </c>
      <c r="AB412" s="1">
        <v>0</v>
      </c>
      <c r="AC412" s="2">
        <v>0</v>
      </c>
    </row>
    <row r="413" spans="1:29" x14ac:dyDescent="0.35">
      <c r="A413" t="s">
        <v>26</v>
      </c>
      <c r="B413" s="2">
        <v>0</v>
      </c>
      <c r="C413" s="2">
        <v>0</v>
      </c>
      <c r="D413" s="3">
        <v>0</v>
      </c>
      <c r="F413" t="s">
        <v>26</v>
      </c>
      <c r="G413" s="1">
        <v>0</v>
      </c>
      <c r="H413" s="1">
        <v>0</v>
      </c>
      <c r="I413" s="2">
        <v>0</v>
      </c>
      <c r="K413" t="s">
        <v>26</v>
      </c>
      <c r="L413" s="1">
        <v>0</v>
      </c>
      <c r="M413" s="1">
        <v>0</v>
      </c>
      <c r="N413" s="2">
        <v>0</v>
      </c>
      <c r="P413" t="s">
        <v>26</v>
      </c>
      <c r="Q413" s="1">
        <v>0</v>
      </c>
      <c r="R413" s="1">
        <v>0</v>
      </c>
      <c r="S413" s="2">
        <v>0</v>
      </c>
      <c r="U413" t="s">
        <v>26</v>
      </c>
      <c r="V413" s="2">
        <v>0</v>
      </c>
      <c r="W413" s="2">
        <v>0</v>
      </c>
      <c r="X413" s="2">
        <v>0</v>
      </c>
      <c r="Z413" t="s">
        <v>26</v>
      </c>
      <c r="AA413" s="1">
        <v>0</v>
      </c>
      <c r="AB413" s="1">
        <v>0</v>
      </c>
      <c r="AC413" s="2">
        <v>0</v>
      </c>
    </row>
    <row r="414" spans="1:29" x14ac:dyDescent="0.35">
      <c r="A414" s="19" t="s">
        <v>101</v>
      </c>
      <c r="B414" s="20">
        <v>0</v>
      </c>
      <c r="C414" s="20">
        <v>0</v>
      </c>
      <c r="D414" s="20">
        <v>0</v>
      </c>
      <c r="F414" s="19" t="s">
        <v>101</v>
      </c>
      <c r="G414" s="20">
        <v>0</v>
      </c>
      <c r="H414" s="20">
        <v>0</v>
      </c>
      <c r="I414" s="20">
        <v>0</v>
      </c>
      <c r="K414" s="19" t="s">
        <v>101</v>
      </c>
      <c r="L414" s="20">
        <v>0</v>
      </c>
      <c r="M414" s="20">
        <v>0</v>
      </c>
      <c r="N414" s="20">
        <v>0</v>
      </c>
      <c r="P414" s="19" t="s">
        <v>101</v>
      </c>
      <c r="Q414" s="20">
        <v>0</v>
      </c>
      <c r="R414" s="20">
        <v>0</v>
      </c>
      <c r="S414" s="20">
        <v>0</v>
      </c>
      <c r="U414" s="19" t="s">
        <v>101</v>
      </c>
      <c r="V414" s="20">
        <v>0</v>
      </c>
      <c r="W414" s="20">
        <v>0</v>
      </c>
      <c r="X414" s="20">
        <v>0</v>
      </c>
      <c r="Z414" s="19" t="s">
        <v>152</v>
      </c>
      <c r="AA414" s="20">
        <v>0</v>
      </c>
      <c r="AB414" s="20">
        <v>0</v>
      </c>
      <c r="AC414" s="20">
        <v>0</v>
      </c>
    </row>
    <row r="415" spans="1:29" x14ac:dyDescent="0.35">
      <c r="B415" s="2"/>
      <c r="C415" s="15"/>
      <c r="D415" s="3"/>
      <c r="G415" s="2"/>
      <c r="H415" s="15"/>
      <c r="I415" s="12"/>
      <c r="L415" s="2"/>
      <c r="M415" s="15"/>
      <c r="N415" s="12"/>
      <c r="Q415" s="2"/>
      <c r="R415" s="15"/>
      <c r="S415" s="12"/>
      <c r="V415" s="2"/>
      <c r="W415" s="15"/>
      <c r="X415" s="2"/>
      <c r="AA415" s="2"/>
      <c r="AB415" s="15"/>
      <c r="AC415" s="2"/>
    </row>
    <row r="416" spans="1:29" x14ac:dyDescent="0.35">
      <c r="B416" s="2"/>
      <c r="C416" s="15"/>
      <c r="D416" s="3"/>
      <c r="G416" s="2"/>
      <c r="H416" s="15"/>
      <c r="I416" s="12"/>
      <c r="L416" s="2"/>
      <c r="M416" s="15"/>
      <c r="N416" s="12"/>
      <c r="Q416" s="2"/>
      <c r="R416" s="15"/>
      <c r="S416" s="12"/>
      <c r="V416" s="2"/>
      <c r="W416" s="15"/>
      <c r="X416" s="2"/>
      <c r="AA416" s="2"/>
      <c r="AB416" s="15"/>
      <c r="AC416" s="2"/>
    </row>
    <row r="417" spans="1:29" x14ac:dyDescent="0.35">
      <c r="A417" t="s">
        <v>27</v>
      </c>
      <c r="B417" s="2">
        <v>0</v>
      </c>
      <c r="C417" s="2">
        <v>0</v>
      </c>
      <c r="D417" s="3">
        <v>0</v>
      </c>
      <c r="F417" t="s">
        <v>27</v>
      </c>
      <c r="G417" s="1">
        <v>0</v>
      </c>
      <c r="H417" s="1">
        <v>0</v>
      </c>
      <c r="I417" s="2">
        <v>0</v>
      </c>
      <c r="K417" t="s">
        <v>27</v>
      </c>
      <c r="L417" s="1">
        <v>0</v>
      </c>
      <c r="M417" s="1">
        <v>0</v>
      </c>
      <c r="N417" s="2">
        <v>0</v>
      </c>
      <c r="P417" t="s">
        <v>27</v>
      </c>
      <c r="Q417" s="1">
        <v>0</v>
      </c>
      <c r="R417" s="1">
        <v>0</v>
      </c>
      <c r="S417" s="2">
        <v>0</v>
      </c>
      <c r="U417" t="s">
        <v>27</v>
      </c>
      <c r="V417" s="2">
        <v>0</v>
      </c>
      <c r="W417" s="2">
        <v>0</v>
      </c>
      <c r="X417" s="2">
        <v>0</v>
      </c>
      <c r="Z417" t="s">
        <v>27</v>
      </c>
      <c r="AA417" s="1">
        <v>0</v>
      </c>
      <c r="AB417" s="1">
        <v>0</v>
      </c>
      <c r="AC417" s="2">
        <v>0</v>
      </c>
    </row>
    <row r="418" spans="1:29" x14ac:dyDescent="0.35">
      <c r="A418" t="s">
        <v>28</v>
      </c>
      <c r="B418" s="2">
        <v>0</v>
      </c>
      <c r="C418" s="2">
        <v>0</v>
      </c>
      <c r="D418" s="3">
        <v>0</v>
      </c>
      <c r="F418" t="s">
        <v>28</v>
      </c>
      <c r="G418" s="1">
        <v>0</v>
      </c>
      <c r="H418" s="1">
        <v>0</v>
      </c>
      <c r="I418" s="2">
        <v>0</v>
      </c>
      <c r="K418" t="s">
        <v>28</v>
      </c>
      <c r="L418" s="1">
        <v>0</v>
      </c>
      <c r="M418" s="1">
        <v>0</v>
      </c>
      <c r="N418" s="2">
        <v>0</v>
      </c>
      <c r="P418" t="s">
        <v>28</v>
      </c>
      <c r="Q418" s="1">
        <v>0</v>
      </c>
      <c r="R418" s="1">
        <v>0</v>
      </c>
      <c r="S418" s="2">
        <v>0</v>
      </c>
      <c r="U418" t="s">
        <v>28</v>
      </c>
      <c r="V418" s="2">
        <v>0</v>
      </c>
      <c r="W418" s="2">
        <v>0</v>
      </c>
      <c r="X418" s="2">
        <v>0</v>
      </c>
      <c r="Z418" t="s">
        <v>28</v>
      </c>
      <c r="AA418" s="1">
        <v>0</v>
      </c>
      <c r="AB418" s="1">
        <v>0</v>
      </c>
      <c r="AC418" s="2">
        <v>0</v>
      </c>
    </row>
    <row r="419" spans="1:29" x14ac:dyDescent="0.35">
      <c r="A419" t="s">
        <v>29</v>
      </c>
      <c r="B419" s="2">
        <v>0</v>
      </c>
      <c r="C419" s="2">
        <v>0</v>
      </c>
      <c r="D419" s="3">
        <v>0</v>
      </c>
      <c r="F419" t="s">
        <v>29</v>
      </c>
      <c r="G419" s="1">
        <v>0</v>
      </c>
      <c r="H419" s="1">
        <v>0</v>
      </c>
      <c r="I419" s="2">
        <v>0</v>
      </c>
      <c r="K419" t="s">
        <v>29</v>
      </c>
      <c r="L419" s="1">
        <v>0</v>
      </c>
      <c r="M419" s="1">
        <v>0</v>
      </c>
      <c r="N419" s="2">
        <v>0</v>
      </c>
      <c r="P419" t="s">
        <v>29</v>
      </c>
      <c r="Q419" s="1">
        <v>0</v>
      </c>
      <c r="R419" s="1">
        <v>0</v>
      </c>
      <c r="S419" s="2">
        <v>0</v>
      </c>
      <c r="U419" t="s">
        <v>29</v>
      </c>
      <c r="V419" s="2">
        <v>0</v>
      </c>
      <c r="W419" s="2">
        <v>0</v>
      </c>
      <c r="X419" s="2">
        <v>0</v>
      </c>
      <c r="Z419" t="s">
        <v>29</v>
      </c>
      <c r="AA419" s="1">
        <v>0</v>
      </c>
      <c r="AB419" s="1">
        <v>0</v>
      </c>
      <c r="AC419" s="2">
        <v>0</v>
      </c>
    </row>
    <row r="420" spans="1:29" x14ac:dyDescent="0.35">
      <c r="A420" t="s">
        <v>30</v>
      </c>
      <c r="B420" s="2">
        <v>0</v>
      </c>
      <c r="C420" s="2">
        <v>0</v>
      </c>
      <c r="D420" s="3">
        <v>0</v>
      </c>
      <c r="F420" t="s">
        <v>30</v>
      </c>
      <c r="G420" s="1">
        <v>0</v>
      </c>
      <c r="H420" s="1">
        <v>0</v>
      </c>
      <c r="I420" s="2">
        <v>0</v>
      </c>
      <c r="K420" t="s">
        <v>30</v>
      </c>
      <c r="L420" s="1">
        <v>0</v>
      </c>
      <c r="M420" s="1">
        <v>0</v>
      </c>
      <c r="N420" s="2">
        <v>0</v>
      </c>
      <c r="P420" t="s">
        <v>30</v>
      </c>
      <c r="Q420" s="1">
        <v>0</v>
      </c>
      <c r="R420" s="1">
        <v>0</v>
      </c>
      <c r="S420" s="2">
        <v>0</v>
      </c>
      <c r="U420" t="s">
        <v>30</v>
      </c>
      <c r="V420" s="2">
        <v>0</v>
      </c>
      <c r="W420" s="2">
        <v>0</v>
      </c>
      <c r="X420" s="2">
        <v>0</v>
      </c>
      <c r="Z420" t="s">
        <v>30</v>
      </c>
      <c r="AA420" s="1">
        <v>0</v>
      </c>
      <c r="AB420" s="1">
        <v>0</v>
      </c>
      <c r="AC420" s="2">
        <v>0</v>
      </c>
    </row>
    <row r="421" spans="1:29" x14ac:dyDescent="0.35">
      <c r="A421" s="19" t="s">
        <v>90</v>
      </c>
      <c r="B421" s="20">
        <v>0</v>
      </c>
      <c r="C421" s="20">
        <v>0</v>
      </c>
      <c r="D421" s="20">
        <v>0</v>
      </c>
      <c r="F421" s="19" t="s">
        <v>90</v>
      </c>
      <c r="G421" s="20">
        <v>0</v>
      </c>
      <c r="H421" s="20">
        <v>0</v>
      </c>
      <c r="I421" s="20">
        <v>0</v>
      </c>
      <c r="K421" s="19" t="s">
        <v>90</v>
      </c>
      <c r="L421" s="20">
        <v>0</v>
      </c>
      <c r="M421" s="20">
        <v>0</v>
      </c>
      <c r="N421" s="20">
        <v>0</v>
      </c>
      <c r="P421" s="19" t="s">
        <v>90</v>
      </c>
      <c r="Q421" s="20">
        <v>0</v>
      </c>
      <c r="R421" s="20">
        <v>0</v>
      </c>
      <c r="S421" s="20">
        <v>0</v>
      </c>
      <c r="U421" s="19" t="s">
        <v>90</v>
      </c>
      <c r="V421" s="20">
        <v>0</v>
      </c>
      <c r="W421" s="20">
        <v>0</v>
      </c>
      <c r="X421" s="20">
        <v>0</v>
      </c>
      <c r="Z421" s="19" t="s">
        <v>90</v>
      </c>
      <c r="AA421" s="20">
        <v>0</v>
      </c>
      <c r="AB421" s="20">
        <v>0</v>
      </c>
      <c r="AC421" s="20">
        <v>0</v>
      </c>
    </row>
    <row r="422" spans="1:29" x14ac:dyDescent="0.35">
      <c r="B422" s="2"/>
      <c r="C422" s="15"/>
      <c r="D422" s="3"/>
      <c r="G422" s="2"/>
      <c r="H422" s="15"/>
      <c r="I422" s="12"/>
      <c r="L422" s="2"/>
      <c r="M422" s="15"/>
      <c r="N422" s="12"/>
      <c r="Q422" s="2"/>
      <c r="R422" s="15"/>
      <c r="S422" s="12"/>
      <c r="V422" s="2"/>
      <c r="W422" s="15"/>
      <c r="X422" s="2"/>
      <c r="AA422" s="2"/>
      <c r="AB422" s="15"/>
      <c r="AC422" s="2"/>
    </row>
    <row r="423" spans="1:29" x14ac:dyDescent="0.35">
      <c r="B423" s="2"/>
      <c r="C423" s="15"/>
      <c r="D423" s="3"/>
      <c r="G423" s="2"/>
      <c r="H423" s="15"/>
      <c r="I423" s="12"/>
      <c r="L423" s="2"/>
      <c r="M423" s="15"/>
      <c r="N423" s="12"/>
      <c r="Q423" s="2"/>
      <c r="R423" s="15"/>
      <c r="S423" s="12"/>
      <c r="V423" s="2"/>
      <c r="W423" s="15"/>
      <c r="X423" s="2"/>
      <c r="AA423" s="2"/>
      <c r="AB423" s="15"/>
      <c r="AC423" s="2"/>
    </row>
    <row r="424" spans="1:29" x14ac:dyDescent="0.35">
      <c r="A424" t="s">
        <v>89</v>
      </c>
      <c r="B424" s="2">
        <v>0</v>
      </c>
      <c r="C424" s="2">
        <v>0</v>
      </c>
      <c r="D424" s="3">
        <v>0</v>
      </c>
      <c r="F424" t="s">
        <v>89</v>
      </c>
      <c r="G424" s="1">
        <v>0</v>
      </c>
      <c r="H424" s="1">
        <v>0</v>
      </c>
      <c r="I424" s="2">
        <v>0</v>
      </c>
      <c r="K424" t="s">
        <v>89</v>
      </c>
      <c r="L424" s="1">
        <v>0</v>
      </c>
      <c r="M424" s="1">
        <v>0</v>
      </c>
      <c r="N424" s="2">
        <v>0</v>
      </c>
      <c r="P424" t="s">
        <v>89</v>
      </c>
      <c r="Q424" s="1">
        <v>0</v>
      </c>
      <c r="R424" s="1">
        <v>0</v>
      </c>
      <c r="S424" s="2">
        <v>0</v>
      </c>
      <c r="U424" t="s">
        <v>89</v>
      </c>
      <c r="V424" s="2">
        <v>0</v>
      </c>
      <c r="W424" s="2">
        <v>0</v>
      </c>
      <c r="X424" s="2">
        <v>0</v>
      </c>
      <c r="Z424" s="16" t="s">
        <v>89</v>
      </c>
      <c r="AA424" s="27">
        <v>0</v>
      </c>
      <c r="AB424" s="28">
        <v>0</v>
      </c>
      <c r="AC424" s="17">
        <v>0</v>
      </c>
    </row>
    <row r="425" spans="1:29" x14ac:dyDescent="0.35">
      <c r="B425" s="2"/>
      <c r="C425" s="15"/>
      <c r="D425" s="3"/>
      <c r="F425" s="13"/>
      <c r="G425" s="155"/>
      <c r="H425" s="156"/>
      <c r="I425" s="215"/>
      <c r="K425" s="13"/>
      <c r="L425" s="155"/>
      <c r="M425" s="156"/>
      <c r="N425" s="215"/>
      <c r="P425" s="13"/>
      <c r="Q425" s="155"/>
      <c r="R425" s="156"/>
      <c r="S425" s="215"/>
      <c r="V425" s="2"/>
      <c r="W425" s="15"/>
      <c r="X425" s="2"/>
      <c r="AA425" s="2"/>
      <c r="AB425" s="15"/>
      <c r="AC425" s="2"/>
    </row>
    <row r="426" spans="1:29" x14ac:dyDescent="0.35">
      <c r="B426" s="2"/>
      <c r="C426" s="15"/>
      <c r="D426" s="3"/>
      <c r="G426" s="2"/>
      <c r="H426" s="15"/>
      <c r="I426" s="12"/>
      <c r="L426" s="2"/>
      <c r="M426" s="15"/>
      <c r="N426" s="12"/>
      <c r="Q426" s="2"/>
      <c r="R426" s="15"/>
      <c r="S426" s="12"/>
      <c r="V426" s="2"/>
      <c r="W426" s="15"/>
      <c r="X426" s="2"/>
      <c r="AC426" s="2"/>
    </row>
    <row r="427" spans="1:29" x14ac:dyDescent="0.35">
      <c r="B427" s="2"/>
      <c r="C427" s="15"/>
      <c r="D427" s="3"/>
      <c r="G427" s="2"/>
      <c r="H427" s="15"/>
      <c r="I427" s="12"/>
      <c r="L427" s="2"/>
      <c r="M427" s="15"/>
      <c r="N427" s="12"/>
      <c r="Q427" s="2"/>
      <c r="R427" s="15"/>
      <c r="S427" s="12"/>
      <c r="V427" s="2"/>
      <c r="W427" s="15"/>
      <c r="X427" s="2"/>
      <c r="AC427" s="2"/>
    </row>
    <row r="428" spans="1:29" x14ac:dyDescent="0.35">
      <c r="A428" t="s">
        <v>31</v>
      </c>
      <c r="B428" s="2">
        <v>0</v>
      </c>
      <c r="C428" s="2">
        <v>0</v>
      </c>
      <c r="D428" s="3">
        <v>0</v>
      </c>
      <c r="F428" t="s">
        <v>31</v>
      </c>
      <c r="G428" s="1">
        <v>0</v>
      </c>
      <c r="H428" s="1">
        <v>0</v>
      </c>
      <c r="I428" s="2">
        <v>0</v>
      </c>
      <c r="K428" t="s">
        <v>31</v>
      </c>
      <c r="L428" s="1">
        <v>0</v>
      </c>
      <c r="M428" s="1">
        <v>0</v>
      </c>
      <c r="N428" s="2">
        <v>0</v>
      </c>
      <c r="P428" t="s">
        <v>31</v>
      </c>
      <c r="Q428" s="1">
        <v>0</v>
      </c>
      <c r="R428" s="1">
        <v>0</v>
      </c>
      <c r="S428" s="2">
        <v>0</v>
      </c>
      <c r="U428" t="s">
        <v>31</v>
      </c>
      <c r="V428" s="2">
        <v>0</v>
      </c>
      <c r="W428" s="2">
        <v>0</v>
      </c>
      <c r="X428" s="2">
        <v>0</v>
      </c>
      <c r="Z428" t="s">
        <v>31</v>
      </c>
      <c r="AA428" s="1">
        <v>0</v>
      </c>
      <c r="AB428" s="1">
        <v>0</v>
      </c>
      <c r="AC428" s="2">
        <v>0</v>
      </c>
    </row>
    <row r="429" spans="1:29" x14ac:dyDescent="0.35">
      <c r="A429" t="s">
        <v>32</v>
      </c>
      <c r="B429" s="2">
        <v>0</v>
      </c>
      <c r="C429" s="2">
        <v>0</v>
      </c>
      <c r="D429" s="3">
        <v>0</v>
      </c>
      <c r="F429" t="s">
        <v>32</v>
      </c>
      <c r="G429" s="1">
        <v>0</v>
      </c>
      <c r="H429" s="1">
        <v>0</v>
      </c>
      <c r="I429" s="2">
        <v>0</v>
      </c>
      <c r="K429" t="s">
        <v>32</v>
      </c>
      <c r="L429" s="1">
        <v>0</v>
      </c>
      <c r="M429" s="1">
        <v>0</v>
      </c>
      <c r="N429" s="2">
        <v>0</v>
      </c>
      <c r="P429" t="s">
        <v>32</v>
      </c>
      <c r="Q429" s="1">
        <v>0</v>
      </c>
      <c r="R429" s="1">
        <v>0</v>
      </c>
      <c r="S429" s="2">
        <v>0</v>
      </c>
      <c r="U429" t="s">
        <v>32</v>
      </c>
      <c r="V429" s="2">
        <v>0</v>
      </c>
      <c r="W429" s="2">
        <v>0</v>
      </c>
      <c r="X429" s="2">
        <v>0</v>
      </c>
      <c r="Z429" t="s">
        <v>32</v>
      </c>
      <c r="AA429" s="1">
        <v>0</v>
      </c>
      <c r="AB429" s="1">
        <v>0</v>
      </c>
      <c r="AC429" s="2">
        <v>0</v>
      </c>
    </row>
    <row r="430" spans="1:29" x14ac:dyDescent="0.35">
      <c r="A430" s="19" t="s">
        <v>33</v>
      </c>
      <c r="B430" s="20">
        <v>0</v>
      </c>
      <c r="C430" s="20">
        <v>0</v>
      </c>
      <c r="D430" s="20">
        <v>0</v>
      </c>
      <c r="F430" s="19" t="s">
        <v>33</v>
      </c>
      <c r="G430" s="20">
        <v>0</v>
      </c>
      <c r="H430" s="20">
        <v>0</v>
      </c>
      <c r="I430" s="20">
        <v>0</v>
      </c>
      <c r="K430" s="19" t="s">
        <v>33</v>
      </c>
      <c r="L430" s="20">
        <v>0</v>
      </c>
      <c r="M430" s="20">
        <v>0</v>
      </c>
      <c r="N430" s="20">
        <v>0</v>
      </c>
      <c r="P430" s="19" t="s">
        <v>33</v>
      </c>
      <c r="Q430" s="20">
        <v>0</v>
      </c>
      <c r="R430" s="20">
        <v>0</v>
      </c>
      <c r="S430" s="20">
        <v>0</v>
      </c>
      <c r="U430" s="19" t="s">
        <v>33</v>
      </c>
      <c r="V430" s="20">
        <v>0</v>
      </c>
      <c r="W430" s="20">
        <v>0</v>
      </c>
      <c r="X430" s="20">
        <v>0</v>
      </c>
      <c r="Z430" s="25" t="s">
        <v>33</v>
      </c>
      <c r="AA430" s="20">
        <v>0</v>
      </c>
      <c r="AB430" s="20">
        <v>0</v>
      </c>
      <c r="AC430" s="20">
        <v>0</v>
      </c>
    </row>
    <row r="431" spans="1:29" x14ac:dyDescent="0.35">
      <c r="B431" s="2"/>
      <c r="C431" s="15"/>
      <c r="D431" s="3"/>
      <c r="G431" s="2"/>
      <c r="H431" s="15"/>
      <c r="I431" s="12"/>
      <c r="L431" s="2"/>
      <c r="M431" s="15"/>
      <c r="N431" s="12"/>
      <c r="Q431" s="2"/>
      <c r="R431" s="15"/>
      <c r="S431" s="12"/>
      <c r="V431" s="2"/>
      <c r="W431" s="15"/>
      <c r="X431" s="2"/>
      <c r="AA431" s="2"/>
      <c r="AB431" s="15"/>
      <c r="AC431" s="2"/>
    </row>
    <row r="432" spans="1:29" x14ac:dyDescent="0.35">
      <c r="B432" s="2"/>
      <c r="C432" s="15"/>
      <c r="D432" s="3"/>
      <c r="G432" s="2"/>
      <c r="H432" s="15"/>
      <c r="I432" s="12"/>
      <c r="L432" s="2"/>
      <c r="M432" s="15"/>
      <c r="N432" s="12"/>
      <c r="Q432" s="2"/>
      <c r="R432" s="15"/>
      <c r="S432" s="12"/>
      <c r="V432" s="2"/>
      <c r="W432" s="15"/>
      <c r="X432" s="2"/>
      <c r="AA432" s="2"/>
      <c r="AB432" s="15"/>
      <c r="AC432" s="2"/>
    </row>
    <row r="433" spans="1:29" x14ac:dyDescent="0.35">
      <c r="A433" t="s">
        <v>35</v>
      </c>
      <c r="B433" s="2">
        <v>0</v>
      </c>
      <c r="C433" s="2">
        <v>143088588.23999995</v>
      </c>
      <c r="D433" s="3">
        <v>143088588.23999995</v>
      </c>
      <c r="F433" t="s">
        <v>35</v>
      </c>
      <c r="G433" s="1">
        <v>0</v>
      </c>
      <c r="H433" s="1">
        <v>1967848.888</v>
      </c>
      <c r="I433" s="2">
        <v>1967848.888</v>
      </c>
      <c r="K433" t="s">
        <v>35</v>
      </c>
      <c r="L433" s="1">
        <v>0</v>
      </c>
      <c r="M433" s="1">
        <v>1952018.0814285709</v>
      </c>
      <c r="N433" s="2">
        <v>1952018.0814285709</v>
      </c>
      <c r="P433" t="s">
        <v>35</v>
      </c>
      <c r="Q433" s="1">
        <v>0</v>
      </c>
      <c r="R433" s="1">
        <v>3919866.9694285709</v>
      </c>
      <c r="S433" s="2">
        <v>3919866.9694285709</v>
      </c>
      <c r="U433" t="s">
        <v>35</v>
      </c>
      <c r="V433" s="2">
        <v>0</v>
      </c>
      <c r="W433" s="2">
        <v>88648603.576883122</v>
      </c>
      <c r="X433" s="2">
        <v>88648603.576883122</v>
      </c>
      <c r="Z433" t="s">
        <v>35</v>
      </c>
      <c r="AA433" s="1">
        <v>0</v>
      </c>
      <c r="AB433" s="1">
        <v>50520117.693688259</v>
      </c>
      <c r="AC433" s="2">
        <v>50520117.693688259</v>
      </c>
    </row>
    <row r="434" spans="1:29" x14ac:dyDescent="0.35">
      <c r="A434" t="s">
        <v>36</v>
      </c>
      <c r="B434" s="2">
        <v>-15130468.119999999</v>
      </c>
      <c r="C434" s="2">
        <v>-133503124.88</v>
      </c>
      <c r="D434" s="3">
        <v>-148633593</v>
      </c>
      <c r="F434" t="s">
        <v>36</v>
      </c>
      <c r="G434" s="1">
        <v>-5324353.6399999997</v>
      </c>
      <c r="H434" s="1">
        <v>-1255186.01</v>
      </c>
      <c r="I434" s="2">
        <v>-6579539.6499999994</v>
      </c>
      <c r="K434" t="s">
        <v>36</v>
      </c>
      <c r="L434" s="1">
        <v>-4188552.7700000005</v>
      </c>
      <c r="M434" s="1">
        <v>-638953.54000000027</v>
      </c>
      <c r="N434" s="2">
        <v>-4827506.3100000005</v>
      </c>
      <c r="P434" t="s">
        <v>36</v>
      </c>
      <c r="Q434" s="1">
        <v>-9512906.4100000001</v>
      </c>
      <c r="R434" s="1">
        <v>-1894139.5500000003</v>
      </c>
      <c r="S434" s="2">
        <v>-11407045.960000001</v>
      </c>
      <c r="U434" t="s">
        <v>36</v>
      </c>
      <c r="V434" s="2">
        <v>-3207802.4700000007</v>
      </c>
      <c r="W434" s="2">
        <v>-81579367.459999993</v>
      </c>
      <c r="X434" s="2">
        <v>-84787169.929999992</v>
      </c>
      <c r="Z434" t="s">
        <v>36</v>
      </c>
      <c r="AA434" s="1">
        <v>-2409759.2399999984</v>
      </c>
      <c r="AB434" s="1">
        <v>-50029617.870000005</v>
      </c>
      <c r="AC434" s="2">
        <v>-52439377.109999999</v>
      </c>
    </row>
    <row r="435" spans="1:29" x14ac:dyDescent="0.35">
      <c r="A435" s="19" t="s">
        <v>37</v>
      </c>
      <c r="B435" s="20">
        <v>-15130468.119999999</v>
      </c>
      <c r="C435" s="20">
        <v>9585463.3599999547</v>
      </c>
      <c r="D435" s="20">
        <v>-5545004.7600000445</v>
      </c>
      <c r="F435" s="19" t="s">
        <v>37</v>
      </c>
      <c r="G435" s="20">
        <v>-5324353.6399999997</v>
      </c>
      <c r="H435" s="20">
        <v>712662.87800000003</v>
      </c>
      <c r="I435" s="20">
        <v>-4611690.7620000001</v>
      </c>
      <c r="K435" s="19" t="s">
        <v>37</v>
      </c>
      <c r="L435" s="20">
        <v>-4188552.7700000005</v>
      </c>
      <c r="M435" s="20">
        <v>1313064.5414285706</v>
      </c>
      <c r="N435" s="20">
        <v>-2875488.2285714298</v>
      </c>
      <c r="P435" s="19" t="s">
        <v>37</v>
      </c>
      <c r="Q435" s="20">
        <v>-9512906.4100000001</v>
      </c>
      <c r="R435" s="20">
        <v>2025727.4194285707</v>
      </c>
      <c r="S435" s="20">
        <v>-7487178.99057143</v>
      </c>
      <c r="U435" s="19" t="s">
        <v>37</v>
      </c>
      <c r="V435" s="20">
        <v>-3207802.4700000007</v>
      </c>
      <c r="W435" s="20">
        <v>7069236.1168831289</v>
      </c>
      <c r="X435" s="20">
        <v>3861433.6468831282</v>
      </c>
      <c r="Z435" s="25" t="s">
        <v>37</v>
      </c>
      <c r="AA435" s="20">
        <v>-2409759.2399999984</v>
      </c>
      <c r="AB435" s="20">
        <v>490499.82368825376</v>
      </c>
      <c r="AC435" s="20">
        <v>-1919259.4163117446</v>
      </c>
    </row>
    <row r="436" spans="1:29" x14ac:dyDescent="0.35">
      <c r="B436" s="2"/>
      <c r="C436" s="15"/>
      <c r="D436" s="3"/>
      <c r="G436" s="2"/>
      <c r="H436" s="15"/>
      <c r="I436" s="12"/>
      <c r="L436" s="2"/>
      <c r="M436" s="15"/>
      <c r="N436" s="12"/>
      <c r="Q436" s="2"/>
      <c r="R436" s="15"/>
      <c r="S436" s="12"/>
      <c r="V436" s="2"/>
      <c r="W436" s="15"/>
      <c r="X436" s="2"/>
      <c r="AA436" s="2"/>
      <c r="AB436" s="15"/>
      <c r="AC436" s="2"/>
    </row>
    <row r="437" spans="1:29" x14ac:dyDescent="0.35">
      <c r="A437" t="s">
        <v>212</v>
      </c>
      <c r="B437" s="2">
        <v>0</v>
      </c>
      <c r="C437" s="2">
        <v>0</v>
      </c>
      <c r="D437" s="3">
        <v>0</v>
      </c>
      <c r="F437" t="s">
        <v>212</v>
      </c>
      <c r="G437" s="1">
        <v>0</v>
      </c>
      <c r="H437" s="1">
        <v>0</v>
      </c>
      <c r="I437" s="2">
        <v>0</v>
      </c>
      <c r="K437" t="s">
        <v>212</v>
      </c>
      <c r="L437" s="2"/>
      <c r="M437" s="15"/>
      <c r="N437" s="12"/>
      <c r="P437" t="s">
        <v>212</v>
      </c>
      <c r="Q437" s="2"/>
      <c r="R437" s="15"/>
      <c r="S437" s="12"/>
      <c r="U437" t="s">
        <v>212</v>
      </c>
      <c r="V437" s="2"/>
      <c r="W437" s="15"/>
      <c r="X437" s="2"/>
      <c r="Z437" t="s">
        <v>212</v>
      </c>
      <c r="AA437" s="2"/>
      <c r="AB437" s="15"/>
      <c r="AC437" s="2"/>
    </row>
    <row r="438" spans="1:29" x14ac:dyDescent="0.35">
      <c r="A438" t="s">
        <v>38</v>
      </c>
      <c r="B438" s="2">
        <v>0</v>
      </c>
      <c r="C438" s="2">
        <v>-4654972.7928316109</v>
      </c>
      <c r="D438" s="3">
        <v>-4654972.7928316109</v>
      </c>
      <c r="F438" t="s">
        <v>38</v>
      </c>
      <c r="G438" s="1">
        <v>0</v>
      </c>
      <c r="H438" s="1">
        <v>-365502.04000000004</v>
      </c>
      <c r="I438" s="2">
        <v>-365502.04000000004</v>
      </c>
      <c r="K438" t="s">
        <v>38</v>
      </c>
      <c r="L438" s="1">
        <v>0</v>
      </c>
      <c r="M438" s="1">
        <v>-981151.741773288</v>
      </c>
      <c r="N438" s="2">
        <v>-981151.741773288</v>
      </c>
      <c r="P438" t="s">
        <v>38</v>
      </c>
      <c r="Q438" s="1">
        <v>0</v>
      </c>
      <c r="R438" s="1">
        <v>-1346653.781773288</v>
      </c>
      <c r="S438" s="2">
        <v>-1346653.781773288</v>
      </c>
      <c r="U438" t="s">
        <v>38</v>
      </c>
      <c r="V438" s="2">
        <v>0</v>
      </c>
      <c r="W438" s="2">
        <v>-1866778.9476424844</v>
      </c>
      <c r="X438" s="2">
        <v>-1866778.9476424844</v>
      </c>
      <c r="Z438" t="s">
        <v>38</v>
      </c>
      <c r="AA438" s="1">
        <v>0</v>
      </c>
      <c r="AB438" s="1">
        <v>-1441540.0634158382</v>
      </c>
      <c r="AC438" s="2">
        <v>-1441540.0634158382</v>
      </c>
    </row>
    <row r="439" spans="1:29" x14ac:dyDescent="0.35">
      <c r="A439" t="s">
        <v>78</v>
      </c>
      <c r="B439" s="2">
        <v>0</v>
      </c>
      <c r="C439" s="2">
        <v>-40565380.625340104</v>
      </c>
      <c r="D439" s="3">
        <v>-40565380.625340104</v>
      </c>
      <c r="F439" t="s">
        <v>78</v>
      </c>
      <c r="G439" s="1">
        <v>0</v>
      </c>
      <c r="H439" s="1">
        <v>-12178315.275373116</v>
      </c>
      <c r="I439" s="2">
        <v>-12178315.275373116</v>
      </c>
      <c r="K439" t="s">
        <v>78</v>
      </c>
      <c r="L439" s="1">
        <v>0</v>
      </c>
      <c r="M439" s="1">
        <v>-8905566.2179767303</v>
      </c>
      <c r="N439" s="2">
        <v>-8905566.2179767303</v>
      </c>
      <c r="P439" t="s">
        <v>78</v>
      </c>
      <c r="Q439" s="1">
        <v>0</v>
      </c>
      <c r="R439" s="1">
        <v>-21083881.493349846</v>
      </c>
      <c r="S439" s="2">
        <v>-21083881.493349846</v>
      </c>
      <c r="U439" t="s">
        <v>78</v>
      </c>
      <c r="V439" s="2">
        <v>0</v>
      </c>
      <c r="W439" s="2">
        <v>-12862527.859393489</v>
      </c>
      <c r="X439" s="2">
        <v>-12862527.859393489</v>
      </c>
      <c r="Z439" t="s">
        <v>78</v>
      </c>
      <c r="AA439" s="1">
        <v>0</v>
      </c>
      <c r="AB439" s="1">
        <v>-6618971.272596769</v>
      </c>
      <c r="AC439" s="2">
        <v>-6618971.272596769</v>
      </c>
    </row>
    <row r="440" spans="1:29" x14ac:dyDescent="0.35">
      <c r="A440" t="s">
        <v>39</v>
      </c>
      <c r="B440" s="2">
        <v>0</v>
      </c>
      <c r="C440" s="2">
        <v>-73268296.072835058</v>
      </c>
      <c r="D440" s="3">
        <v>-73268296.072835058</v>
      </c>
      <c r="F440" t="s">
        <v>39</v>
      </c>
      <c r="G440" s="1">
        <v>0</v>
      </c>
      <c r="H440" s="1">
        <v>-7243016.9226877596</v>
      </c>
      <c r="I440" s="2">
        <v>-7243016.9226877596</v>
      </c>
      <c r="K440" t="s">
        <v>39</v>
      </c>
      <c r="L440" s="1">
        <v>0</v>
      </c>
      <c r="M440" s="1">
        <v>-20091778.216559865</v>
      </c>
      <c r="N440" s="2">
        <v>-20091778.216559865</v>
      </c>
      <c r="P440" t="s">
        <v>39</v>
      </c>
      <c r="Q440" s="1">
        <v>0</v>
      </c>
      <c r="R440" s="1">
        <v>-27334795.139247622</v>
      </c>
      <c r="S440" s="2">
        <v>-27334795.139247622</v>
      </c>
      <c r="U440" t="s">
        <v>39</v>
      </c>
      <c r="V440" s="2">
        <v>0</v>
      </c>
      <c r="W440" s="2">
        <v>-18947410.612948585</v>
      </c>
      <c r="X440" s="2">
        <v>-18947410.612948585</v>
      </c>
      <c r="Z440" t="s">
        <v>39</v>
      </c>
      <c r="AA440" s="1">
        <v>0</v>
      </c>
      <c r="AB440" s="1">
        <v>-26986090.320638854</v>
      </c>
      <c r="AC440" s="2">
        <v>-26986090.320638854</v>
      </c>
    </row>
    <row r="441" spans="1:29" x14ac:dyDescent="0.35">
      <c r="A441" t="s">
        <v>40</v>
      </c>
      <c r="B441" s="2">
        <v>0</v>
      </c>
      <c r="C441" s="2">
        <v>-5826798.1799999997</v>
      </c>
      <c r="D441" s="3">
        <v>-5826798.1799999997</v>
      </c>
      <c r="F441" t="s">
        <v>40</v>
      </c>
      <c r="G441" s="1">
        <v>0</v>
      </c>
      <c r="H441" s="1">
        <v>-764475.02314244001</v>
      </c>
      <c r="I441" s="2">
        <v>-764475.02314244001</v>
      </c>
      <c r="K441" t="s">
        <v>40</v>
      </c>
      <c r="L441" s="1">
        <v>0</v>
      </c>
      <c r="M441" s="1">
        <v>-1510313.8998759997</v>
      </c>
      <c r="N441" s="2">
        <v>-1510313.8998759997</v>
      </c>
      <c r="P441" t="s">
        <v>40</v>
      </c>
      <c r="Q441" s="1">
        <v>0</v>
      </c>
      <c r="R441" s="1">
        <v>-2274788.9230184397</v>
      </c>
      <c r="S441" s="2">
        <v>-2274788.9230184397</v>
      </c>
      <c r="U441" t="s">
        <v>40</v>
      </c>
      <c r="V441" s="2">
        <v>0</v>
      </c>
      <c r="W441" s="2">
        <v>-1804360.7700000005</v>
      </c>
      <c r="X441" s="2">
        <v>-1804360.7700000005</v>
      </c>
      <c r="Z441" t="s">
        <v>40</v>
      </c>
      <c r="AA441" s="1">
        <v>0</v>
      </c>
      <c r="AB441" s="1">
        <v>-1747648.4869815595</v>
      </c>
      <c r="AC441" s="2">
        <v>-1747648.4869815595</v>
      </c>
    </row>
    <row r="442" spans="1:29" x14ac:dyDescent="0.35">
      <c r="A442" t="s">
        <v>41</v>
      </c>
      <c r="B442" s="2">
        <v>0</v>
      </c>
      <c r="C442" s="2">
        <v>-41832</v>
      </c>
      <c r="D442" s="3">
        <v>-41832</v>
      </c>
      <c r="F442" t="s">
        <v>41</v>
      </c>
      <c r="G442" s="1">
        <v>0</v>
      </c>
      <c r="H442" s="1">
        <v>0</v>
      </c>
      <c r="I442" s="2">
        <v>0</v>
      </c>
      <c r="K442" t="s">
        <v>41</v>
      </c>
      <c r="L442" s="1">
        <v>0</v>
      </c>
      <c r="M442" s="1">
        <v>0</v>
      </c>
      <c r="N442" s="2">
        <v>0</v>
      </c>
      <c r="P442" t="s">
        <v>41</v>
      </c>
      <c r="Q442" s="1">
        <v>0</v>
      </c>
      <c r="R442" s="1">
        <v>0</v>
      </c>
      <c r="S442" s="2">
        <v>0</v>
      </c>
      <c r="U442" t="s">
        <v>41</v>
      </c>
      <c r="V442" s="2">
        <v>0</v>
      </c>
      <c r="W442" s="2">
        <v>0</v>
      </c>
      <c r="X442" s="2">
        <v>0</v>
      </c>
      <c r="Z442" t="s">
        <v>41</v>
      </c>
      <c r="AA442" s="1">
        <v>0</v>
      </c>
      <c r="AB442" s="1">
        <v>-41832</v>
      </c>
      <c r="AC442" s="2">
        <v>-41832</v>
      </c>
    </row>
    <row r="443" spans="1:29" x14ac:dyDescent="0.35">
      <c r="A443" t="s">
        <v>42</v>
      </c>
      <c r="B443" s="2">
        <v>0</v>
      </c>
      <c r="C443" s="2">
        <v>-982943.86204809521</v>
      </c>
      <c r="D443" s="3">
        <v>-982943.86204809521</v>
      </c>
      <c r="F443" t="s">
        <v>42</v>
      </c>
      <c r="G443" s="1">
        <v>0</v>
      </c>
      <c r="H443" s="1">
        <v>-127170</v>
      </c>
      <c r="I443" s="2">
        <v>-127170</v>
      </c>
      <c r="K443" t="s">
        <v>42</v>
      </c>
      <c r="L443" s="1">
        <v>0</v>
      </c>
      <c r="M443" s="1">
        <v>-154210.87</v>
      </c>
      <c r="N443" s="2">
        <v>-154210.87</v>
      </c>
      <c r="P443" t="s">
        <v>42</v>
      </c>
      <c r="Q443" s="1">
        <v>0</v>
      </c>
      <c r="R443" s="1">
        <v>-281380.87</v>
      </c>
      <c r="S443" s="2">
        <v>-281380.87</v>
      </c>
      <c r="U443" t="s">
        <v>42</v>
      </c>
      <c r="V443" s="2">
        <v>0</v>
      </c>
      <c r="W443" s="2">
        <v>-398410.84626433032</v>
      </c>
      <c r="X443" s="2">
        <v>-398410.84626433032</v>
      </c>
      <c r="Z443" t="s">
        <v>42</v>
      </c>
      <c r="AA443" s="1">
        <v>0</v>
      </c>
      <c r="AB443" s="1">
        <v>-303152.14578376489</v>
      </c>
      <c r="AC443" s="2">
        <v>-303152.14578376489</v>
      </c>
    </row>
    <row r="444" spans="1:29" x14ac:dyDescent="0.35">
      <c r="A444" t="s">
        <v>4</v>
      </c>
      <c r="B444" s="2">
        <v>0</v>
      </c>
      <c r="C444" s="2">
        <v>49046036.030217662</v>
      </c>
      <c r="D444" s="3">
        <v>49046036.030217662</v>
      </c>
      <c r="F444" t="s">
        <v>4</v>
      </c>
      <c r="G444" s="1">
        <v>0</v>
      </c>
      <c r="H444" s="1">
        <v>12814022.195735298</v>
      </c>
      <c r="I444" s="2">
        <v>12814022.195735298</v>
      </c>
      <c r="K444" t="s">
        <v>4</v>
      </c>
      <c r="L444" s="1">
        <v>0</v>
      </c>
      <c r="M444" s="1">
        <v>13551741.682825599</v>
      </c>
      <c r="N444" s="2">
        <v>13551741.682825599</v>
      </c>
      <c r="P444" t="s">
        <v>4</v>
      </c>
      <c r="Q444" s="1">
        <v>0</v>
      </c>
      <c r="R444" s="1">
        <v>26365763.878560897</v>
      </c>
      <c r="S444" s="2">
        <v>26365763.878560897</v>
      </c>
      <c r="U444" t="s">
        <v>4</v>
      </c>
      <c r="V444" s="2">
        <v>0</v>
      </c>
      <c r="W444" s="2">
        <v>11955872.711034801</v>
      </c>
      <c r="X444" s="2">
        <v>11955872.711034801</v>
      </c>
      <c r="Z444" t="s">
        <v>4</v>
      </c>
      <c r="AA444" s="1">
        <v>0</v>
      </c>
      <c r="AB444" s="1">
        <v>10724399.440621961</v>
      </c>
      <c r="AC444" s="2">
        <v>10724399.440621961</v>
      </c>
    </row>
    <row r="445" spans="1:29" x14ac:dyDescent="0.35">
      <c r="A445" t="s">
        <v>5</v>
      </c>
      <c r="B445" s="2">
        <v>0</v>
      </c>
      <c r="C445" s="2">
        <v>-1805446.145260805</v>
      </c>
      <c r="D445" s="3">
        <v>-1805446.145260805</v>
      </c>
      <c r="F445" t="s">
        <v>5</v>
      </c>
      <c r="G445" s="1">
        <v>0</v>
      </c>
      <c r="H445" s="1">
        <v>-1785042.9339315831</v>
      </c>
      <c r="I445" s="2">
        <v>-1785042.9339315831</v>
      </c>
      <c r="K445" t="s">
        <v>5</v>
      </c>
      <c r="L445" s="1">
        <v>0</v>
      </c>
      <c r="M445" s="1">
        <v>-19458.908921552356</v>
      </c>
      <c r="N445" s="2">
        <v>-19458.908921552356</v>
      </c>
      <c r="P445" t="s">
        <v>5</v>
      </c>
      <c r="Q445" s="1">
        <v>0</v>
      </c>
      <c r="R445" s="1">
        <v>-1804501.8428531354</v>
      </c>
      <c r="S445" s="2">
        <v>-1804501.8428531354</v>
      </c>
      <c r="U445" t="s">
        <v>5</v>
      </c>
      <c r="V445" s="2">
        <v>0</v>
      </c>
      <c r="W445" s="2">
        <v>-3457.161799215246</v>
      </c>
      <c r="X445" s="2">
        <v>-3457.161799215246</v>
      </c>
      <c r="Z445" t="s">
        <v>5</v>
      </c>
      <c r="AA445" s="1">
        <v>0</v>
      </c>
      <c r="AB445" s="1">
        <v>2512.859391545644</v>
      </c>
      <c r="AC445" s="2">
        <v>2512.859391545644</v>
      </c>
    </row>
    <row r="446" spans="1:29" x14ac:dyDescent="0.35">
      <c r="A446" t="s">
        <v>182</v>
      </c>
      <c r="B446" s="2">
        <v>0</v>
      </c>
      <c r="C446" s="2">
        <v>-6496592.5650709793</v>
      </c>
      <c r="D446" s="3">
        <v>-6496592.5650709793</v>
      </c>
      <c r="F446" t="s">
        <v>182</v>
      </c>
      <c r="G446" s="1">
        <v>0</v>
      </c>
      <c r="H446" s="1">
        <v>1302299.5300000003</v>
      </c>
      <c r="I446" s="2">
        <v>1302299.5300000003</v>
      </c>
      <c r="K446" t="s">
        <v>182</v>
      </c>
      <c r="L446" s="1">
        <v>0</v>
      </c>
      <c r="M446" s="1">
        <v>-3213326.4799735518</v>
      </c>
      <c r="N446" s="2">
        <v>-3213326.4799735518</v>
      </c>
      <c r="P446" t="s">
        <v>182</v>
      </c>
      <c r="Q446" s="1">
        <v>0</v>
      </c>
      <c r="R446" s="1">
        <v>-1911026.9499735516</v>
      </c>
      <c r="S446" s="2">
        <v>-1911026.9499735516</v>
      </c>
      <c r="U446" t="s">
        <v>182</v>
      </c>
      <c r="V446" s="2">
        <v>0</v>
      </c>
      <c r="W446" s="2">
        <v>-4399670.2392888181</v>
      </c>
      <c r="X446" s="2">
        <v>-4399670.2392888181</v>
      </c>
      <c r="Z446" t="s">
        <v>182</v>
      </c>
      <c r="AA446" s="1">
        <v>0</v>
      </c>
      <c r="AB446" s="1">
        <v>-185895.37580860965</v>
      </c>
      <c r="AC446" s="2">
        <v>-185895.37580860965</v>
      </c>
    </row>
    <row r="447" spans="1:29" x14ac:dyDescent="0.35">
      <c r="A447" s="19" t="s">
        <v>11</v>
      </c>
      <c r="B447" s="20">
        <v>0</v>
      </c>
      <c r="C447" s="20">
        <v>-84596226.213168979</v>
      </c>
      <c r="D447" s="20">
        <v>-84596226.213168979</v>
      </c>
      <c r="F447" s="19" t="s">
        <v>11</v>
      </c>
      <c r="G447" s="20">
        <v>0</v>
      </c>
      <c r="H447" s="20">
        <v>-8347200.4693996003</v>
      </c>
      <c r="I447" s="20">
        <v>-8347200.4693996003</v>
      </c>
      <c r="K447" s="19" t="s">
        <v>11</v>
      </c>
      <c r="L447" s="20">
        <v>0</v>
      </c>
      <c r="M447" s="20">
        <v>-21324064.652255386</v>
      </c>
      <c r="N447" s="20">
        <v>-21324064.652255386</v>
      </c>
      <c r="P447" s="19" t="s">
        <v>11</v>
      </c>
      <c r="Q447" s="20">
        <v>0</v>
      </c>
      <c r="R447" s="20">
        <v>-29671265.121654987</v>
      </c>
      <c r="S447" s="20">
        <v>-29671265.121654987</v>
      </c>
      <c r="U447" s="19" t="s">
        <v>11</v>
      </c>
      <c r="V447" s="20">
        <v>0</v>
      </c>
      <c r="W447" s="20">
        <v>-28326743.726302125</v>
      </c>
      <c r="X447" s="20">
        <v>-28326743.726302125</v>
      </c>
      <c r="Z447" s="19" t="s">
        <v>11</v>
      </c>
      <c r="AA447" s="20">
        <v>0</v>
      </c>
      <c r="AB447" s="20">
        <v>-26598217.365211897</v>
      </c>
      <c r="AC447" s="20">
        <v>-26598217.365211897</v>
      </c>
    </row>
    <row r="448" spans="1:29" x14ac:dyDescent="0.35">
      <c r="B448" s="2"/>
      <c r="C448" s="15"/>
      <c r="D448" s="3"/>
      <c r="G448" s="2"/>
      <c r="H448" s="15"/>
      <c r="I448" s="12"/>
      <c r="L448" s="2"/>
      <c r="M448" s="15"/>
      <c r="N448" s="12"/>
      <c r="Q448" s="2"/>
      <c r="R448" s="15"/>
      <c r="S448" s="12"/>
      <c r="V448" s="2"/>
      <c r="W448" s="15"/>
      <c r="X448" s="2"/>
      <c r="AA448" s="2"/>
      <c r="AB448" s="15"/>
      <c r="AC448" s="2"/>
    </row>
    <row r="449" spans="1:29" x14ac:dyDescent="0.35">
      <c r="B449" s="2"/>
      <c r="C449" s="15"/>
      <c r="D449" s="3"/>
      <c r="G449" s="2"/>
      <c r="H449" s="15"/>
      <c r="I449" s="12"/>
      <c r="L449" s="2"/>
      <c r="M449" s="15"/>
      <c r="N449" s="12"/>
      <c r="Q449" s="2"/>
      <c r="R449" s="15"/>
      <c r="S449" s="12"/>
      <c r="V449" s="2"/>
      <c r="W449" s="15"/>
      <c r="X449" s="2"/>
      <c r="AA449" s="2"/>
      <c r="AB449" s="15"/>
      <c r="AC449" s="2"/>
    </row>
    <row r="450" spans="1:29" x14ac:dyDescent="0.35">
      <c r="A450" s="11" t="s">
        <v>43</v>
      </c>
      <c r="B450" s="4">
        <v>8569467.8899999876</v>
      </c>
      <c r="C450" s="4">
        <v>7938011.5469360203</v>
      </c>
      <c r="D450" s="4">
        <v>16507479.436936008</v>
      </c>
      <c r="F450" s="11" t="s">
        <v>43</v>
      </c>
      <c r="G450" s="4">
        <v>-2943047.199999989</v>
      </c>
      <c r="H450" s="4">
        <v>6490995.9655953785</v>
      </c>
      <c r="I450" s="4">
        <v>3547948.7655953895</v>
      </c>
      <c r="K450" s="11" t="s">
        <v>43</v>
      </c>
      <c r="L450" s="4">
        <v>4035316.3799999896</v>
      </c>
      <c r="M450" s="4">
        <v>9807565.6845674179</v>
      </c>
      <c r="N450" s="4">
        <v>13842882.064567408</v>
      </c>
      <c r="P450" s="11" t="s">
        <v>43</v>
      </c>
      <c r="Q450" s="4">
        <v>1092269.1799999997</v>
      </c>
      <c r="R450" s="4">
        <v>16298561.650162794</v>
      </c>
      <c r="S450" s="4">
        <v>17390830.830162793</v>
      </c>
      <c r="U450" s="11" t="s">
        <v>43</v>
      </c>
      <c r="V450" s="4">
        <v>3131917.9899999844</v>
      </c>
      <c r="W450" s="4">
        <v>-5057153.0564974248</v>
      </c>
      <c r="X450" s="4">
        <v>-1925235.0664974404</v>
      </c>
      <c r="Z450" s="11" t="s">
        <v>43</v>
      </c>
      <c r="AA450" s="4">
        <v>4345280.7199999932</v>
      </c>
      <c r="AB450" s="4">
        <v>-3303397.0467293784</v>
      </c>
      <c r="AC450" s="4">
        <v>1041883.6732706148</v>
      </c>
    </row>
    <row r="451" spans="1:29" x14ac:dyDescent="0.35">
      <c r="A451" t="s">
        <v>6</v>
      </c>
      <c r="B451" s="2">
        <v>0</v>
      </c>
      <c r="C451" s="2">
        <v>-3809254.85</v>
      </c>
      <c r="D451" s="2">
        <v>-3809254.85</v>
      </c>
      <c r="F451" t="s">
        <v>6</v>
      </c>
      <c r="G451" s="1">
        <v>0</v>
      </c>
      <c r="H451" s="1">
        <v>-743047.63</v>
      </c>
      <c r="I451" s="2">
        <v>-743047.63</v>
      </c>
      <c r="K451" t="s">
        <v>6</v>
      </c>
      <c r="L451" s="1">
        <v>0</v>
      </c>
      <c r="M451" s="1">
        <v>-937253.99999999988</v>
      </c>
      <c r="N451" s="2">
        <v>-937253.99999999988</v>
      </c>
      <c r="P451" t="s">
        <v>6</v>
      </c>
      <c r="Q451" s="1">
        <v>0</v>
      </c>
      <c r="R451" s="1">
        <v>-1680301.63</v>
      </c>
      <c r="S451" s="2">
        <v>-1680301.63</v>
      </c>
      <c r="U451" t="s">
        <v>6</v>
      </c>
      <c r="V451" s="2">
        <v>0</v>
      </c>
      <c r="W451" s="2">
        <v>-755083</v>
      </c>
      <c r="X451" s="2">
        <v>-755083</v>
      </c>
      <c r="Z451" t="s">
        <v>6</v>
      </c>
      <c r="AA451" s="1">
        <v>0</v>
      </c>
      <c r="AB451" s="1">
        <v>-1373870.2200000002</v>
      </c>
      <c r="AC451" s="2">
        <v>-1373870.2200000002</v>
      </c>
    </row>
    <row r="452" spans="1:29" x14ac:dyDescent="0.35">
      <c r="A452" s="11" t="s">
        <v>7</v>
      </c>
      <c r="B452" s="4">
        <v>8569467.8899999876</v>
      </c>
      <c r="C452" s="4">
        <v>4128756.6969360202</v>
      </c>
      <c r="D452" s="4">
        <v>12698224.586936008</v>
      </c>
      <c r="F452" s="11" t="s">
        <v>7</v>
      </c>
      <c r="G452" s="4">
        <v>-2943047.199999989</v>
      </c>
      <c r="H452" s="4">
        <v>5747948.3355953787</v>
      </c>
      <c r="I452" s="4">
        <v>2804901.1355953896</v>
      </c>
      <c r="K452" s="11" t="s">
        <v>7</v>
      </c>
      <c r="L452" s="4">
        <v>4035316.3799999896</v>
      </c>
      <c r="M452" s="4">
        <v>8870311.6845674179</v>
      </c>
      <c r="N452" s="4">
        <v>12905628.064567408</v>
      </c>
      <c r="P452" s="11" t="s">
        <v>7</v>
      </c>
      <c r="Q452" s="4">
        <v>1092269.1799999997</v>
      </c>
      <c r="R452" s="4">
        <v>14618260.020162795</v>
      </c>
      <c r="S452" s="4">
        <v>15710529.200162794</v>
      </c>
      <c r="U452" s="11" t="s">
        <v>7</v>
      </c>
      <c r="V452" s="4">
        <v>3131917.9899999844</v>
      </c>
      <c r="W452" s="4">
        <v>-5812236.0564974248</v>
      </c>
      <c r="X452" s="4">
        <v>-2680318.0664974404</v>
      </c>
      <c r="Z452" s="11" t="s">
        <v>7</v>
      </c>
      <c r="AA452" s="137">
        <v>4345280.7199999932</v>
      </c>
      <c r="AB452" s="137">
        <v>-4677267.2667293791</v>
      </c>
      <c r="AC452" s="4">
        <v>-331986.54672938585</v>
      </c>
    </row>
    <row r="453" spans="1:29" x14ac:dyDescent="0.35">
      <c r="A453" t="s">
        <v>8</v>
      </c>
      <c r="B453" s="2">
        <v>0</v>
      </c>
      <c r="C453" s="2">
        <v>-567347.04210037109</v>
      </c>
      <c r="D453" s="2">
        <v>-567347.04210037109</v>
      </c>
      <c r="F453" t="s">
        <v>8</v>
      </c>
      <c r="G453" s="1">
        <v>0</v>
      </c>
      <c r="H453" s="1">
        <v>-2800494.1309183799</v>
      </c>
      <c r="I453" s="2">
        <v>-2800494.1309183799</v>
      </c>
      <c r="K453" t="s">
        <v>8</v>
      </c>
      <c r="L453" s="1">
        <v>0</v>
      </c>
      <c r="M453" s="1">
        <v>-4933584.9336605193</v>
      </c>
      <c r="N453" s="2">
        <v>-4933584.9336605193</v>
      </c>
      <c r="P453" t="s">
        <v>8</v>
      </c>
      <c r="Q453" s="1">
        <v>0</v>
      </c>
      <c r="R453" s="1">
        <v>-7734079.0645788992</v>
      </c>
      <c r="S453" s="2">
        <v>-7734079.0645788992</v>
      </c>
      <c r="U453" t="s">
        <v>8</v>
      </c>
      <c r="V453" s="2">
        <v>0</v>
      </c>
      <c r="W453" s="2">
        <v>3584362.63167394</v>
      </c>
      <c r="X453" s="2">
        <v>3584362.63167394</v>
      </c>
      <c r="Z453" t="s">
        <v>8</v>
      </c>
      <c r="AA453" s="1">
        <v>0</v>
      </c>
      <c r="AB453" s="1">
        <v>3582369.3908045879</v>
      </c>
      <c r="AC453" s="2">
        <v>3582369.3908045879</v>
      </c>
    </row>
    <row r="454" spans="1:29" x14ac:dyDescent="0.35">
      <c r="A454" s="11" t="s">
        <v>161</v>
      </c>
      <c r="B454" s="4">
        <v>8569467.8899999876</v>
      </c>
      <c r="C454" s="4">
        <v>3561409.6548356488</v>
      </c>
      <c r="D454" s="4">
        <v>12130877.544835636</v>
      </c>
      <c r="F454" s="11" t="s">
        <v>161</v>
      </c>
      <c r="G454" s="4">
        <v>-2943047.199999989</v>
      </c>
      <c r="H454" s="4">
        <v>2947454.2046769988</v>
      </c>
      <c r="I454" s="4">
        <v>4407.0046770097688</v>
      </c>
      <c r="K454" s="11" t="s">
        <v>161</v>
      </c>
      <c r="L454" s="4">
        <v>4035316.3799999896</v>
      </c>
      <c r="M454" s="4">
        <v>3936726.7509068986</v>
      </c>
      <c r="N454" s="4">
        <v>7972043.1309068883</v>
      </c>
      <c r="P454" s="11" t="s">
        <v>161</v>
      </c>
      <c r="Q454" s="4">
        <v>1092269.1799999997</v>
      </c>
      <c r="R454" s="4">
        <v>6884180.9555838956</v>
      </c>
      <c r="S454" s="4">
        <v>7976450.1355838953</v>
      </c>
      <c r="U454" s="11" t="s">
        <v>161</v>
      </c>
      <c r="V454" s="4">
        <v>3131917.9899999844</v>
      </c>
      <c r="W454" s="4">
        <v>-2227873.4248234848</v>
      </c>
      <c r="X454" s="4">
        <v>904044.56517649954</v>
      </c>
      <c r="Z454" s="11" t="s">
        <v>9</v>
      </c>
      <c r="AA454" s="137">
        <v>4345280.7199999932</v>
      </c>
      <c r="AB454" s="137">
        <v>-1094897.8759247912</v>
      </c>
      <c r="AC454" s="4">
        <v>3250382.844075202</v>
      </c>
    </row>
    <row r="455" spans="1:29" x14ac:dyDescent="0.35">
      <c r="B455" s="3">
        <v>0</v>
      </c>
      <c r="C455" s="3">
        <v>0</v>
      </c>
      <c r="D455" s="3"/>
      <c r="L455" s="3">
        <v>0</v>
      </c>
      <c r="M455" s="3">
        <v>0</v>
      </c>
      <c r="N455" s="3">
        <v>0</v>
      </c>
      <c r="AA455" s="12">
        <v>1.0244548320770264E-8</v>
      </c>
      <c r="AB455" s="12">
        <v>2.9802322387695313E-8</v>
      </c>
      <c r="AC455" s="12">
        <v>3.9115548133850098E-8</v>
      </c>
    </row>
    <row r="458" spans="1:29" ht="18.5" x14ac:dyDescent="0.35">
      <c r="A458" s="303" t="s">
        <v>225</v>
      </c>
      <c r="B458" s="303"/>
      <c r="C458" s="303"/>
      <c r="D458" s="303"/>
      <c r="F458" s="303" t="s">
        <v>214</v>
      </c>
      <c r="G458" s="303"/>
      <c r="H458" s="303"/>
      <c r="I458" s="303"/>
      <c r="K458" s="303" t="s">
        <v>216</v>
      </c>
      <c r="L458" s="303"/>
      <c r="M458" s="303"/>
      <c r="N458" s="303"/>
      <c r="P458" s="303" t="s">
        <v>217</v>
      </c>
      <c r="Q458" s="303"/>
      <c r="R458" s="303"/>
      <c r="S458" s="303"/>
      <c r="U458" s="303" t="s">
        <v>220</v>
      </c>
      <c r="V458" s="303"/>
      <c r="W458" s="303"/>
      <c r="X458" s="303"/>
      <c r="Z458" s="135" t="s">
        <v>227</v>
      </c>
      <c r="AA458" s="135"/>
      <c r="AB458" s="135"/>
      <c r="AC458" s="135"/>
    </row>
    <row r="459" spans="1:29" ht="15.5" x14ac:dyDescent="0.35">
      <c r="A459" s="8"/>
      <c r="B459" s="10" t="s">
        <v>46</v>
      </c>
      <c r="C459" s="10" t="s">
        <v>1</v>
      </c>
      <c r="D459" s="10" t="s">
        <v>48</v>
      </c>
      <c r="F459" s="8"/>
      <c r="G459" s="10" t="s">
        <v>46</v>
      </c>
      <c r="H459" s="10" t="s">
        <v>1</v>
      </c>
      <c r="I459" s="10" t="s">
        <v>48</v>
      </c>
      <c r="K459" s="8"/>
      <c r="L459" s="10" t="s">
        <v>46</v>
      </c>
      <c r="M459" s="10" t="s">
        <v>1</v>
      </c>
      <c r="N459" s="10" t="s">
        <v>48</v>
      </c>
      <c r="P459" s="8"/>
      <c r="Q459" s="10" t="s">
        <v>46</v>
      </c>
      <c r="R459" s="10" t="s">
        <v>1</v>
      </c>
      <c r="S459" s="10" t="s">
        <v>48</v>
      </c>
      <c r="U459" s="8"/>
      <c r="V459" s="10" t="s">
        <v>46</v>
      </c>
      <c r="W459" s="10" t="s">
        <v>1</v>
      </c>
      <c r="X459" s="10" t="s">
        <v>48</v>
      </c>
      <c r="Z459" s="24"/>
      <c r="AA459" s="10" t="s">
        <v>46</v>
      </c>
      <c r="AB459" s="10" t="s">
        <v>1</v>
      </c>
      <c r="AC459" s="26" t="s">
        <v>48</v>
      </c>
    </row>
    <row r="460" spans="1:29" x14ac:dyDescent="0.35">
      <c r="A460" t="s">
        <v>85</v>
      </c>
      <c r="B460" s="1">
        <v>0</v>
      </c>
      <c r="C460" s="1">
        <v>17472124.310000002</v>
      </c>
      <c r="D460" s="2">
        <v>17472124.310000002</v>
      </c>
      <c r="F460" t="s">
        <v>85</v>
      </c>
      <c r="G460" s="1">
        <v>0</v>
      </c>
      <c r="H460" s="1">
        <v>0</v>
      </c>
      <c r="I460" s="2">
        <v>0</v>
      </c>
      <c r="K460" t="s">
        <v>85</v>
      </c>
      <c r="L460" s="1">
        <v>0</v>
      </c>
      <c r="M460" s="1">
        <v>1124641.43</v>
      </c>
      <c r="N460" s="2">
        <v>1124641.43</v>
      </c>
      <c r="P460" t="s">
        <v>85</v>
      </c>
      <c r="Q460" s="1">
        <v>0</v>
      </c>
      <c r="R460" s="1">
        <v>1124641.43</v>
      </c>
      <c r="S460" s="2">
        <v>1124641.43</v>
      </c>
      <c r="U460" t="s">
        <v>85</v>
      </c>
      <c r="V460" s="2">
        <v>0</v>
      </c>
      <c r="W460" s="2">
        <v>1486109.9599999997</v>
      </c>
      <c r="X460" s="2">
        <v>1486109.9599999997</v>
      </c>
      <c r="Z460" t="s">
        <v>85</v>
      </c>
      <c r="AA460" s="1">
        <v>0</v>
      </c>
      <c r="AB460" s="1">
        <v>14861372.920000004</v>
      </c>
      <c r="AC460" s="2">
        <v>14861372.920000004</v>
      </c>
    </row>
    <row r="461" spans="1:29" x14ac:dyDescent="0.35">
      <c r="A461" t="s">
        <v>19</v>
      </c>
      <c r="B461" s="1">
        <v>0</v>
      </c>
      <c r="C461" s="1">
        <v>149960.00000000003</v>
      </c>
      <c r="D461" s="2">
        <v>149960.00000000003</v>
      </c>
      <c r="F461" t="s">
        <v>19</v>
      </c>
      <c r="G461" s="1">
        <v>0</v>
      </c>
      <c r="H461" s="1">
        <v>21220.32</v>
      </c>
      <c r="I461" s="2">
        <v>21220.32</v>
      </c>
      <c r="K461" t="s">
        <v>19</v>
      </c>
      <c r="L461" s="1">
        <v>0</v>
      </c>
      <c r="M461" s="1">
        <v>17938.599999999999</v>
      </c>
      <c r="N461" s="2">
        <v>17938.599999999999</v>
      </c>
      <c r="P461" t="s">
        <v>19</v>
      </c>
      <c r="Q461" s="1">
        <v>0</v>
      </c>
      <c r="R461" s="1">
        <v>39158.92</v>
      </c>
      <c r="S461" s="2">
        <v>39158.92</v>
      </c>
      <c r="U461" t="s">
        <v>19</v>
      </c>
      <c r="V461" s="2">
        <v>0</v>
      </c>
      <c r="W461" s="2">
        <v>7819.4500000000044</v>
      </c>
      <c r="X461" s="2">
        <v>7819.4500000000044</v>
      </c>
      <c r="Z461" t="s">
        <v>19</v>
      </c>
      <c r="AA461" s="1">
        <v>0</v>
      </c>
      <c r="AB461" s="1">
        <v>102981.63000000003</v>
      </c>
      <c r="AC461" s="2">
        <v>102981.63000000003</v>
      </c>
    </row>
    <row r="462" spans="1:29" x14ac:dyDescent="0.35">
      <c r="A462" t="s">
        <v>86</v>
      </c>
      <c r="B462" s="1">
        <v>0</v>
      </c>
      <c r="C462" s="1">
        <v>0</v>
      </c>
      <c r="D462" s="2">
        <v>0</v>
      </c>
      <c r="F462" t="s">
        <v>86</v>
      </c>
      <c r="G462" s="1">
        <v>0</v>
      </c>
      <c r="H462" s="1">
        <v>0</v>
      </c>
      <c r="I462" s="2">
        <v>0</v>
      </c>
      <c r="K462" t="s">
        <v>86</v>
      </c>
      <c r="L462" s="1">
        <v>0</v>
      </c>
      <c r="M462" s="1">
        <v>0</v>
      </c>
      <c r="N462" s="2">
        <v>0</v>
      </c>
      <c r="P462" t="s">
        <v>86</v>
      </c>
      <c r="Q462" s="1">
        <v>0</v>
      </c>
      <c r="R462" s="1">
        <v>0</v>
      </c>
      <c r="S462" s="2">
        <v>0</v>
      </c>
      <c r="U462" t="s">
        <v>86</v>
      </c>
      <c r="V462" s="2">
        <v>0</v>
      </c>
      <c r="W462" s="2">
        <v>0</v>
      </c>
      <c r="X462" s="2">
        <v>0</v>
      </c>
      <c r="Z462" t="s">
        <v>86</v>
      </c>
      <c r="AA462" s="1">
        <v>0</v>
      </c>
      <c r="AB462" s="1">
        <v>0</v>
      </c>
      <c r="AC462" s="2">
        <v>0</v>
      </c>
    </row>
    <row r="463" spans="1:29" x14ac:dyDescent="0.35">
      <c r="A463" t="s">
        <v>87</v>
      </c>
      <c r="B463" s="1">
        <v>0</v>
      </c>
      <c r="C463" s="1">
        <v>0</v>
      </c>
      <c r="D463" s="2">
        <v>0</v>
      </c>
      <c r="F463" t="s">
        <v>87</v>
      </c>
      <c r="G463" s="1">
        <v>0</v>
      </c>
      <c r="H463" s="1">
        <v>0</v>
      </c>
      <c r="I463" s="2">
        <v>0</v>
      </c>
      <c r="K463" t="s">
        <v>87</v>
      </c>
      <c r="L463" s="1">
        <v>0</v>
      </c>
      <c r="M463" s="1">
        <v>0</v>
      </c>
      <c r="N463" s="2">
        <v>0</v>
      </c>
      <c r="P463" t="s">
        <v>87</v>
      </c>
      <c r="Q463" s="1">
        <v>0</v>
      </c>
      <c r="R463" s="1">
        <v>0</v>
      </c>
      <c r="S463" s="2">
        <v>0</v>
      </c>
      <c r="U463" t="s">
        <v>87</v>
      </c>
      <c r="V463" s="2">
        <v>0</v>
      </c>
      <c r="W463" s="2">
        <v>0</v>
      </c>
      <c r="X463" s="2">
        <v>0</v>
      </c>
      <c r="Z463" t="s">
        <v>87</v>
      </c>
      <c r="AA463" s="1">
        <v>0</v>
      </c>
      <c r="AB463" s="1">
        <v>0</v>
      </c>
      <c r="AC463" s="2">
        <v>0</v>
      </c>
    </row>
    <row r="464" spans="1:29" x14ac:dyDescent="0.35">
      <c r="A464" s="19" t="s">
        <v>18</v>
      </c>
      <c r="B464" s="20">
        <v>0</v>
      </c>
      <c r="C464" s="20">
        <v>17622084.310000002</v>
      </c>
      <c r="D464" s="20">
        <v>17622084.310000002</v>
      </c>
      <c r="F464" s="19" t="s">
        <v>18</v>
      </c>
      <c r="G464" s="20">
        <v>0</v>
      </c>
      <c r="H464" s="20">
        <v>21220.32</v>
      </c>
      <c r="I464" s="20">
        <v>21220.32</v>
      </c>
      <c r="K464" s="19" t="s">
        <v>18</v>
      </c>
      <c r="L464" s="20">
        <v>0</v>
      </c>
      <c r="M464" s="20">
        <v>1142580.03</v>
      </c>
      <c r="N464" s="20">
        <v>1142580.03</v>
      </c>
      <c r="P464" s="19" t="s">
        <v>18</v>
      </c>
      <c r="Q464" s="20">
        <v>0</v>
      </c>
      <c r="R464" s="20">
        <v>1163800.3499999999</v>
      </c>
      <c r="S464" s="20">
        <v>1163800.3499999999</v>
      </c>
      <c r="U464" s="19" t="s">
        <v>18</v>
      </c>
      <c r="V464" s="20">
        <v>0</v>
      </c>
      <c r="W464" s="20">
        <v>1493929.4099999997</v>
      </c>
      <c r="X464" s="20">
        <v>1493929.4099999997</v>
      </c>
      <c r="Z464" s="19" t="s">
        <v>18</v>
      </c>
      <c r="AA464" s="20">
        <v>0</v>
      </c>
      <c r="AB464" s="20">
        <v>14964354.550000003</v>
      </c>
      <c r="AC464" s="20">
        <v>14964354.550000003</v>
      </c>
    </row>
    <row r="465" spans="1:29" x14ac:dyDescent="0.35">
      <c r="B465" s="1"/>
      <c r="C465" s="15"/>
      <c r="D465" s="12"/>
      <c r="G465" s="1"/>
      <c r="H465" s="15"/>
      <c r="I465" s="12"/>
      <c r="L465" s="1"/>
      <c r="M465" s="15"/>
      <c r="N465" s="12"/>
      <c r="Q465" s="1"/>
      <c r="R465" s="15"/>
      <c r="S465" s="12"/>
      <c r="V465" s="2"/>
      <c r="W465" s="15"/>
      <c r="X465" s="2"/>
      <c r="AA465" s="1"/>
      <c r="AB465" s="15"/>
      <c r="AC465" s="2"/>
    </row>
    <row r="466" spans="1:29" x14ac:dyDescent="0.35">
      <c r="B466" s="1"/>
      <c r="C466" s="15"/>
      <c r="D466" s="12"/>
      <c r="G466" s="1"/>
      <c r="H466" s="15"/>
      <c r="I466" s="12"/>
      <c r="L466" s="1"/>
      <c r="M466" s="15"/>
      <c r="N466" s="12"/>
      <c r="Q466" s="1"/>
      <c r="R466" s="15"/>
      <c r="S466" s="12"/>
      <c r="V466" s="2"/>
      <c r="W466" s="15"/>
      <c r="X466" s="2"/>
      <c r="AA466" s="1"/>
      <c r="AB466" s="15"/>
      <c r="AC466" s="2"/>
    </row>
    <row r="467" spans="1:29" x14ac:dyDescent="0.35">
      <c r="A467" t="s">
        <v>12</v>
      </c>
      <c r="B467" s="1">
        <v>35554710.099999994</v>
      </c>
      <c r="C467" s="1">
        <v>150555546.92305815</v>
      </c>
      <c r="D467" s="2">
        <v>186110257.02305815</v>
      </c>
      <c r="F467" t="s">
        <v>12</v>
      </c>
      <c r="G467" s="1">
        <v>12826869.719999999</v>
      </c>
      <c r="H467" s="1">
        <v>21853654.912850853</v>
      </c>
      <c r="I467" s="2">
        <v>34680524.632850856</v>
      </c>
      <c r="K467" t="s">
        <v>12</v>
      </c>
      <c r="L467" s="1">
        <v>9233818.9599999972</v>
      </c>
      <c r="M467" s="1">
        <v>32995576.508865211</v>
      </c>
      <c r="N467" s="2">
        <v>42229395.468865208</v>
      </c>
      <c r="P467" t="s">
        <v>12</v>
      </c>
      <c r="Q467" s="1">
        <v>22060688.679999996</v>
      </c>
      <c r="R467" s="1">
        <v>54849231.421716064</v>
      </c>
      <c r="S467" s="2">
        <v>76909920.101716056</v>
      </c>
      <c r="U467" t="s">
        <v>12</v>
      </c>
      <c r="V467" s="2">
        <v>6806232.4600000009</v>
      </c>
      <c r="W467" s="2">
        <v>44105693.666198418</v>
      </c>
      <c r="X467" s="2">
        <v>50911926.126198418</v>
      </c>
      <c r="Z467" t="s">
        <v>12</v>
      </c>
      <c r="AA467" s="1">
        <v>6687788.9599999972</v>
      </c>
      <c r="AB467" s="1">
        <v>51600621.83514367</v>
      </c>
      <c r="AC467" s="2">
        <v>58288410.795143671</v>
      </c>
    </row>
    <row r="468" spans="1:29" x14ac:dyDescent="0.35">
      <c r="A468" t="s">
        <v>3</v>
      </c>
      <c r="B468" s="1">
        <v>-30627281.539999995</v>
      </c>
      <c r="C468" s="1">
        <v>-22234764.734928329</v>
      </c>
      <c r="D468" s="2">
        <v>-52862046.274928324</v>
      </c>
      <c r="F468" t="s">
        <v>3</v>
      </c>
      <c r="G468" s="1">
        <v>-11925762.830000002</v>
      </c>
      <c r="H468" s="1">
        <v>-4232245.1296416614</v>
      </c>
      <c r="I468" s="2">
        <v>-16158007.959641663</v>
      </c>
      <c r="K468" t="s">
        <v>3</v>
      </c>
      <c r="L468" s="1">
        <v>-8161592.0899999924</v>
      </c>
      <c r="M468" s="1">
        <v>-4095536.9050815227</v>
      </c>
      <c r="N468" s="2">
        <v>-12257128.995081514</v>
      </c>
      <c r="P468" t="s">
        <v>3</v>
      </c>
      <c r="Q468" s="1">
        <v>-20087354.919999994</v>
      </c>
      <c r="R468" s="1">
        <v>-8327782.0347231841</v>
      </c>
      <c r="S468" s="2">
        <v>-28415136.954723179</v>
      </c>
      <c r="U468" t="s">
        <v>3</v>
      </c>
      <c r="V468" s="2">
        <v>-6404132.6700000055</v>
      </c>
      <c r="W468" s="2">
        <v>-4279147.2617385099</v>
      </c>
      <c r="X468" s="2">
        <v>-10683279.931738514</v>
      </c>
      <c r="Z468" t="s">
        <v>3</v>
      </c>
      <c r="AA468" s="1">
        <v>-4135793.9499999955</v>
      </c>
      <c r="AB468" s="1">
        <v>-9627835.4384666346</v>
      </c>
      <c r="AC468" s="2">
        <v>-13763629.38846663</v>
      </c>
    </row>
    <row r="469" spans="1:29" x14ac:dyDescent="0.35">
      <c r="A469" t="s">
        <v>88</v>
      </c>
      <c r="B469" s="1">
        <v>16910792.09</v>
      </c>
      <c r="C469" s="1">
        <v>39199903.843821749</v>
      </c>
      <c r="D469" s="2">
        <v>56110695.933821753</v>
      </c>
      <c r="F469" t="s">
        <v>88</v>
      </c>
      <c r="G469" s="1">
        <v>5462878.1900000004</v>
      </c>
      <c r="H469" s="1">
        <v>2483158.5769546498</v>
      </c>
      <c r="I469" s="2">
        <v>7946036.7669546502</v>
      </c>
      <c r="K469" t="s">
        <v>88</v>
      </c>
      <c r="L469" s="1">
        <v>3780161.5299999984</v>
      </c>
      <c r="M469" s="1">
        <v>12723472.77910264</v>
      </c>
      <c r="N469" s="2">
        <v>16503634.30910264</v>
      </c>
      <c r="P469" t="s">
        <v>88</v>
      </c>
      <c r="Q469" s="1">
        <v>9243039.7199999988</v>
      </c>
      <c r="R469" s="1">
        <v>15206631.35605729</v>
      </c>
      <c r="S469" s="2">
        <v>24449671.076057289</v>
      </c>
      <c r="U469" t="s">
        <v>88</v>
      </c>
      <c r="V469" s="2">
        <v>4236541.2000000011</v>
      </c>
      <c r="W469" s="2">
        <v>11250504.680569205</v>
      </c>
      <c r="X469" s="2">
        <v>15487045.880569207</v>
      </c>
      <c r="Z469" t="s">
        <v>88</v>
      </c>
      <c r="AA469" s="1">
        <v>3431211.17</v>
      </c>
      <c r="AB469" s="1">
        <v>12742767.807195254</v>
      </c>
      <c r="AC469" s="2">
        <v>16173978.977195257</v>
      </c>
    </row>
    <row r="470" spans="1:29" x14ac:dyDescent="0.35">
      <c r="A470" t="s">
        <v>13</v>
      </c>
      <c r="B470" s="1">
        <v>-1761089.73</v>
      </c>
      <c r="C470" s="1">
        <v>-814513.97</v>
      </c>
      <c r="D470" s="2">
        <v>-2575603.7000000002</v>
      </c>
      <c r="F470" t="s">
        <v>13</v>
      </c>
      <c r="G470" s="1">
        <v>-651085.18999999994</v>
      </c>
      <c r="H470" s="1">
        <v>-129851.23999999999</v>
      </c>
      <c r="I470" s="2">
        <v>-780936.42999999993</v>
      </c>
      <c r="K470" t="s">
        <v>13</v>
      </c>
      <c r="L470" s="1">
        <v>-506067.62000000011</v>
      </c>
      <c r="M470" s="1">
        <v>-133510.79000000004</v>
      </c>
      <c r="N470" s="2">
        <v>-639578.41000000015</v>
      </c>
      <c r="P470" t="s">
        <v>13</v>
      </c>
      <c r="Q470" s="1">
        <v>-1157152.81</v>
      </c>
      <c r="R470" s="1">
        <v>-263362.03000000003</v>
      </c>
      <c r="S470" s="2">
        <v>-1420514.84</v>
      </c>
      <c r="U470" t="s">
        <v>13</v>
      </c>
      <c r="V470" s="2">
        <v>-367544.60999999987</v>
      </c>
      <c r="W470" s="2">
        <v>-184627.15999999997</v>
      </c>
      <c r="X470" s="2">
        <v>-552171.76999999979</v>
      </c>
      <c r="Z470" t="s">
        <v>13</v>
      </c>
      <c r="AA470" s="1">
        <v>-236392.31000000006</v>
      </c>
      <c r="AB470" s="1">
        <v>-366524.77999999997</v>
      </c>
      <c r="AC470" s="2">
        <v>-602917.09000000032</v>
      </c>
    </row>
    <row r="471" spans="1:29" x14ac:dyDescent="0.35">
      <c r="A471" s="19" t="s">
        <v>14</v>
      </c>
      <c r="B471" s="20">
        <v>20077130.919999998</v>
      </c>
      <c r="C471" s="20">
        <v>166706172.06195158</v>
      </c>
      <c r="D471" s="20">
        <v>186783302.98195156</v>
      </c>
      <c r="F471" s="19" t="s">
        <v>14</v>
      </c>
      <c r="G471" s="20">
        <v>5712899.8899999969</v>
      </c>
      <c r="H471" s="20">
        <v>19974717.120163839</v>
      </c>
      <c r="I471" s="20">
        <v>25687617.010163836</v>
      </c>
      <c r="K471" s="19" t="s">
        <v>14</v>
      </c>
      <c r="L471" s="20">
        <v>4346320.7800000031</v>
      </c>
      <c r="M471" s="20">
        <v>41490001.592886329</v>
      </c>
      <c r="N471" s="20">
        <v>45836322.37288633</v>
      </c>
      <c r="P471" s="19" t="s">
        <v>14</v>
      </c>
      <c r="Q471" s="20">
        <v>10059220.67</v>
      </c>
      <c r="R471" s="20">
        <v>61464718.713050172</v>
      </c>
      <c r="S471" s="20">
        <v>71523939.383050174</v>
      </c>
      <c r="U471" s="19" t="s">
        <v>14</v>
      </c>
      <c r="V471" s="20">
        <v>4271096.3799999971</v>
      </c>
      <c r="W471" s="20">
        <v>50892423.925029114</v>
      </c>
      <c r="X471" s="20">
        <v>55163520.305029109</v>
      </c>
      <c r="Z471" s="19" t="s">
        <v>14</v>
      </c>
      <c r="AA471" s="20">
        <v>5746813.870000001</v>
      </c>
      <c r="AB471" s="20">
        <v>54349029.423872292</v>
      </c>
      <c r="AC471" s="20">
        <v>60095843.293872282</v>
      </c>
    </row>
    <row r="472" spans="1:29" x14ac:dyDescent="0.35">
      <c r="B472" s="2"/>
      <c r="C472" s="15"/>
      <c r="D472" s="12"/>
      <c r="G472" s="2"/>
      <c r="H472" s="15"/>
      <c r="I472" s="12"/>
      <c r="L472" s="2"/>
      <c r="M472" s="15"/>
      <c r="N472" s="12"/>
      <c r="Q472" s="2"/>
      <c r="R472" s="15"/>
      <c r="S472" s="12"/>
      <c r="V472" s="2"/>
      <c r="W472" s="15"/>
      <c r="X472" s="2"/>
      <c r="AA472" s="12"/>
      <c r="AB472" s="15"/>
      <c r="AC472" s="2"/>
    </row>
    <row r="473" spans="1:29" x14ac:dyDescent="0.35">
      <c r="B473" s="2"/>
      <c r="C473" s="15"/>
      <c r="D473" s="12"/>
      <c r="G473" s="2"/>
      <c r="H473" s="15"/>
      <c r="I473" s="12"/>
      <c r="L473" s="2"/>
      <c r="M473" s="15"/>
      <c r="N473" s="12"/>
      <c r="Q473" s="2"/>
      <c r="R473" s="15"/>
      <c r="S473" s="12"/>
      <c r="V473" s="2"/>
      <c r="W473" s="15"/>
      <c r="X473" s="2"/>
      <c r="AA473" s="12"/>
      <c r="AB473" s="15"/>
      <c r="AC473" s="2"/>
    </row>
    <row r="474" spans="1:29" x14ac:dyDescent="0.35">
      <c r="A474" t="s">
        <v>15</v>
      </c>
      <c r="B474" s="1">
        <v>0</v>
      </c>
      <c r="C474" s="1">
        <v>12327127.519728573</v>
      </c>
      <c r="D474" s="2">
        <v>12327127.519728573</v>
      </c>
      <c r="F474" t="s">
        <v>15</v>
      </c>
      <c r="G474" s="1">
        <v>0</v>
      </c>
      <c r="H474" s="1">
        <v>1009929.6398273117</v>
      </c>
      <c r="I474" s="2">
        <v>1009929.6398273117</v>
      </c>
      <c r="K474" t="s">
        <v>15</v>
      </c>
      <c r="L474" s="1">
        <v>0</v>
      </c>
      <c r="M474" s="1">
        <v>2503029.4959923001</v>
      </c>
      <c r="N474" s="2">
        <v>2503029.4959923001</v>
      </c>
      <c r="P474" t="s">
        <v>15</v>
      </c>
      <c r="Q474" s="1">
        <v>0</v>
      </c>
      <c r="R474" s="1">
        <v>3512959.1358196121</v>
      </c>
      <c r="S474" s="2">
        <v>3512959.1358196121</v>
      </c>
      <c r="U474" t="s">
        <v>15</v>
      </c>
      <c r="V474" s="2">
        <v>0</v>
      </c>
      <c r="W474" s="2">
        <v>3930140.7876734342</v>
      </c>
      <c r="X474" s="2">
        <v>3930140.7876734342</v>
      </c>
      <c r="Z474" t="s">
        <v>15</v>
      </c>
      <c r="AA474" s="1">
        <v>0</v>
      </c>
      <c r="AB474" s="1">
        <v>4884027.5962355267</v>
      </c>
      <c r="AC474" s="2">
        <v>4884027.5962355267</v>
      </c>
    </row>
    <row r="475" spans="1:29" x14ac:dyDescent="0.35">
      <c r="A475" t="s">
        <v>16</v>
      </c>
      <c r="B475" s="1">
        <v>0</v>
      </c>
      <c r="C475" s="1">
        <v>-3124499.3468530951</v>
      </c>
      <c r="D475" s="2">
        <v>-3124499.3468530951</v>
      </c>
      <c r="F475" t="s">
        <v>16</v>
      </c>
      <c r="G475" s="1">
        <v>0</v>
      </c>
      <c r="H475" s="1">
        <v>-511457.32</v>
      </c>
      <c r="I475" s="2">
        <v>-511457.32</v>
      </c>
      <c r="K475" t="s">
        <v>16</v>
      </c>
      <c r="L475" s="1">
        <v>0</v>
      </c>
      <c r="M475" s="1">
        <v>-206037.80610301386</v>
      </c>
      <c r="N475" s="2">
        <v>-206037.80610301386</v>
      </c>
      <c r="P475" t="s">
        <v>16</v>
      </c>
      <c r="Q475" s="1">
        <v>0</v>
      </c>
      <c r="R475" s="1">
        <v>-717495.12610301387</v>
      </c>
      <c r="S475" s="2">
        <v>-717495.12610301387</v>
      </c>
      <c r="U475" t="s">
        <v>16</v>
      </c>
      <c r="V475" s="2">
        <v>0</v>
      </c>
      <c r="W475" s="2">
        <v>-1079732.7339676986</v>
      </c>
      <c r="X475" s="2">
        <v>-1079732.7339676986</v>
      </c>
      <c r="Z475" t="s">
        <v>16</v>
      </c>
      <c r="AA475" s="1">
        <v>0</v>
      </c>
      <c r="AB475" s="1">
        <v>-1327271.4867823827</v>
      </c>
      <c r="AC475" s="2">
        <v>-1327271.4867823827</v>
      </c>
    </row>
    <row r="476" spans="1:29" x14ac:dyDescent="0.35">
      <c r="A476" s="19" t="s">
        <v>17</v>
      </c>
      <c r="B476" s="20">
        <v>0</v>
      </c>
      <c r="C476" s="20">
        <v>9202628.1728754789</v>
      </c>
      <c r="D476" s="20">
        <v>9202628.1728754789</v>
      </c>
      <c r="F476" s="19" t="s">
        <v>17</v>
      </c>
      <c r="G476" s="20">
        <v>0</v>
      </c>
      <c r="H476" s="20">
        <v>498472.31982731173</v>
      </c>
      <c r="I476" s="20">
        <v>498472.31982731173</v>
      </c>
      <c r="K476" s="19" t="s">
        <v>17</v>
      </c>
      <c r="L476" s="20">
        <v>0</v>
      </c>
      <c r="M476" s="20">
        <v>2296991.6898892862</v>
      </c>
      <c r="N476" s="20">
        <v>2296991.6898892862</v>
      </c>
      <c r="P476" s="19" t="s">
        <v>17</v>
      </c>
      <c r="Q476" s="20">
        <v>0</v>
      </c>
      <c r="R476" s="20">
        <v>2795464.0097165983</v>
      </c>
      <c r="S476" s="20">
        <v>2795464.0097165983</v>
      </c>
      <c r="U476" s="19" t="s">
        <v>17</v>
      </c>
      <c r="V476" s="20">
        <v>0</v>
      </c>
      <c r="W476" s="20">
        <v>2850408.0537057356</v>
      </c>
      <c r="X476" s="20">
        <v>2850408.0537057356</v>
      </c>
      <c r="Z476" s="19" t="s">
        <v>17</v>
      </c>
      <c r="AA476" s="20">
        <v>0</v>
      </c>
      <c r="AB476" s="20">
        <v>3556756.1094531449</v>
      </c>
      <c r="AC476" s="20">
        <v>3556756.1094531449</v>
      </c>
    </row>
    <row r="477" spans="1:29" x14ac:dyDescent="0.35">
      <c r="B477" s="1"/>
      <c r="C477" s="15"/>
      <c r="D477" s="12"/>
      <c r="G477" s="1"/>
      <c r="H477" s="15"/>
      <c r="I477" s="12"/>
      <c r="L477" s="1"/>
      <c r="M477" s="15"/>
      <c r="N477" s="12"/>
      <c r="Q477" s="1"/>
      <c r="R477" s="15"/>
      <c r="S477" s="12"/>
      <c r="V477" s="2"/>
      <c r="W477" s="15"/>
      <c r="X477" s="2"/>
      <c r="AA477" s="1"/>
      <c r="AB477" s="15"/>
      <c r="AC477" s="2"/>
    </row>
    <row r="478" spans="1:29" x14ac:dyDescent="0.35">
      <c r="B478" s="1"/>
      <c r="C478" s="15"/>
      <c r="D478" s="12"/>
      <c r="G478" s="1"/>
      <c r="H478" s="15"/>
      <c r="I478" s="12"/>
      <c r="L478" s="1"/>
      <c r="M478" s="15"/>
      <c r="N478" s="12"/>
      <c r="Q478" s="1"/>
      <c r="R478" s="15"/>
      <c r="S478" s="12"/>
      <c r="V478" s="2"/>
      <c r="W478" s="15"/>
      <c r="X478" s="2"/>
      <c r="AA478" s="1"/>
      <c r="AB478" s="15"/>
      <c r="AC478" s="2"/>
    </row>
    <row r="479" spans="1:29" x14ac:dyDescent="0.35">
      <c r="A479" s="6" t="s">
        <v>20</v>
      </c>
      <c r="B479" s="1">
        <v>0</v>
      </c>
      <c r="C479" s="1">
        <v>0</v>
      </c>
      <c r="D479" s="216">
        <v>0</v>
      </c>
      <c r="F479" s="6" t="s">
        <v>20</v>
      </c>
      <c r="G479" s="1">
        <v>0</v>
      </c>
      <c r="H479" s="1">
        <v>0</v>
      </c>
      <c r="I479" s="216">
        <v>0</v>
      </c>
      <c r="K479" s="6" t="s">
        <v>20</v>
      </c>
      <c r="L479" s="1">
        <v>0</v>
      </c>
      <c r="M479" s="1">
        <v>0</v>
      </c>
      <c r="N479" s="216">
        <v>0</v>
      </c>
      <c r="P479" s="6" t="s">
        <v>20</v>
      </c>
      <c r="Q479" s="1">
        <v>0</v>
      </c>
      <c r="R479" s="1">
        <v>0</v>
      </c>
      <c r="S479" s="216">
        <v>0</v>
      </c>
      <c r="U479" s="16" t="s">
        <v>20</v>
      </c>
      <c r="V479" s="2">
        <v>0</v>
      </c>
      <c r="W479" s="2">
        <v>0</v>
      </c>
      <c r="X479" s="7">
        <v>0</v>
      </c>
      <c r="Z479" s="16" t="s">
        <v>20</v>
      </c>
      <c r="AA479" s="27">
        <v>0</v>
      </c>
      <c r="AB479" s="28">
        <v>0</v>
      </c>
      <c r="AC479" s="17">
        <v>0</v>
      </c>
    </row>
    <row r="480" spans="1:29" x14ac:dyDescent="0.35">
      <c r="A480" s="13"/>
      <c r="B480" s="217"/>
      <c r="C480" s="156"/>
      <c r="D480" s="215"/>
      <c r="F480" s="13"/>
      <c r="G480" s="217"/>
      <c r="H480" s="156"/>
      <c r="I480" s="215"/>
      <c r="K480" s="13"/>
      <c r="L480" s="217"/>
      <c r="M480" s="156"/>
      <c r="N480" s="215"/>
      <c r="P480" s="13"/>
      <c r="Q480" s="217"/>
      <c r="R480" s="156"/>
      <c r="S480" s="215"/>
      <c r="V480" s="155"/>
      <c r="W480" s="156"/>
      <c r="X480" s="155"/>
      <c r="AA480" s="1"/>
      <c r="AB480" s="15"/>
      <c r="AC480" s="2"/>
    </row>
    <row r="481" spans="1:29" x14ac:dyDescent="0.35">
      <c r="B481" s="1"/>
      <c r="C481" s="15"/>
      <c r="D481" s="12"/>
      <c r="G481" s="1"/>
      <c r="H481" s="15"/>
      <c r="I481" s="12"/>
      <c r="L481" s="1"/>
      <c r="M481" s="15"/>
      <c r="N481" s="12"/>
      <c r="Q481" s="1"/>
      <c r="R481" s="15"/>
      <c r="S481" s="12"/>
      <c r="V481" s="2"/>
      <c r="W481" s="15"/>
      <c r="X481" s="2"/>
      <c r="AC481" s="2"/>
    </row>
    <row r="482" spans="1:29" x14ac:dyDescent="0.35">
      <c r="B482" s="1"/>
      <c r="C482" s="15"/>
      <c r="D482" s="12"/>
      <c r="G482" s="1"/>
      <c r="H482" s="15"/>
      <c r="I482" s="12"/>
      <c r="L482" s="1"/>
      <c r="M482" s="15"/>
      <c r="N482" s="12"/>
      <c r="Q482" s="1"/>
      <c r="R482" s="15"/>
      <c r="S482" s="12"/>
      <c r="V482" s="2"/>
      <c r="W482" s="15"/>
      <c r="X482" s="2"/>
      <c r="AC482" s="2"/>
    </row>
    <row r="483" spans="1:29" x14ac:dyDescent="0.35">
      <c r="A483" t="s">
        <v>0</v>
      </c>
      <c r="B483" s="1">
        <v>0</v>
      </c>
      <c r="C483" s="1">
        <v>21478646</v>
      </c>
      <c r="D483" s="2">
        <v>21478646</v>
      </c>
      <c r="F483" t="s">
        <v>0</v>
      </c>
      <c r="G483" s="1">
        <v>0</v>
      </c>
      <c r="H483" s="1">
        <v>5893362</v>
      </c>
      <c r="I483" s="2">
        <v>5893362</v>
      </c>
      <c r="K483" t="s">
        <v>0</v>
      </c>
      <c r="L483" s="1">
        <v>0</v>
      </c>
      <c r="M483" s="1">
        <v>4726466</v>
      </c>
      <c r="N483" s="2">
        <v>4726466</v>
      </c>
      <c r="P483" t="s">
        <v>0</v>
      </c>
      <c r="Q483" s="1">
        <v>0</v>
      </c>
      <c r="R483" s="1">
        <v>10619828</v>
      </c>
      <c r="S483" s="2">
        <v>10619828</v>
      </c>
      <c r="U483" t="s">
        <v>0</v>
      </c>
      <c r="V483" s="2">
        <v>0</v>
      </c>
      <c r="W483" s="2">
        <v>5619914</v>
      </c>
      <c r="X483" s="2">
        <v>5619914</v>
      </c>
      <c r="Z483" t="s">
        <v>0</v>
      </c>
      <c r="AA483" s="1">
        <v>0</v>
      </c>
      <c r="AB483" s="1">
        <v>5238904</v>
      </c>
      <c r="AC483" s="2">
        <v>5238904</v>
      </c>
    </row>
    <row r="484" spans="1:29" x14ac:dyDescent="0.35">
      <c r="A484" t="s">
        <v>2</v>
      </c>
      <c r="B484" s="1">
        <v>0</v>
      </c>
      <c r="C484" s="1">
        <v>-14507161.530117329</v>
      </c>
      <c r="D484" s="2">
        <v>-14507161.530117329</v>
      </c>
      <c r="F484" t="s">
        <v>2</v>
      </c>
      <c r="G484" s="1">
        <v>0</v>
      </c>
      <c r="H484" s="1">
        <v>-3855806.4131103987</v>
      </c>
      <c r="I484" s="2">
        <v>-3855806.4131103987</v>
      </c>
      <c r="K484" t="s">
        <v>2</v>
      </c>
      <c r="L484" s="1">
        <v>0</v>
      </c>
      <c r="M484" s="1">
        <v>-3328443.2961475076</v>
      </c>
      <c r="N484" s="2">
        <v>-3328443.2961475076</v>
      </c>
      <c r="P484" t="s">
        <v>2</v>
      </c>
      <c r="Q484" s="1">
        <v>0</v>
      </c>
      <c r="R484" s="1">
        <v>-7184249.7092579063</v>
      </c>
      <c r="S484" s="2">
        <v>-7184249.7092579063</v>
      </c>
      <c r="U484" t="s">
        <v>2</v>
      </c>
      <c r="V484" s="2">
        <v>0</v>
      </c>
      <c r="W484" s="2">
        <v>-2962840.9079428576</v>
      </c>
      <c r="X484" s="2">
        <v>-2962840.9079428576</v>
      </c>
      <c r="Z484" t="s">
        <v>2</v>
      </c>
      <c r="AA484" s="1">
        <v>0</v>
      </c>
      <c r="AB484" s="1">
        <v>-4360070.9129165653</v>
      </c>
      <c r="AC484" s="2">
        <v>-4360070.9129165653</v>
      </c>
    </row>
    <row r="485" spans="1:29" x14ac:dyDescent="0.35">
      <c r="A485" s="19" t="s">
        <v>21</v>
      </c>
      <c r="B485" s="20">
        <v>0</v>
      </c>
      <c r="C485" s="20">
        <v>6971484.4698826708</v>
      </c>
      <c r="D485" s="20">
        <v>6971484.4698826708</v>
      </c>
      <c r="F485" s="19" t="s">
        <v>21</v>
      </c>
      <c r="G485" s="20">
        <v>0</v>
      </c>
      <c r="H485" s="20">
        <v>2037555.5868896013</v>
      </c>
      <c r="I485" s="20">
        <v>2037555.5868896013</v>
      </c>
      <c r="K485" s="19" t="s">
        <v>21</v>
      </c>
      <c r="L485" s="20">
        <v>0</v>
      </c>
      <c r="M485" s="20">
        <v>1398022.7038524924</v>
      </c>
      <c r="N485" s="20">
        <v>1398022.7038524924</v>
      </c>
      <c r="P485" s="19" t="s">
        <v>21</v>
      </c>
      <c r="Q485" s="20">
        <v>0</v>
      </c>
      <c r="R485" s="20">
        <v>3435578.2907420937</v>
      </c>
      <c r="S485" s="20">
        <v>3435578.2907420937</v>
      </c>
      <c r="U485" s="19" t="s">
        <v>21</v>
      </c>
      <c r="V485" s="20">
        <v>0</v>
      </c>
      <c r="W485" s="20">
        <v>2657073.0920571424</v>
      </c>
      <c r="X485" s="20">
        <v>2657073.0920571424</v>
      </c>
      <c r="Z485" s="19" t="s">
        <v>21</v>
      </c>
      <c r="AA485" s="20">
        <v>0</v>
      </c>
      <c r="AB485" s="20">
        <v>878833.08708343469</v>
      </c>
      <c r="AC485" s="20">
        <v>878833.08708343469</v>
      </c>
    </row>
    <row r="486" spans="1:29" x14ac:dyDescent="0.35">
      <c r="B486" s="2"/>
      <c r="C486" s="15"/>
      <c r="D486" s="12"/>
      <c r="G486" s="2"/>
      <c r="H486" s="15"/>
      <c r="I486" s="12"/>
      <c r="L486" s="2"/>
      <c r="M486" s="15"/>
      <c r="N486" s="12"/>
      <c r="Q486" s="2"/>
      <c r="R486" s="15"/>
      <c r="S486" s="12"/>
      <c r="V486" s="2"/>
      <c r="W486" s="15"/>
      <c r="X486" s="2"/>
      <c r="AA486" s="2"/>
      <c r="AB486" s="15"/>
      <c r="AC486" s="2"/>
    </row>
    <row r="487" spans="1:29" x14ac:dyDescent="0.35">
      <c r="B487" s="2"/>
      <c r="C487" s="15"/>
      <c r="D487" s="12"/>
      <c r="G487" s="2"/>
      <c r="H487" s="15"/>
      <c r="I487" s="12"/>
      <c r="L487" s="2"/>
      <c r="M487" s="15"/>
      <c r="N487" s="12"/>
      <c r="Q487" s="2"/>
      <c r="R487" s="15"/>
      <c r="S487" s="12"/>
      <c r="V487" s="2"/>
      <c r="W487" s="15"/>
      <c r="X487" s="2"/>
      <c r="AA487" s="2"/>
      <c r="AB487" s="15"/>
      <c r="AC487" s="2"/>
    </row>
    <row r="488" spans="1:29" x14ac:dyDescent="0.35">
      <c r="A488" t="s">
        <v>24</v>
      </c>
      <c r="B488" s="1">
        <v>0</v>
      </c>
      <c r="C488" s="1">
        <v>0</v>
      </c>
      <c r="D488" s="2">
        <v>0</v>
      </c>
      <c r="F488" t="s">
        <v>24</v>
      </c>
      <c r="G488" s="1">
        <v>0</v>
      </c>
      <c r="H488" s="1">
        <v>0</v>
      </c>
      <c r="I488" s="2">
        <v>0</v>
      </c>
      <c r="K488" t="s">
        <v>24</v>
      </c>
      <c r="L488" s="1">
        <v>0</v>
      </c>
      <c r="M488" s="1">
        <v>0</v>
      </c>
      <c r="N488" s="2">
        <v>0</v>
      </c>
      <c r="P488" t="s">
        <v>24</v>
      </c>
      <c r="Q488" s="1">
        <v>0</v>
      </c>
      <c r="R488" s="1">
        <v>0</v>
      </c>
      <c r="S488" s="2">
        <v>0</v>
      </c>
      <c r="U488" t="s">
        <v>24</v>
      </c>
      <c r="V488" s="2">
        <v>0</v>
      </c>
      <c r="W488" s="2">
        <v>0</v>
      </c>
      <c r="X488" s="2">
        <v>0</v>
      </c>
      <c r="Z488" t="s">
        <v>24</v>
      </c>
      <c r="AA488" s="1">
        <v>0</v>
      </c>
      <c r="AB488" s="1">
        <v>0</v>
      </c>
      <c r="AC488" s="2">
        <v>0</v>
      </c>
    </row>
    <row r="489" spans="1:29" x14ac:dyDescent="0.35">
      <c r="A489" t="s">
        <v>25</v>
      </c>
      <c r="B489" s="1">
        <v>0</v>
      </c>
      <c r="C489" s="1">
        <v>0</v>
      </c>
      <c r="D489" s="2">
        <v>0</v>
      </c>
      <c r="F489" t="s">
        <v>25</v>
      </c>
      <c r="G489" s="1">
        <v>0</v>
      </c>
      <c r="H489" s="1">
        <v>0</v>
      </c>
      <c r="I489" s="2">
        <v>0</v>
      </c>
      <c r="K489" t="s">
        <v>25</v>
      </c>
      <c r="L489" s="1">
        <v>0</v>
      </c>
      <c r="M489" s="1">
        <v>0</v>
      </c>
      <c r="N489" s="2">
        <v>0</v>
      </c>
      <c r="P489" t="s">
        <v>25</v>
      </c>
      <c r="Q489" s="1">
        <v>0</v>
      </c>
      <c r="R489" s="1">
        <v>0</v>
      </c>
      <c r="S489" s="2">
        <v>0</v>
      </c>
      <c r="U489" t="s">
        <v>25</v>
      </c>
      <c r="V489" s="2">
        <v>0</v>
      </c>
      <c r="W489" s="2">
        <v>0</v>
      </c>
      <c r="X489" s="2">
        <v>0</v>
      </c>
      <c r="Z489" t="s">
        <v>25</v>
      </c>
      <c r="AA489" s="1">
        <v>0</v>
      </c>
      <c r="AB489" s="1">
        <v>0</v>
      </c>
      <c r="AC489" s="2">
        <v>0</v>
      </c>
    </row>
    <row r="490" spans="1:29" x14ac:dyDescent="0.35">
      <c r="A490" t="s">
        <v>26</v>
      </c>
      <c r="B490" s="1">
        <v>0</v>
      </c>
      <c r="C490" s="1">
        <v>0</v>
      </c>
      <c r="D490" s="2">
        <v>0</v>
      </c>
      <c r="F490" t="s">
        <v>26</v>
      </c>
      <c r="G490" s="1">
        <v>0</v>
      </c>
      <c r="H490" s="1">
        <v>0</v>
      </c>
      <c r="I490" s="2">
        <v>0</v>
      </c>
      <c r="K490" t="s">
        <v>26</v>
      </c>
      <c r="L490" s="1">
        <v>0</v>
      </c>
      <c r="M490" s="1">
        <v>0</v>
      </c>
      <c r="N490" s="2">
        <v>0</v>
      </c>
      <c r="P490" t="s">
        <v>26</v>
      </c>
      <c r="Q490" s="1">
        <v>0</v>
      </c>
      <c r="R490" s="1">
        <v>0</v>
      </c>
      <c r="S490" s="2">
        <v>0</v>
      </c>
      <c r="U490" t="s">
        <v>26</v>
      </c>
      <c r="V490" s="2">
        <v>0</v>
      </c>
      <c r="W490" s="2">
        <v>0</v>
      </c>
      <c r="X490" s="2">
        <v>0</v>
      </c>
      <c r="Z490" t="s">
        <v>26</v>
      </c>
      <c r="AA490" s="1">
        <v>0</v>
      </c>
      <c r="AB490" s="1">
        <v>0</v>
      </c>
      <c r="AC490" s="2">
        <v>0</v>
      </c>
    </row>
    <row r="491" spans="1:29" x14ac:dyDescent="0.35">
      <c r="A491" s="19" t="s">
        <v>101</v>
      </c>
      <c r="B491" s="20">
        <v>0</v>
      </c>
      <c r="C491" s="20">
        <v>0</v>
      </c>
      <c r="D491" s="20">
        <v>0</v>
      </c>
      <c r="F491" s="19" t="s">
        <v>101</v>
      </c>
      <c r="G491" s="20">
        <v>0</v>
      </c>
      <c r="H491" s="20">
        <v>0</v>
      </c>
      <c r="I491" s="20">
        <v>0</v>
      </c>
      <c r="K491" s="19" t="s">
        <v>101</v>
      </c>
      <c r="L491" s="20">
        <v>0</v>
      </c>
      <c r="M491" s="20">
        <v>0</v>
      </c>
      <c r="N491" s="20">
        <v>0</v>
      </c>
      <c r="P491" s="19" t="s">
        <v>101</v>
      </c>
      <c r="Q491" s="20">
        <v>0</v>
      </c>
      <c r="R491" s="20">
        <v>0</v>
      </c>
      <c r="S491" s="20">
        <v>0</v>
      </c>
      <c r="U491" s="19" t="s">
        <v>101</v>
      </c>
      <c r="V491" s="20">
        <v>0</v>
      </c>
      <c r="W491" s="20">
        <v>0</v>
      </c>
      <c r="X491" s="20">
        <v>0</v>
      </c>
      <c r="Z491" s="19" t="s">
        <v>152</v>
      </c>
      <c r="AA491" s="20">
        <v>0</v>
      </c>
      <c r="AB491" s="20">
        <v>0</v>
      </c>
      <c r="AC491" s="20">
        <v>0</v>
      </c>
    </row>
    <row r="492" spans="1:29" x14ac:dyDescent="0.35">
      <c r="B492" s="2"/>
      <c r="C492" s="15"/>
      <c r="D492" s="12"/>
      <c r="G492" s="2"/>
      <c r="H492" s="15"/>
      <c r="I492" s="12"/>
      <c r="L492" s="2"/>
      <c r="M492" s="15"/>
      <c r="N492" s="12"/>
      <c r="Q492" s="2"/>
      <c r="R492" s="15"/>
      <c r="S492" s="12"/>
      <c r="V492" s="2"/>
      <c r="W492" s="15"/>
      <c r="X492" s="2"/>
      <c r="AA492" s="2"/>
      <c r="AB492" s="15"/>
      <c r="AC492" s="2"/>
    </row>
    <row r="493" spans="1:29" x14ac:dyDescent="0.35">
      <c r="B493" s="2"/>
      <c r="C493" s="15"/>
      <c r="D493" s="12"/>
      <c r="G493" s="2"/>
      <c r="H493" s="15"/>
      <c r="I493" s="12"/>
      <c r="L493" s="2"/>
      <c r="M493" s="15"/>
      <c r="N493" s="12"/>
      <c r="Q493" s="2"/>
      <c r="R493" s="15"/>
      <c r="S493" s="12"/>
      <c r="V493" s="2"/>
      <c r="W493" s="15"/>
      <c r="X493" s="2"/>
      <c r="AA493" s="2"/>
      <c r="AB493" s="15"/>
      <c r="AC493" s="2"/>
    </row>
    <row r="494" spans="1:29" x14ac:dyDescent="0.35">
      <c r="A494" t="s">
        <v>27</v>
      </c>
      <c r="B494" s="1">
        <v>0</v>
      </c>
      <c r="C494" s="1">
        <v>0</v>
      </c>
      <c r="D494" s="2">
        <v>0</v>
      </c>
      <c r="F494" t="s">
        <v>27</v>
      </c>
      <c r="G494" s="1">
        <v>0</v>
      </c>
      <c r="H494" s="1">
        <v>0</v>
      </c>
      <c r="I494" s="2">
        <v>0</v>
      </c>
      <c r="K494" t="s">
        <v>27</v>
      </c>
      <c r="L494" s="1">
        <v>0</v>
      </c>
      <c r="M494" s="1">
        <v>0</v>
      </c>
      <c r="N494" s="2">
        <v>0</v>
      </c>
      <c r="P494" t="s">
        <v>27</v>
      </c>
      <c r="Q494" s="1">
        <v>0</v>
      </c>
      <c r="R494" s="1">
        <v>0</v>
      </c>
      <c r="S494" s="2">
        <v>0</v>
      </c>
      <c r="U494" t="s">
        <v>27</v>
      </c>
      <c r="V494" s="2">
        <v>0</v>
      </c>
      <c r="W494" s="2">
        <v>0</v>
      </c>
      <c r="X494" s="2">
        <v>0</v>
      </c>
      <c r="Z494" t="s">
        <v>27</v>
      </c>
      <c r="AA494" s="1">
        <v>0</v>
      </c>
      <c r="AB494" s="1">
        <v>0</v>
      </c>
      <c r="AC494" s="2">
        <v>0</v>
      </c>
    </row>
    <row r="495" spans="1:29" x14ac:dyDescent="0.35">
      <c r="A495" t="s">
        <v>28</v>
      </c>
      <c r="B495" s="1">
        <v>0</v>
      </c>
      <c r="C495" s="1">
        <v>0</v>
      </c>
      <c r="D495" s="2">
        <v>0</v>
      </c>
      <c r="F495" t="s">
        <v>28</v>
      </c>
      <c r="G495" s="1">
        <v>0</v>
      </c>
      <c r="H495" s="1">
        <v>0</v>
      </c>
      <c r="I495" s="2">
        <v>0</v>
      </c>
      <c r="K495" t="s">
        <v>28</v>
      </c>
      <c r="L495" s="1">
        <v>0</v>
      </c>
      <c r="M495" s="1">
        <v>0</v>
      </c>
      <c r="N495" s="2">
        <v>0</v>
      </c>
      <c r="P495" t="s">
        <v>28</v>
      </c>
      <c r="Q495" s="1">
        <v>0</v>
      </c>
      <c r="R495" s="1">
        <v>0</v>
      </c>
      <c r="S495" s="2">
        <v>0</v>
      </c>
      <c r="U495" t="s">
        <v>28</v>
      </c>
      <c r="V495" s="2">
        <v>0</v>
      </c>
      <c r="W495" s="2">
        <v>0</v>
      </c>
      <c r="X495" s="2">
        <v>0</v>
      </c>
      <c r="Z495" t="s">
        <v>28</v>
      </c>
      <c r="AA495" s="1">
        <v>0</v>
      </c>
      <c r="AB495" s="1">
        <v>0</v>
      </c>
      <c r="AC495" s="2">
        <v>0</v>
      </c>
    </row>
    <row r="496" spans="1:29" x14ac:dyDescent="0.35">
      <c r="A496" t="s">
        <v>29</v>
      </c>
      <c r="B496" s="1">
        <v>0</v>
      </c>
      <c r="C496" s="1">
        <v>0</v>
      </c>
      <c r="D496" s="2">
        <v>0</v>
      </c>
      <c r="F496" t="s">
        <v>29</v>
      </c>
      <c r="G496" s="1">
        <v>0</v>
      </c>
      <c r="H496" s="1">
        <v>0</v>
      </c>
      <c r="I496" s="2">
        <v>0</v>
      </c>
      <c r="K496" t="s">
        <v>29</v>
      </c>
      <c r="L496" s="1">
        <v>0</v>
      </c>
      <c r="M496" s="1">
        <v>0</v>
      </c>
      <c r="N496" s="2">
        <v>0</v>
      </c>
      <c r="P496" t="s">
        <v>29</v>
      </c>
      <c r="Q496" s="1">
        <v>0</v>
      </c>
      <c r="R496" s="1">
        <v>0</v>
      </c>
      <c r="S496" s="2">
        <v>0</v>
      </c>
      <c r="U496" t="s">
        <v>29</v>
      </c>
      <c r="V496" s="2">
        <v>0</v>
      </c>
      <c r="W496" s="2">
        <v>0</v>
      </c>
      <c r="X496" s="2">
        <v>0</v>
      </c>
      <c r="Z496" t="s">
        <v>29</v>
      </c>
      <c r="AA496" s="1">
        <v>0</v>
      </c>
      <c r="AB496" s="1">
        <v>0</v>
      </c>
      <c r="AC496" s="2">
        <v>0</v>
      </c>
    </row>
    <row r="497" spans="1:29" x14ac:dyDescent="0.35">
      <c r="A497" t="s">
        <v>30</v>
      </c>
      <c r="B497" s="1">
        <v>0</v>
      </c>
      <c r="C497" s="1">
        <v>0</v>
      </c>
      <c r="D497" s="2">
        <v>0</v>
      </c>
      <c r="F497" t="s">
        <v>30</v>
      </c>
      <c r="G497" s="1">
        <v>0</v>
      </c>
      <c r="H497" s="1">
        <v>0</v>
      </c>
      <c r="I497" s="2">
        <v>0</v>
      </c>
      <c r="K497" t="s">
        <v>30</v>
      </c>
      <c r="L497" s="1">
        <v>0</v>
      </c>
      <c r="M497" s="1">
        <v>0</v>
      </c>
      <c r="N497" s="2">
        <v>0</v>
      </c>
      <c r="P497" t="s">
        <v>30</v>
      </c>
      <c r="Q497" s="1">
        <v>0</v>
      </c>
      <c r="R497" s="1">
        <v>0</v>
      </c>
      <c r="S497" s="2">
        <v>0</v>
      </c>
      <c r="U497" t="s">
        <v>30</v>
      </c>
      <c r="V497" s="2">
        <v>0</v>
      </c>
      <c r="W497" s="2">
        <v>0</v>
      </c>
      <c r="X497" s="2">
        <v>0</v>
      </c>
      <c r="Z497" t="s">
        <v>30</v>
      </c>
      <c r="AA497" s="1">
        <v>0</v>
      </c>
      <c r="AB497" s="1">
        <v>0</v>
      </c>
      <c r="AC497" s="2">
        <v>0</v>
      </c>
    </row>
    <row r="498" spans="1:29" x14ac:dyDescent="0.35">
      <c r="A498" s="19" t="s">
        <v>90</v>
      </c>
      <c r="B498" s="20">
        <v>0</v>
      </c>
      <c r="C498" s="20">
        <v>0</v>
      </c>
      <c r="D498" s="20">
        <v>0</v>
      </c>
      <c r="F498" s="19" t="s">
        <v>90</v>
      </c>
      <c r="G498" s="20">
        <v>0</v>
      </c>
      <c r="H498" s="20">
        <v>0</v>
      </c>
      <c r="I498" s="20">
        <v>0</v>
      </c>
      <c r="K498" s="19" t="s">
        <v>90</v>
      </c>
      <c r="L498" s="20">
        <v>0</v>
      </c>
      <c r="M498" s="20">
        <v>0</v>
      </c>
      <c r="N498" s="20">
        <v>0</v>
      </c>
      <c r="P498" s="19" t="s">
        <v>90</v>
      </c>
      <c r="Q498" s="20">
        <v>0</v>
      </c>
      <c r="R498" s="20">
        <v>0</v>
      </c>
      <c r="S498" s="20">
        <v>0</v>
      </c>
      <c r="U498" s="19" t="s">
        <v>90</v>
      </c>
      <c r="V498" s="20">
        <v>0</v>
      </c>
      <c r="W498" s="20">
        <v>0</v>
      </c>
      <c r="X498" s="20">
        <v>0</v>
      </c>
      <c r="Z498" s="19" t="s">
        <v>90</v>
      </c>
      <c r="AA498" s="20">
        <v>0</v>
      </c>
      <c r="AB498" s="20">
        <v>0</v>
      </c>
      <c r="AC498" s="20">
        <v>0</v>
      </c>
    </row>
    <row r="499" spans="1:29" x14ac:dyDescent="0.35">
      <c r="B499" s="2"/>
      <c r="C499" s="15"/>
      <c r="D499" s="12"/>
      <c r="G499" s="2"/>
      <c r="H499" s="15"/>
      <c r="I499" s="12"/>
      <c r="L499" s="2"/>
      <c r="M499" s="15"/>
      <c r="N499" s="12"/>
      <c r="Q499" s="2"/>
      <c r="R499" s="15"/>
      <c r="S499" s="12"/>
      <c r="V499" s="2"/>
      <c r="W499" s="15"/>
      <c r="X499" s="2"/>
      <c r="AA499" s="2"/>
      <c r="AB499" s="15"/>
      <c r="AC499" s="2"/>
    </row>
    <row r="500" spans="1:29" x14ac:dyDescent="0.35">
      <c r="B500" s="2"/>
      <c r="C500" s="15"/>
      <c r="D500" s="12"/>
      <c r="G500" s="2"/>
      <c r="H500" s="15"/>
      <c r="I500" s="12"/>
      <c r="L500" s="2"/>
      <c r="M500" s="15"/>
      <c r="N500" s="12"/>
      <c r="Q500" s="2"/>
      <c r="R500" s="15"/>
      <c r="S500" s="12"/>
      <c r="V500" s="2"/>
      <c r="W500" s="15"/>
      <c r="X500" s="2"/>
      <c r="AA500" s="2"/>
      <c r="AB500" s="15"/>
      <c r="AC500" s="2"/>
    </row>
    <row r="501" spans="1:29" x14ac:dyDescent="0.35">
      <c r="A501" t="s">
        <v>89</v>
      </c>
      <c r="B501" s="1">
        <v>0</v>
      </c>
      <c r="C501" s="1">
        <v>0</v>
      </c>
      <c r="D501" s="2">
        <v>0</v>
      </c>
      <c r="F501" t="s">
        <v>89</v>
      </c>
      <c r="G501" s="1">
        <v>0</v>
      </c>
      <c r="H501" s="1">
        <v>0</v>
      </c>
      <c r="I501" s="2">
        <v>0</v>
      </c>
      <c r="K501" t="s">
        <v>89</v>
      </c>
      <c r="L501" s="1">
        <v>0</v>
      </c>
      <c r="M501" s="1">
        <v>0</v>
      </c>
      <c r="N501" s="2">
        <v>0</v>
      </c>
      <c r="P501" t="s">
        <v>89</v>
      </c>
      <c r="Q501" s="1">
        <v>0</v>
      </c>
      <c r="R501" s="1">
        <v>0</v>
      </c>
      <c r="S501" s="2">
        <v>0</v>
      </c>
      <c r="U501" t="s">
        <v>89</v>
      </c>
      <c r="V501" s="2">
        <v>0</v>
      </c>
      <c r="W501" s="2">
        <v>0</v>
      </c>
      <c r="X501" s="2">
        <v>0</v>
      </c>
      <c r="Z501" s="16" t="s">
        <v>89</v>
      </c>
      <c r="AA501" s="27">
        <v>0</v>
      </c>
      <c r="AB501" s="28">
        <v>0</v>
      </c>
      <c r="AC501" s="17">
        <v>0</v>
      </c>
    </row>
    <row r="502" spans="1:29" x14ac:dyDescent="0.35">
      <c r="A502" s="13"/>
      <c r="B502" s="155"/>
      <c r="C502" s="156"/>
      <c r="D502" s="215"/>
      <c r="F502" s="13"/>
      <c r="G502" s="155"/>
      <c r="H502" s="156"/>
      <c r="I502" s="215"/>
      <c r="K502" s="13"/>
      <c r="L502" s="155"/>
      <c r="M502" s="156"/>
      <c r="N502" s="215"/>
      <c r="P502" s="13"/>
      <c r="Q502" s="155"/>
      <c r="R502" s="156"/>
      <c r="S502" s="215"/>
      <c r="V502" s="2"/>
      <c r="W502" s="15"/>
      <c r="X502" s="2"/>
      <c r="AA502" s="2"/>
      <c r="AB502" s="15"/>
      <c r="AC502" s="2"/>
    </row>
    <row r="503" spans="1:29" x14ac:dyDescent="0.35">
      <c r="B503" s="2"/>
      <c r="C503" s="15"/>
      <c r="D503" s="12"/>
      <c r="G503" s="2"/>
      <c r="H503" s="15"/>
      <c r="I503" s="12"/>
      <c r="L503" s="2"/>
      <c r="M503" s="15"/>
      <c r="N503" s="12"/>
      <c r="Q503" s="2"/>
      <c r="R503" s="15"/>
      <c r="S503" s="12"/>
      <c r="V503" s="2"/>
      <c r="W503" s="15"/>
      <c r="X503" s="2"/>
      <c r="AC503" s="2"/>
    </row>
    <row r="504" spans="1:29" x14ac:dyDescent="0.35">
      <c r="B504" s="2"/>
      <c r="C504" s="15"/>
      <c r="D504" s="12"/>
      <c r="G504" s="2"/>
      <c r="H504" s="15"/>
      <c r="I504" s="12"/>
      <c r="L504" s="2"/>
      <c r="M504" s="15"/>
      <c r="N504" s="12"/>
      <c r="Q504" s="2"/>
      <c r="R504" s="15"/>
      <c r="S504" s="12"/>
      <c r="V504" s="2"/>
      <c r="W504" s="15"/>
      <c r="X504" s="2"/>
      <c r="AC504" s="2"/>
    </row>
    <row r="505" spans="1:29" x14ac:dyDescent="0.35">
      <c r="A505" t="s">
        <v>31</v>
      </c>
      <c r="B505" s="1">
        <v>0</v>
      </c>
      <c r="C505" s="1">
        <v>0</v>
      </c>
      <c r="D505" s="2">
        <v>0</v>
      </c>
      <c r="F505" t="s">
        <v>31</v>
      </c>
      <c r="G505" s="1">
        <v>0</v>
      </c>
      <c r="H505" s="1">
        <v>0</v>
      </c>
      <c r="I505" s="2">
        <v>0</v>
      </c>
      <c r="K505" t="s">
        <v>31</v>
      </c>
      <c r="L505" s="1">
        <v>0</v>
      </c>
      <c r="M505" s="1">
        <v>0</v>
      </c>
      <c r="N505" s="2">
        <v>0</v>
      </c>
      <c r="P505" t="s">
        <v>31</v>
      </c>
      <c r="Q505" s="1">
        <v>0</v>
      </c>
      <c r="R505" s="1">
        <v>0</v>
      </c>
      <c r="S505" s="2">
        <v>0</v>
      </c>
      <c r="U505" t="s">
        <v>31</v>
      </c>
      <c r="V505" s="2">
        <v>0</v>
      </c>
      <c r="W505" s="2">
        <v>0</v>
      </c>
      <c r="X505" s="2">
        <v>0</v>
      </c>
      <c r="Z505" t="s">
        <v>31</v>
      </c>
      <c r="AA505" s="1">
        <v>0</v>
      </c>
      <c r="AB505" s="1">
        <v>0</v>
      </c>
      <c r="AC505" s="2">
        <v>0</v>
      </c>
    </row>
    <row r="506" spans="1:29" x14ac:dyDescent="0.35">
      <c r="A506" t="s">
        <v>32</v>
      </c>
      <c r="B506" s="1">
        <v>0</v>
      </c>
      <c r="C506" s="1">
        <v>0</v>
      </c>
      <c r="D506" s="2">
        <v>0</v>
      </c>
      <c r="F506" t="s">
        <v>32</v>
      </c>
      <c r="G506" s="1">
        <v>0</v>
      </c>
      <c r="H506" s="1">
        <v>0</v>
      </c>
      <c r="I506" s="2">
        <v>0</v>
      </c>
      <c r="K506" t="s">
        <v>32</v>
      </c>
      <c r="L506" s="1">
        <v>0</v>
      </c>
      <c r="M506" s="1">
        <v>0</v>
      </c>
      <c r="N506" s="2">
        <v>0</v>
      </c>
      <c r="P506" t="s">
        <v>32</v>
      </c>
      <c r="Q506" s="1">
        <v>0</v>
      </c>
      <c r="R506" s="1">
        <v>0</v>
      </c>
      <c r="S506" s="2">
        <v>0</v>
      </c>
      <c r="U506" t="s">
        <v>32</v>
      </c>
      <c r="V506" s="2">
        <v>0</v>
      </c>
      <c r="W506" s="2">
        <v>0</v>
      </c>
      <c r="X506" s="2">
        <v>0</v>
      </c>
      <c r="Z506" t="s">
        <v>32</v>
      </c>
      <c r="AA506" s="1">
        <v>0</v>
      </c>
      <c r="AB506" s="1">
        <v>0</v>
      </c>
      <c r="AC506" s="2">
        <v>0</v>
      </c>
    </row>
    <row r="507" spans="1:29" x14ac:dyDescent="0.35">
      <c r="A507" s="19" t="s">
        <v>33</v>
      </c>
      <c r="B507" s="20">
        <v>0</v>
      </c>
      <c r="C507" s="20">
        <v>0</v>
      </c>
      <c r="D507" s="20">
        <v>0</v>
      </c>
      <c r="F507" s="19" t="s">
        <v>33</v>
      </c>
      <c r="G507" s="20">
        <v>0</v>
      </c>
      <c r="H507" s="20">
        <v>0</v>
      </c>
      <c r="I507" s="20">
        <v>0</v>
      </c>
      <c r="K507" s="19" t="s">
        <v>33</v>
      </c>
      <c r="L507" s="20">
        <v>0</v>
      </c>
      <c r="M507" s="20">
        <v>0</v>
      </c>
      <c r="N507" s="20">
        <v>0</v>
      </c>
      <c r="P507" s="19" t="s">
        <v>33</v>
      </c>
      <c r="Q507" s="20">
        <v>0</v>
      </c>
      <c r="R507" s="20">
        <v>0</v>
      </c>
      <c r="S507" s="20">
        <v>0</v>
      </c>
      <c r="U507" s="19" t="s">
        <v>33</v>
      </c>
      <c r="V507" s="20">
        <v>0</v>
      </c>
      <c r="W507" s="20">
        <v>0</v>
      </c>
      <c r="X507" s="20">
        <v>0</v>
      </c>
      <c r="Z507" s="25" t="s">
        <v>33</v>
      </c>
      <c r="AA507" s="20">
        <v>0</v>
      </c>
      <c r="AB507" s="20">
        <v>0</v>
      </c>
      <c r="AC507" s="20">
        <v>0</v>
      </c>
    </row>
    <row r="508" spans="1:29" x14ac:dyDescent="0.35">
      <c r="B508" s="2"/>
      <c r="C508" s="15"/>
      <c r="D508" s="12"/>
      <c r="G508" s="2"/>
      <c r="H508" s="15"/>
      <c r="I508" s="12"/>
      <c r="L508" s="2"/>
      <c r="M508" s="15"/>
      <c r="N508" s="12"/>
      <c r="Q508" s="2"/>
      <c r="R508" s="15"/>
      <c r="S508" s="12"/>
      <c r="V508" s="2"/>
      <c r="W508" s="15"/>
      <c r="X508" s="2"/>
      <c r="AA508" s="2"/>
      <c r="AB508" s="15"/>
      <c r="AC508" s="2"/>
    </row>
    <row r="509" spans="1:29" x14ac:dyDescent="0.35">
      <c r="B509" s="2"/>
      <c r="C509" s="15"/>
      <c r="D509" s="12"/>
      <c r="G509" s="2"/>
      <c r="H509" s="15"/>
      <c r="I509" s="12"/>
      <c r="L509" s="2"/>
      <c r="M509" s="15"/>
      <c r="N509" s="12"/>
      <c r="Q509" s="2"/>
      <c r="R509" s="15"/>
      <c r="S509" s="12"/>
      <c r="V509" s="2"/>
      <c r="W509" s="15"/>
      <c r="X509" s="2"/>
      <c r="AA509" s="2"/>
      <c r="AB509" s="15"/>
      <c r="AC509" s="2"/>
    </row>
    <row r="510" spans="1:29" x14ac:dyDescent="0.35">
      <c r="A510" t="s">
        <v>35</v>
      </c>
      <c r="B510" s="1">
        <v>0</v>
      </c>
      <c r="C510" s="1">
        <v>108825827.2</v>
      </c>
      <c r="D510" s="2">
        <v>108825827.2</v>
      </c>
      <c r="F510" t="s">
        <v>35</v>
      </c>
      <c r="G510" s="1">
        <v>0</v>
      </c>
      <c r="H510" s="1">
        <v>39672004.32</v>
      </c>
      <c r="I510" s="2">
        <v>39672004.32</v>
      </c>
      <c r="K510" t="s">
        <v>35</v>
      </c>
      <c r="L510" s="1">
        <v>0</v>
      </c>
      <c r="M510" s="1">
        <v>22857861.880000003</v>
      </c>
      <c r="N510" s="2">
        <v>22857861.880000003</v>
      </c>
      <c r="P510" t="s">
        <v>35</v>
      </c>
      <c r="Q510" s="1">
        <v>0</v>
      </c>
      <c r="R510" s="1">
        <v>62529866.200000003</v>
      </c>
      <c r="S510" s="2">
        <v>62529866.200000003</v>
      </c>
      <c r="U510" t="s">
        <v>35</v>
      </c>
      <c r="V510" s="2">
        <v>0</v>
      </c>
      <c r="W510" s="2">
        <v>27005846.090000004</v>
      </c>
      <c r="X510" s="2">
        <v>27005846.090000004</v>
      </c>
      <c r="Z510" t="s">
        <v>35</v>
      </c>
      <c r="AA510" s="1">
        <v>0</v>
      </c>
      <c r="AB510" s="1">
        <v>19290114.909999996</v>
      </c>
      <c r="AC510" s="2">
        <v>19290114.909999996</v>
      </c>
    </row>
    <row r="511" spans="1:29" x14ac:dyDescent="0.35">
      <c r="A511" t="s">
        <v>36</v>
      </c>
      <c r="B511" s="1">
        <v>-2287170.34</v>
      </c>
      <c r="C511" s="1">
        <v>-104059763.75</v>
      </c>
      <c r="D511" s="2">
        <v>-106346934.09</v>
      </c>
      <c r="F511" t="s">
        <v>36</v>
      </c>
      <c r="G511" s="1">
        <v>-1437309.08</v>
      </c>
      <c r="H511" s="1">
        <v>-35842428.410000004</v>
      </c>
      <c r="I511" s="2">
        <v>-37279737.490000002</v>
      </c>
      <c r="K511" t="s">
        <v>36</v>
      </c>
      <c r="L511" s="1">
        <v>-439792.08999999985</v>
      </c>
      <c r="M511" s="1">
        <v>-23681549.189999998</v>
      </c>
      <c r="N511" s="2">
        <v>-24121341.279999997</v>
      </c>
      <c r="P511" t="s">
        <v>36</v>
      </c>
      <c r="Q511" s="1">
        <v>-1877101.17</v>
      </c>
      <c r="R511" s="1">
        <v>-59523977.600000001</v>
      </c>
      <c r="S511" s="2">
        <v>-61401078.770000003</v>
      </c>
      <c r="U511" t="s">
        <v>36</v>
      </c>
      <c r="V511" s="2">
        <v>-268571.37999999989</v>
      </c>
      <c r="W511" s="2">
        <v>-26253072.029999994</v>
      </c>
      <c r="X511" s="2">
        <v>-26521643.409999993</v>
      </c>
      <c r="Z511" t="s">
        <v>36</v>
      </c>
      <c r="AA511" s="1">
        <v>-141497.79000000004</v>
      </c>
      <c r="AB511" s="1">
        <v>-18282714.120000005</v>
      </c>
      <c r="AC511" s="2">
        <v>-18424211.910000008</v>
      </c>
    </row>
    <row r="512" spans="1:29" x14ac:dyDescent="0.35">
      <c r="A512" s="19" t="s">
        <v>37</v>
      </c>
      <c r="B512" s="20">
        <v>-2287170.34</v>
      </c>
      <c r="C512" s="20">
        <v>4766063.450000003</v>
      </c>
      <c r="D512" s="20">
        <v>2478893.1100000031</v>
      </c>
      <c r="F512" s="19" t="s">
        <v>37</v>
      </c>
      <c r="G512" s="20">
        <v>-1437309.08</v>
      </c>
      <c r="H512" s="20">
        <v>3829575.9099999964</v>
      </c>
      <c r="I512" s="20">
        <v>2392266.8299999963</v>
      </c>
      <c r="K512" s="19" t="s">
        <v>37</v>
      </c>
      <c r="L512" s="20">
        <v>-439792.08999999985</v>
      </c>
      <c r="M512" s="20">
        <v>-823687.30999999493</v>
      </c>
      <c r="N512" s="20">
        <v>-1263479.3999999948</v>
      </c>
      <c r="P512" s="19" t="s">
        <v>37</v>
      </c>
      <c r="Q512" s="20">
        <v>-1877101.17</v>
      </c>
      <c r="R512" s="20">
        <v>3005888.6000000015</v>
      </c>
      <c r="S512" s="20">
        <v>1128787.4300000016</v>
      </c>
      <c r="U512" s="19" t="s">
        <v>37</v>
      </c>
      <c r="V512" s="20">
        <v>-268571.37999999989</v>
      </c>
      <c r="W512" s="20">
        <v>752774.06000000983</v>
      </c>
      <c r="X512" s="20">
        <v>484202.68000000995</v>
      </c>
      <c r="Z512" s="25" t="s">
        <v>37</v>
      </c>
      <c r="AA512" s="20">
        <v>-141497.79000000004</v>
      </c>
      <c r="AB512" s="20">
        <v>1007400.7899999917</v>
      </c>
      <c r="AC512" s="20">
        <v>865902.99999999162</v>
      </c>
    </row>
    <row r="513" spans="1:29" x14ac:dyDescent="0.35">
      <c r="B513" s="2"/>
      <c r="C513" s="15"/>
      <c r="D513" s="12"/>
      <c r="G513" s="2"/>
      <c r="H513" s="15"/>
      <c r="I513" s="12"/>
      <c r="L513" s="2"/>
      <c r="M513" s="15"/>
      <c r="N513" s="12"/>
      <c r="Q513" s="2"/>
      <c r="R513" s="15"/>
      <c r="S513" s="12"/>
      <c r="V513" s="2"/>
      <c r="W513" s="15"/>
      <c r="X513" s="2"/>
      <c r="AA513" s="2"/>
      <c r="AB513" s="15"/>
      <c r="AC513" s="2"/>
    </row>
    <row r="514" spans="1:29" x14ac:dyDescent="0.35">
      <c r="A514" t="s">
        <v>212</v>
      </c>
      <c r="B514" s="1">
        <v>0</v>
      </c>
      <c r="C514" s="1">
        <v>0</v>
      </c>
      <c r="D514" s="12"/>
      <c r="F514" t="s">
        <v>212</v>
      </c>
      <c r="G514" s="1">
        <v>0</v>
      </c>
      <c r="H514" s="1">
        <v>0</v>
      </c>
      <c r="I514" s="2">
        <v>0</v>
      </c>
      <c r="K514" t="s">
        <v>212</v>
      </c>
      <c r="L514" s="2"/>
      <c r="M514" s="15"/>
      <c r="N514" s="12"/>
      <c r="P514" t="s">
        <v>212</v>
      </c>
      <c r="Q514" s="1">
        <v>0</v>
      </c>
      <c r="R514" s="1">
        <v>0</v>
      </c>
      <c r="S514" s="2">
        <v>0</v>
      </c>
      <c r="U514" t="s">
        <v>212</v>
      </c>
      <c r="V514" s="2">
        <v>0</v>
      </c>
      <c r="W514" s="2">
        <v>0</v>
      </c>
      <c r="X514" s="2"/>
      <c r="Z514" t="s">
        <v>212</v>
      </c>
      <c r="AA514" s="2"/>
      <c r="AB514" s="15"/>
      <c r="AC514" s="2"/>
    </row>
    <row r="515" spans="1:29" x14ac:dyDescent="0.35">
      <c r="A515" t="s">
        <v>38</v>
      </c>
      <c r="B515" s="1">
        <v>0</v>
      </c>
      <c r="C515" s="1">
        <v>-6059511.142098547</v>
      </c>
      <c r="D515" s="2">
        <v>-6059511.142098547</v>
      </c>
      <c r="F515" t="s">
        <v>38</v>
      </c>
      <c r="G515" s="1">
        <v>0</v>
      </c>
      <c r="H515" s="1">
        <v>-1239173.3764902903</v>
      </c>
      <c r="I515" s="2">
        <v>-1239173.3764902903</v>
      </c>
      <c r="K515" t="s">
        <v>38</v>
      </c>
      <c r="L515" s="1">
        <v>0</v>
      </c>
      <c r="M515" s="1">
        <v>-1581856.31302612</v>
      </c>
      <c r="N515" s="2">
        <v>-1581856.31302612</v>
      </c>
      <c r="P515" t="s">
        <v>38</v>
      </c>
      <c r="Q515" s="1">
        <v>0</v>
      </c>
      <c r="R515" s="1">
        <v>-2821029.6895164102</v>
      </c>
      <c r="S515" s="2">
        <v>-2821029.6895164102</v>
      </c>
      <c r="U515" t="s">
        <v>38</v>
      </c>
      <c r="V515" s="2">
        <v>0</v>
      </c>
      <c r="W515" s="2">
        <v>-1621699.5010341629</v>
      </c>
      <c r="X515" s="2">
        <v>-1621699.5010341629</v>
      </c>
      <c r="Z515" t="s">
        <v>38</v>
      </c>
      <c r="AA515" s="1">
        <v>0</v>
      </c>
      <c r="AB515" s="1">
        <v>-1616781.9515479738</v>
      </c>
      <c r="AC515" s="2">
        <v>-1616781.9515479738</v>
      </c>
    </row>
    <row r="516" spans="1:29" x14ac:dyDescent="0.35">
      <c r="A516" t="s">
        <v>78</v>
      </c>
      <c r="B516" s="1">
        <v>0</v>
      </c>
      <c r="C516" s="1">
        <v>-54729753.987293079</v>
      </c>
      <c r="D516" s="2">
        <v>-54729753.987293079</v>
      </c>
      <c r="F516" t="s">
        <v>78</v>
      </c>
      <c r="G516" s="1">
        <v>0</v>
      </c>
      <c r="H516" s="1">
        <v>-11686404.843684722</v>
      </c>
      <c r="I516" s="2">
        <v>-11686404.843684722</v>
      </c>
      <c r="K516" t="s">
        <v>78</v>
      </c>
      <c r="L516" s="1">
        <v>0</v>
      </c>
      <c r="M516" s="1">
        <v>-13260390.76066139</v>
      </c>
      <c r="N516" s="2">
        <v>-13260390.76066139</v>
      </c>
      <c r="P516" t="s">
        <v>78</v>
      </c>
      <c r="Q516" s="1">
        <v>0</v>
      </c>
      <c r="R516" s="1">
        <v>-24946795.604346111</v>
      </c>
      <c r="S516" s="2">
        <v>-24946795.604346111</v>
      </c>
      <c r="U516" t="s">
        <v>78</v>
      </c>
      <c r="V516" s="2">
        <v>0</v>
      </c>
      <c r="W516" s="2">
        <v>-13901452.346975997</v>
      </c>
      <c r="X516" s="2">
        <v>-13901452.346975997</v>
      </c>
      <c r="Z516" t="s">
        <v>78</v>
      </c>
      <c r="AA516" s="1">
        <v>0</v>
      </c>
      <c r="AB516" s="1">
        <v>-15881506.035970971</v>
      </c>
      <c r="AC516" s="2">
        <v>-15881506.035970971</v>
      </c>
    </row>
    <row r="517" spans="1:29" x14ac:dyDescent="0.35">
      <c r="A517" t="s">
        <v>39</v>
      </c>
      <c r="B517" s="1">
        <v>0</v>
      </c>
      <c r="C517" s="1">
        <v>-150578642.82647952</v>
      </c>
      <c r="D517" s="2">
        <v>-150578642.82647952</v>
      </c>
      <c r="F517" t="s">
        <v>39</v>
      </c>
      <c r="G517" s="1">
        <v>0</v>
      </c>
      <c r="H517" s="1">
        <v>-22855386.579484634</v>
      </c>
      <c r="I517" s="2">
        <v>-22855386.579484634</v>
      </c>
      <c r="K517" t="s">
        <v>39</v>
      </c>
      <c r="L517" s="1">
        <v>0</v>
      </c>
      <c r="M517" s="1">
        <v>-45176250.373158567</v>
      </c>
      <c r="N517" s="2">
        <v>-45176250.373158567</v>
      </c>
      <c r="P517" t="s">
        <v>39</v>
      </c>
      <c r="Q517" s="1">
        <v>0</v>
      </c>
      <c r="R517" s="1">
        <v>-68031636.952643201</v>
      </c>
      <c r="S517" s="2">
        <v>-68031636.952643201</v>
      </c>
      <c r="U517" t="s">
        <v>39</v>
      </c>
      <c r="V517" s="2">
        <v>0</v>
      </c>
      <c r="W517" s="2">
        <v>-35964323.438907221</v>
      </c>
      <c r="X517" s="2">
        <v>-35964323.438907221</v>
      </c>
      <c r="Z517" t="s">
        <v>39</v>
      </c>
      <c r="AA517" s="1">
        <v>0</v>
      </c>
      <c r="AB517" s="1">
        <v>-46582682.434929103</v>
      </c>
      <c r="AC517" s="2">
        <v>-46582682.434929103</v>
      </c>
    </row>
    <row r="518" spans="1:29" x14ac:dyDescent="0.35">
      <c r="A518" t="s">
        <v>40</v>
      </c>
      <c r="B518" s="1">
        <v>0</v>
      </c>
      <c r="C518" s="1">
        <v>-1201995.9400000002</v>
      </c>
      <c r="D518" s="2">
        <v>-1201995.9400000002</v>
      </c>
      <c r="F518" t="s">
        <v>40</v>
      </c>
      <c r="G518" s="1">
        <v>0</v>
      </c>
      <c r="H518" s="1">
        <v>-608450.1</v>
      </c>
      <c r="I518" s="2">
        <v>-608450.1</v>
      </c>
      <c r="K518" t="s">
        <v>40</v>
      </c>
      <c r="L518" s="1">
        <v>0</v>
      </c>
      <c r="M518" s="1">
        <v>-198951.02000000002</v>
      </c>
      <c r="N518" s="2">
        <v>-198951.02000000002</v>
      </c>
      <c r="P518" t="s">
        <v>40</v>
      </c>
      <c r="Q518" s="1">
        <v>0</v>
      </c>
      <c r="R518" s="1">
        <v>-807401.12</v>
      </c>
      <c r="S518" s="2">
        <v>-807401.12</v>
      </c>
      <c r="U518" t="s">
        <v>40</v>
      </c>
      <c r="V518" s="2">
        <v>0</v>
      </c>
      <c r="W518" s="2">
        <v>-209488.43999999994</v>
      </c>
      <c r="X518" s="2">
        <v>-209488.43999999994</v>
      </c>
      <c r="Z518" t="s">
        <v>40</v>
      </c>
      <c r="AA518" s="1">
        <v>0</v>
      </c>
      <c r="AB518" s="1">
        <v>-185106.38000000024</v>
      </c>
      <c r="AC518" s="2">
        <v>-185106.38000000024</v>
      </c>
    </row>
    <row r="519" spans="1:29" x14ac:dyDescent="0.35">
      <c r="A519" t="s">
        <v>41</v>
      </c>
      <c r="B519" s="1">
        <v>0</v>
      </c>
      <c r="C519" s="1">
        <v>-55508</v>
      </c>
      <c r="D519" s="2">
        <v>-55508</v>
      </c>
      <c r="F519" t="s">
        <v>41</v>
      </c>
      <c r="G519" s="1">
        <v>0</v>
      </c>
      <c r="H519" s="1">
        <v>-4005</v>
      </c>
      <c r="I519" s="2">
        <v>-4005</v>
      </c>
      <c r="K519" t="s">
        <v>41</v>
      </c>
      <c r="L519" s="1">
        <v>0</v>
      </c>
      <c r="M519" s="1">
        <v>0</v>
      </c>
      <c r="N519" s="2">
        <v>0</v>
      </c>
      <c r="P519" t="s">
        <v>41</v>
      </c>
      <c r="Q519" s="1">
        <v>0</v>
      </c>
      <c r="R519" s="1">
        <v>-4005</v>
      </c>
      <c r="S519" s="2">
        <v>-4005</v>
      </c>
      <c r="U519" t="s">
        <v>41</v>
      </c>
      <c r="V519" s="2">
        <v>0</v>
      </c>
      <c r="W519" s="2">
        <v>2308</v>
      </c>
      <c r="X519" s="2">
        <v>2308</v>
      </c>
      <c r="Z519" t="s">
        <v>41</v>
      </c>
      <c r="AA519" s="1">
        <v>0</v>
      </c>
      <c r="AB519" s="1">
        <v>-53811</v>
      </c>
      <c r="AC519" s="2">
        <v>-53811</v>
      </c>
    </row>
    <row r="520" spans="1:29" x14ac:dyDescent="0.35">
      <c r="A520" t="s">
        <v>42</v>
      </c>
      <c r="B520" s="1">
        <v>0</v>
      </c>
      <c r="C520" s="1">
        <v>-1345615.0009921882</v>
      </c>
      <c r="D520" s="2">
        <v>-1345615.0009921882</v>
      </c>
      <c r="F520" t="s">
        <v>42</v>
      </c>
      <c r="G520" s="1">
        <v>0</v>
      </c>
      <c r="H520" s="1">
        <v>-291045.38956867816</v>
      </c>
      <c r="I520" s="2">
        <v>-291045.38956867816</v>
      </c>
      <c r="K520" t="s">
        <v>42</v>
      </c>
      <c r="L520" s="1">
        <v>0</v>
      </c>
      <c r="M520" s="1">
        <v>-349746.45376020361</v>
      </c>
      <c r="N520" s="2">
        <v>-349746.45376020361</v>
      </c>
      <c r="P520" t="s">
        <v>42</v>
      </c>
      <c r="Q520" s="1">
        <v>0</v>
      </c>
      <c r="R520" s="1">
        <v>-640791.84332888178</v>
      </c>
      <c r="S520" s="2">
        <v>-640791.84332888178</v>
      </c>
      <c r="U520" t="s">
        <v>42</v>
      </c>
      <c r="V520" s="2">
        <v>0</v>
      </c>
      <c r="W520" s="2">
        <v>-358233.94898592995</v>
      </c>
      <c r="X520" s="2">
        <v>-358233.94898592995</v>
      </c>
      <c r="Z520" t="s">
        <v>42</v>
      </c>
      <c r="AA520" s="1">
        <v>0</v>
      </c>
      <c r="AB520" s="1">
        <v>-346589.2086773765</v>
      </c>
      <c r="AC520" s="2">
        <v>-346589.2086773765</v>
      </c>
    </row>
    <row r="521" spans="1:29" x14ac:dyDescent="0.35">
      <c r="A521" t="s">
        <v>4</v>
      </c>
      <c r="B521" s="1">
        <v>0</v>
      </c>
      <c r="C521" s="1">
        <v>-58354433.93372722</v>
      </c>
      <c r="D521" s="2">
        <v>-58354433.93372722</v>
      </c>
      <c r="F521" t="s">
        <v>4</v>
      </c>
      <c r="G521" s="1">
        <v>0</v>
      </c>
      <c r="H521" s="1">
        <v>-33443020.189838946</v>
      </c>
      <c r="I521" s="2">
        <v>-33443020.189838946</v>
      </c>
      <c r="K521" t="s">
        <v>4</v>
      </c>
      <c r="L521" s="1">
        <v>0</v>
      </c>
      <c r="M521" s="1">
        <v>-13557551.537723504</v>
      </c>
      <c r="N521" s="2">
        <v>-13557551.537723504</v>
      </c>
      <c r="P521" t="s">
        <v>4</v>
      </c>
      <c r="Q521" s="1">
        <v>0</v>
      </c>
      <c r="R521" s="1">
        <v>-47000571.72756245</v>
      </c>
      <c r="S521" s="2">
        <v>-47000571.72756245</v>
      </c>
      <c r="U521" t="s">
        <v>4</v>
      </c>
      <c r="V521" s="2">
        <v>0</v>
      </c>
      <c r="W521" s="2">
        <v>-6321198.9624333829</v>
      </c>
      <c r="X521" s="2">
        <v>-6321198.9624333829</v>
      </c>
      <c r="Z521" t="s">
        <v>4</v>
      </c>
      <c r="AA521" s="1">
        <v>0</v>
      </c>
      <c r="AB521" s="1">
        <v>-5032663.243731387</v>
      </c>
      <c r="AC521" s="2">
        <v>-5032663.243731387</v>
      </c>
    </row>
    <row r="522" spans="1:29" x14ac:dyDescent="0.35">
      <c r="A522" t="s">
        <v>5</v>
      </c>
      <c r="B522" s="1">
        <v>0</v>
      </c>
      <c r="C522" s="1">
        <v>0</v>
      </c>
      <c r="D522" s="2">
        <v>0</v>
      </c>
      <c r="F522" t="s">
        <v>5</v>
      </c>
      <c r="G522" s="1">
        <v>0</v>
      </c>
      <c r="H522" s="1">
        <v>0</v>
      </c>
      <c r="I522" s="2">
        <v>0</v>
      </c>
      <c r="K522" t="s">
        <v>5</v>
      </c>
      <c r="L522" s="1">
        <v>0</v>
      </c>
      <c r="M522" s="1">
        <v>0</v>
      </c>
      <c r="N522" s="2">
        <v>0</v>
      </c>
      <c r="P522" t="s">
        <v>5</v>
      </c>
      <c r="Q522" s="1">
        <v>0</v>
      </c>
      <c r="R522" s="1">
        <v>0</v>
      </c>
      <c r="S522" s="2">
        <v>0</v>
      </c>
      <c r="U522" t="s">
        <v>5</v>
      </c>
      <c r="V522" s="2">
        <v>0</v>
      </c>
      <c r="W522" s="2">
        <v>0</v>
      </c>
      <c r="X522" s="2">
        <v>0</v>
      </c>
      <c r="Z522" t="s">
        <v>5</v>
      </c>
      <c r="AA522" s="1">
        <v>0</v>
      </c>
      <c r="AB522" s="1">
        <v>0</v>
      </c>
      <c r="AC522" s="2">
        <v>0</v>
      </c>
    </row>
    <row r="523" spans="1:29" x14ac:dyDescent="0.35">
      <c r="A523" t="s">
        <v>182</v>
      </c>
      <c r="B523" s="1">
        <v>0</v>
      </c>
      <c r="C523" s="1">
        <v>-14320516.381091265</v>
      </c>
      <c r="D523" s="2">
        <v>-14320516.381091265</v>
      </c>
      <c r="F523" t="s">
        <v>182</v>
      </c>
      <c r="G523" s="1">
        <v>0</v>
      </c>
      <c r="H523" s="1">
        <v>-3211789.1412941306</v>
      </c>
      <c r="I523" s="2">
        <v>-3211789.1412941306</v>
      </c>
      <c r="K523" t="s">
        <v>182</v>
      </c>
      <c r="L523" s="1">
        <v>0</v>
      </c>
      <c r="M523" s="1">
        <v>-2257777.471102715</v>
      </c>
      <c r="N523" s="2">
        <v>-2257777.471102715</v>
      </c>
      <c r="P523" t="s">
        <v>182</v>
      </c>
      <c r="Q523" s="1">
        <v>0</v>
      </c>
      <c r="R523" s="1">
        <v>-5469566.6123968456</v>
      </c>
      <c r="S523" s="2">
        <v>-5469566.6123968456</v>
      </c>
      <c r="U523" t="s">
        <v>182</v>
      </c>
      <c r="V523" s="2">
        <v>0</v>
      </c>
      <c r="W523" s="2">
        <v>-5781405.2362351008</v>
      </c>
      <c r="X523" s="2">
        <v>-5781405.2362351008</v>
      </c>
      <c r="Z523" t="s">
        <v>182</v>
      </c>
      <c r="AA523" s="1">
        <v>0</v>
      </c>
      <c r="AB523" s="1">
        <v>-3069544.5324593186</v>
      </c>
      <c r="AC523" s="2">
        <v>-3069544.5324593186</v>
      </c>
    </row>
    <row r="524" spans="1:29" x14ac:dyDescent="0.35">
      <c r="A524" s="19" t="s">
        <v>11</v>
      </c>
      <c r="B524" s="20">
        <v>0</v>
      </c>
      <c r="C524" s="20">
        <v>-286645977.21168178</v>
      </c>
      <c r="D524" s="20">
        <v>-286645977.21168178</v>
      </c>
      <c r="F524" s="19" t="s">
        <v>11</v>
      </c>
      <c r="G524" s="20">
        <v>0</v>
      </c>
      <c r="H524" s="20">
        <v>-73339274.620361403</v>
      </c>
      <c r="I524" s="20">
        <v>-73339274.620361403</v>
      </c>
      <c r="K524" s="19" t="s">
        <v>11</v>
      </c>
      <c r="L524" s="20">
        <v>0</v>
      </c>
      <c r="M524" s="20">
        <v>-76382523.929432511</v>
      </c>
      <c r="N524" s="20">
        <v>-76382523.929432511</v>
      </c>
      <c r="P524" s="19" t="s">
        <v>11</v>
      </c>
      <c r="Q524" s="20">
        <v>0</v>
      </c>
      <c r="R524" s="20">
        <v>-149721798.5497939</v>
      </c>
      <c r="S524" s="20">
        <v>-149721798.5497939</v>
      </c>
      <c r="U524" s="19" t="s">
        <v>11</v>
      </c>
      <c r="V524" s="20">
        <v>0</v>
      </c>
      <c r="W524" s="20">
        <v>-64155493.874571785</v>
      </c>
      <c r="X524" s="20">
        <v>-64155493.874571785</v>
      </c>
      <c r="Z524" s="19" t="s">
        <v>11</v>
      </c>
      <c r="AA524" s="20">
        <v>0</v>
      </c>
      <c r="AB524" s="20">
        <v>-72768684.787316099</v>
      </c>
      <c r="AC524" s="20">
        <v>-72768684.787316099</v>
      </c>
    </row>
    <row r="525" spans="1:29" x14ac:dyDescent="0.35">
      <c r="B525" s="2"/>
      <c r="C525" s="15"/>
      <c r="D525" s="12"/>
      <c r="G525" s="2"/>
      <c r="H525" s="15"/>
      <c r="I525" s="12"/>
      <c r="L525" s="2"/>
      <c r="M525" s="15"/>
      <c r="N525" s="12"/>
      <c r="Q525" s="2"/>
      <c r="R525" s="15"/>
      <c r="S525" s="12"/>
      <c r="V525" s="2"/>
      <c r="W525" s="15"/>
      <c r="X525" s="2"/>
      <c r="AA525" s="2"/>
      <c r="AB525" s="15"/>
      <c r="AC525" s="2"/>
    </row>
    <row r="526" spans="1:29" x14ac:dyDescent="0.35">
      <c r="B526" s="2"/>
      <c r="C526" s="15"/>
      <c r="D526" s="12"/>
      <c r="G526" s="2"/>
      <c r="H526" s="15"/>
      <c r="I526" s="12"/>
      <c r="L526" s="2"/>
      <c r="M526" s="15"/>
      <c r="N526" s="12"/>
      <c r="Q526" s="2"/>
      <c r="R526" s="15"/>
      <c r="S526" s="12"/>
      <c r="V526" s="2"/>
      <c r="W526" s="15"/>
      <c r="X526" s="2"/>
      <c r="AA526" s="2"/>
      <c r="AB526" s="15"/>
      <c r="AC526" s="2"/>
    </row>
    <row r="527" spans="1:29" x14ac:dyDescent="0.35">
      <c r="A527" s="11" t="s">
        <v>43</v>
      </c>
      <c r="B527" s="4">
        <v>17789960.579999998</v>
      </c>
      <c r="C527" s="4">
        <v>-81377544.746972084</v>
      </c>
      <c r="D527" s="4">
        <v>-63587584.166972086</v>
      </c>
      <c r="F527" s="11" t="s">
        <v>43</v>
      </c>
      <c r="G527" s="4">
        <v>4275590.8099999968</v>
      </c>
      <c r="H527" s="4">
        <v>-46977733.363480657</v>
      </c>
      <c r="I527" s="4">
        <v>-42702142.553480662</v>
      </c>
      <c r="K527" s="11" t="s">
        <v>43</v>
      </c>
      <c r="L527" s="4">
        <v>3906528.6900000032</v>
      </c>
      <c r="M527" s="4">
        <v>-30878615.222804397</v>
      </c>
      <c r="N527" s="4">
        <v>-26972086.532804392</v>
      </c>
      <c r="P527" s="11" t="s">
        <v>43</v>
      </c>
      <c r="Q527" s="4">
        <v>8182119.5</v>
      </c>
      <c r="R527" s="4">
        <v>-77856348.586285025</v>
      </c>
      <c r="S527" s="4">
        <v>-69674229.086285025</v>
      </c>
      <c r="U527" s="11" t="s">
        <v>43</v>
      </c>
      <c r="V527" s="4">
        <v>4002524.9999999972</v>
      </c>
      <c r="W527" s="4">
        <v>-5508885.3337797895</v>
      </c>
      <c r="X527" s="4">
        <v>-1506360.3337797923</v>
      </c>
      <c r="Z527" s="11" t="s">
        <v>43</v>
      </c>
      <c r="AA527" s="4">
        <v>5605316.080000001</v>
      </c>
      <c r="AB527" s="4">
        <v>1987689.1730927303</v>
      </c>
      <c r="AC527" s="4">
        <v>7593005.2530927313</v>
      </c>
    </row>
    <row r="528" spans="1:29" x14ac:dyDescent="0.35">
      <c r="A528" t="s">
        <v>6</v>
      </c>
      <c r="B528" s="1">
        <v>0</v>
      </c>
      <c r="C528" s="1">
        <v>-10513359.289999999</v>
      </c>
      <c r="D528" s="2">
        <v>-10513359.289999999</v>
      </c>
      <c r="F528" t="s">
        <v>6</v>
      </c>
      <c r="G528" s="1">
        <v>0</v>
      </c>
      <c r="H528" s="1">
        <v>-451742</v>
      </c>
      <c r="I528" s="2">
        <v>-451742</v>
      </c>
      <c r="K528" t="s">
        <v>6</v>
      </c>
      <c r="L528" s="1">
        <v>0</v>
      </c>
      <c r="M528" s="1">
        <v>-2142031</v>
      </c>
      <c r="N528" s="2">
        <v>-2142031</v>
      </c>
      <c r="P528" t="s">
        <v>6</v>
      </c>
      <c r="Q528" s="1">
        <v>0</v>
      </c>
      <c r="R528" s="1">
        <v>-2593773</v>
      </c>
      <c r="S528" s="2">
        <v>-2593773</v>
      </c>
      <c r="U528" t="s">
        <v>6</v>
      </c>
      <c r="V528" s="2">
        <v>0</v>
      </c>
      <c r="W528" s="2">
        <v>-694060</v>
      </c>
      <c r="X528" s="2">
        <v>-694060</v>
      </c>
      <c r="Z528" t="s">
        <v>6</v>
      </c>
      <c r="AA528" s="1">
        <v>0</v>
      </c>
      <c r="AB528" s="1">
        <v>-7225526.2899999991</v>
      </c>
      <c r="AC528" s="2">
        <v>-7225526.2899999991</v>
      </c>
    </row>
    <row r="529" spans="1:29" x14ac:dyDescent="0.35">
      <c r="A529" s="11" t="s">
        <v>7</v>
      </c>
      <c r="B529" s="4">
        <v>17789960.579999998</v>
      </c>
      <c r="C529" s="4">
        <v>-91890904.036972076</v>
      </c>
      <c r="D529" s="4">
        <v>-74100943.456972077</v>
      </c>
      <c r="F529" s="11" t="s">
        <v>7</v>
      </c>
      <c r="G529" s="4">
        <v>4275590.8099999968</v>
      </c>
      <c r="H529" s="4">
        <v>-47429475.363480657</v>
      </c>
      <c r="I529" s="4">
        <v>-43153884.553480662</v>
      </c>
      <c r="K529" s="11" t="s">
        <v>7</v>
      </c>
      <c r="L529" s="4">
        <v>3906528.6900000032</v>
      </c>
      <c r="M529" s="4">
        <v>-33020646.222804397</v>
      </c>
      <c r="N529" s="4">
        <v>-29114117.532804392</v>
      </c>
      <c r="P529" s="11" t="s">
        <v>7</v>
      </c>
      <c r="Q529" s="4">
        <v>8182119.5</v>
      </c>
      <c r="R529" s="4">
        <v>-80450121.586285025</v>
      </c>
      <c r="S529" s="4">
        <v>-72268002.086285025</v>
      </c>
      <c r="U529" s="11" t="s">
        <v>7</v>
      </c>
      <c r="V529" s="4">
        <v>4002524.9999999972</v>
      </c>
      <c r="W529" s="4">
        <v>-6202945.3337797895</v>
      </c>
      <c r="X529" s="4">
        <v>-2200420.3337797923</v>
      </c>
      <c r="Z529" s="11" t="s">
        <v>7</v>
      </c>
      <c r="AA529" s="137">
        <v>5605316.080000001</v>
      </c>
      <c r="AB529" s="137">
        <v>-5237837.1169072613</v>
      </c>
      <c r="AC529" s="4">
        <v>367478.96309273969</v>
      </c>
    </row>
    <row r="530" spans="1:29" x14ac:dyDescent="0.35">
      <c r="A530" t="s">
        <v>8</v>
      </c>
      <c r="B530" s="1">
        <v>0</v>
      </c>
      <c r="C530" s="1">
        <v>52287372.535684556</v>
      </c>
      <c r="D530" s="2">
        <v>52287372.535684556</v>
      </c>
      <c r="F530" t="s">
        <v>8</v>
      </c>
      <c r="G530" s="1">
        <v>0</v>
      </c>
      <c r="H530" s="1">
        <v>27786436.365559679</v>
      </c>
      <c r="I530" s="2">
        <v>27786436.365559679</v>
      </c>
      <c r="K530" t="s">
        <v>8</v>
      </c>
      <c r="L530" s="1">
        <v>0</v>
      </c>
      <c r="M530" s="1">
        <v>17741302.354616378</v>
      </c>
      <c r="N530" s="2">
        <v>17741302.354616378</v>
      </c>
      <c r="P530" t="s">
        <v>8</v>
      </c>
      <c r="Q530" s="1">
        <v>0</v>
      </c>
      <c r="R530" s="1">
        <v>45527738.720176056</v>
      </c>
      <c r="S530" s="2">
        <v>45527738.720176056</v>
      </c>
      <c r="U530" t="s">
        <v>8</v>
      </c>
      <c r="V530" s="2">
        <v>0</v>
      </c>
      <c r="W530" s="2">
        <v>4116149.7918602005</v>
      </c>
      <c r="X530" s="2">
        <v>4116149.7918602005</v>
      </c>
      <c r="Z530" t="s">
        <v>8</v>
      </c>
      <c r="AA530" s="1">
        <v>0</v>
      </c>
      <c r="AB530" s="1">
        <v>2643484.0236482993</v>
      </c>
      <c r="AC530" s="2">
        <v>2643484.0236482993</v>
      </c>
    </row>
    <row r="531" spans="1:29" x14ac:dyDescent="0.35">
      <c r="A531" s="11" t="s">
        <v>161</v>
      </c>
      <c r="B531" s="4">
        <v>17789960.579999998</v>
      </c>
      <c r="C531" s="4">
        <v>-39603531.50128752</v>
      </c>
      <c r="D531" s="4">
        <v>-21813570.921287522</v>
      </c>
      <c r="F531" s="11" t="s">
        <v>161</v>
      </c>
      <c r="G531" s="4">
        <v>4275590.8099999968</v>
      </c>
      <c r="H531" s="4">
        <v>-19643038.997920979</v>
      </c>
      <c r="I531" s="4">
        <v>-15367448.187920982</v>
      </c>
      <c r="K531" s="11" t="s">
        <v>161</v>
      </c>
      <c r="L531" s="4">
        <v>3906528.6900000032</v>
      </c>
      <c r="M531" s="4">
        <v>-15279343.86818802</v>
      </c>
      <c r="N531" s="4">
        <v>-11372815.178188017</v>
      </c>
      <c r="P531" s="11" t="s">
        <v>161</v>
      </c>
      <c r="Q531" s="4">
        <v>8182119.5</v>
      </c>
      <c r="R531" s="4">
        <v>-34922382.866108969</v>
      </c>
      <c r="S531" s="4">
        <v>-26740263.366108969</v>
      </c>
      <c r="U531" s="11" t="s">
        <v>161</v>
      </c>
      <c r="V531" s="4">
        <v>4002524.9999999972</v>
      </c>
      <c r="W531" s="4">
        <v>-2086795.541919589</v>
      </c>
      <c r="X531" s="4">
        <v>1915729.4580804082</v>
      </c>
      <c r="Z531" s="11" t="s">
        <v>9</v>
      </c>
      <c r="AA531" s="137">
        <v>5605316.080000001</v>
      </c>
      <c r="AB531" s="137">
        <v>-2594353.093258962</v>
      </c>
      <c r="AC531" s="4">
        <v>3010962.986741039</v>
      </c>
    </row>
    <row r="532" spans="1:29" x14ac:dyDescent="0.35">
      <c r="B532" s="3">
        <v>0</v>
      </c>
      <c r="C532" s="3">
        <v>0</v>
      </c>
      <c r="D532" s="3"/>
      <c r="L532" s="3">
        <v>0</v>
      </c>
      <c r="M532" s="3">
        <v>0</v>
      </c>
      <c r="N532" s="3">
        <v>-2.9802322387695313E-8</v>
      </c>
      <c r="AA532" s="12">
        <v>0</v>
      </c>
      <c r="AB532" s="12">
        <v>0</v>
      </c>
      <c r="AC532" s="12">
        <v>0</v>
      </c>
    </row>
    <row r="533" spans="1:29" x14ac:dyDescent="0.35">
      <c r="AC533" s="3"/>
    </row>
    <row r="534" spans="1:29" x14ac:dyDescent="0.35">
      <c r="AC534" s="3"/>
    </row>
    <row r="535" spans="1:29" ht="18.5" x14ac:dyDescent="0.35">
      <c r="F535" s="303"/>
      <c r="G535" s="303"/>
      <c r="H535" s="303"/>
      <c r="I535" s="303"/>
    </row>
    <row r="536" spans="1:29" ht="15.5" x14ac:dyDescent="0.35">
      <c r="F536" s="8"/>
      <c r="G536" s="10"/>
      <c r="H536" s="10"/>
      <c r="I536" s="10"/>
    </row>
    <row r="537" spans="1:29" x14ac:dyDescent="0.35">
      <c r="F537" s="234"/>
    </row>
    <row r="538" spans="1:29" x14ac:dyDescent="0.35">
      <c r="F538" s="234"/>
    </row>
    <row r="539" spans="1:29" x14ac:dyDescent="0.35">
      <c r="G539" s="2"/>
      <c r="H539" s="2"/>
      <c r="I539" s="2"/>
    </row>
    <row r="540" spans="1:29" x14ac:dyDescent="0.35">
      <c r="G540" s="2"/>
      <c r="H540" s="2"/>
      <c r="I540" s="2"/>
    </row>
    <row r="541" spans="1:29" x14ac:dyDescent="0.35">
      <c r="G541" s="2"/>
      <c r="H541" s="2"/>
      <c r="I541" s="2"/>
    </row>
    <row r="542" spans="1:29" x14ac:dyDescent="0.35">
      <c r="G542" s="2"/>
      <c r="H542" s="2"/>
      <c r="I542" s="2"/>
    </row>
    <row r="543" spans="1:29" x14ac:dyDescent="0.35">
      <c r="F543" s="5"/>
      <c r="G543" s="235"/>
      <c r="H543" s="235"/>
      <c r="I543" s="235"/>
    </row>
    <row r="544" spans="1:29" x14ac:dyDescent="0.35">
      <c r="F544" s="234"/>
    </row>
    <row r="545" spans="6:9" x14ac:dyDescent="0.35">
      <c r="G545" s="2"/>
      <c r="H545" s="2"/>
      <c r="I545" s="2"/>
    </row>
    <row r="546" spans="6:9" x14ac:dyDescent="0.35">
      <c r="G546" s="2"/>
      <c r="H546" s="2"/>
      <c r="I546" s="2"/>
    </row>
    <row r="547" spans="6:9" x14ac:dyDescent="0.35">
      <c r="G547" s="2"/>
      <c r="H547" s="2"/>
      <c r="I547" s="2"/>
    </row>
    <row r="548" spans="6:9" x14ac:dyDescent="0.35">
      <c r="G548" s="2"/>
      <c r="H548" s="2"/>
      <c r="I548" s="2"/>
    </row>
    <row r="549" spans="6:9" x14ac:dyDescent="0.35">
      <c r="F549" s="5"/>
      <c r="G549" s="235"/>
      <c r="H549" s="235"/>
      <c r="I549" s="235"/>
    </row>
    <row r="550" spans="6:9" x14ac:dyDescent="0.35">
      <c r="F550" s="6"/>
      <c r="G550" s="7"/>
      <c r="H550" s="7"/>
      <c r="I550" s="7"/>
    </row>
    <row r="551" spans="6:9" x14ac:dyDescent="0.35">
      <c r="G551" s="2"/>
      <c r="H551" s="2"/>
      <c r="I551" s="2"/>
    </row>
    <row r="552" spans="6:9" x14ac:dyDescent="0.35">
      <c r="G552" s="2"/>
      <c r="H552" s="2"/>
      <c r="I552" s="2"/>
    </row>
    <row r="553" spans="6:9" x14ac:dyDescent="0.35">
      <c r="F553" s="5"/>
      <c r="G553" s="235"/>
      <c r="H553" s="235"/>
      <c r="I553" s="235"/>
    </row>
    <row r="555" spans="6:9" x14ac:dyDescent="0.35">
      <c r="F555" s="16"/>
      <c r="G555" s="2"/>
      <c r="H555" s="2"/>
      <c r="I555" s="2"/>
    </row>
    <row r="557" spans="6:9" x14ac:dyDescent="0.35">
      <c r="G557" s="2"/>
      <c r="H557" s="2"/>
      <c r="I557" s="2"/>
    </row>
    <row r="558" spans="6:9" x14ac:dyDescent="0.35">
      <c r="G558" s="2"/>
      <c r="H558" s="2"/>
      <c r="I558" s="2"/>
    </row>
    <row r="559" spans="6:9" x14ac:dyDescent="0.35">
      <c r="F559" s="5"/>
      <c r="G559" s="235"/>
      <c r="H559" s="235"/>
      <c r="I559" s="235"/>
    </row>
    <row r="560" spans="6:9" ht="15" thickBot="1" x14ac:dyDescent="0.4">
      <c r="F560" s="236"/>
      <c r="G560" s="237"/>
      <c r="H560" s="237"/>
      <c r="I560" s="237"/>
    </row>
    <row r="561" spans="6:9" ht="15" thickTop="1" x14ac:dyDescent="0.35">
      <c r="F561" s="6"/>
      <c r="G561" s="7"/>
      <c r="H561" s="7"/>
      <c r="I561" s="7"/>
    </row>
    <row r="562" spans="6:9" x14ac:dyDescent="0.35">
      <c r="F562" s="234"/>
      <c r="G562" s="7"/>
      <c r="H562" s="7"/>
      <c r="I562" s="7"/>
    </row>
    <row r="563" spans="6:9" x14ac:dyDescent="0.35">
      <c r="G563" s="2"/>
      <c r="H563" s="2"/>
      <c r="I563" s="2"/>
    </row>
    <row r="564" spans="6:9" x14ac:dyDescent="0.35">
      <c r="G564" s="2"/>
      <c r="H564" s="2"/>
      <c r="I564" s="2"/>
    </row>
    <row r="565" spans="6:9" ht="15" thickBot="1" x14ac:dyDescent="0.4">
      <c r="F565" s="236"/>
      <c r="G565" s="238"/>
      <c r="H565" s="238"/>
      <c r="I565" s="238"/>
    </row>
    <row r="566" spans="6:9" ht="15" thickTop="1" x14ac:dyDescent="0.35">
      <c r="G566" s="2"/>
      <c r="H566" s="2"/>
      <c r="I566" s="2"/>
    </row>
    <row r="567" spans="6:9" x14ac:dyDescent="0.35">
      <c r="G567" s="2"/>
      <c r="H567" s="2"/>
      <c r="I567" s="2"/>
    </row>
    <row r="568" spans="6:9" ht="15" thickBot="1" x14ac:dyDescent="0.4">
      <c r="F568" s="236"/>
      <c r="G568" s="238"/>
      <c r="H568" s="238"/>
      <c r="I568" s="238"/>
    </row>
    <row r="569" spans="6:9" ht="15" thickTop="1" x14ac:dyDescent="0.35">
      <c r="G569" s="2"/>
      <c r="H569" s="2"/>
      <c r="I569" s="2"/>
    </row>
    <row r="570" spans="6:9" x14ac:dyDescent="0.35">
      <c r="G570" s="2"/>
      <c r="H570" s="2"/>
      <c r="I570" s="2"/>
    </row>
    <row r="571" spans="6:9" x14ac:dyDescent="0.35">
      <c r="G571" s="2"/>
      <c r="H571" s="2"/>
      <c r="I571" s="2"/>
    </row>
    <row r="572" spans="6:9" x14ac:dyDescent="0.35">
      <c r="F572" s="5"/>
      <c r="G572" s="235"/>
      <c r="H572" s="235"/>
      <c r="I572" s="235"/>
    </row>
    <row r="573" spans="6:9" x14ac:dyDescent="0.35">
      <c r="F573" s="6"/>
      <c r="G573" s="7"/>
      <c r="H573" s="7"/>
      <c r="I573" s="7"/>
    </row>
    <row r="574" spans="6:9" x14ac:dyDescent="0.35">
      <c r="F574" s="16"/>
      <c r="G574" s="2"/>
      <c r="H574" s="2"/>
      <c r="I574" s="2"/>
    </row>
    <row r="575" spans="6:9" x14ac:dyDescent="0.35">
      <c r="G575" s="2"/>
      <c r="H575" s="2"/>
      <c r="I575" s="2"/>
    </row>
    <row r="576" spans="6:9" x14ac:dyDescent="0.35">
      <c r="G576" s="2"/>
      <c r="H576" s="2"/>
      <c r="I576" s="2"/>
    </row>
    <row r="577" spans="6:9" x14ac:dyDescent="0.35">
      <c r="G577" s="2"/>
      <c r="H577" s="2"/>
      <c r="I577" s="2"/>
    </row>
    <row r="578" spans="6:9" x14ac:dyDescent="0.35">
      <c r="F578" s="239"/>
      <c r="G578" s="235"/>
      <c r="H578" s="235"/>
      <c r="I578" s="235"/>
    </row>
    <row r="579" spans="6:9" ht="15" thickBot="1" x14ac:dyDescent="0.4">
      <c r="F579" s="236"/>
      <c r="G579" s="237"/>
      <c r="H579" s="237"/>
      <c r="I579" s="237"/>
    </row>
    <row r="580" spans="6:9" ht="15" thickTop="1" x14ac:dyDescent="0.35">
      <c r="G580" s="2"/>
      <c r="H580" s="2"/>
      <c r="I580" s="2"/>
    </row>
    <row r="581" spans="6:9" x14ac:dyDescent="0.35">
      <c r="G581" s="2"/>
      <c r="H581" s="2"/>
      <c r="I581" s="2"/>
    </row>
    <row r="582" spans="6:9" x14ac:dyDescent="0.35">
      <c r="G582" s="2"/>
      <c r="H582" s="2"/>
      <c r="I582" s="2"/>
    </row>
    <row r="583" spans="6:9" ht="15" thickBot="1" x14ac:dyDescent="0.4">
      <c r="F583" s="236"/>
      <c r="G583" s="237"/>
      <c r="H583" s="237"/>
      <c r="I583" s="237"/>
    </row>
    <row r="584" spans="6:9" ht="15" thickTop="1" x14ac:dyDescent="0.35">
      <c r="F584" s="6"/>
      <c r="G584" s="7"/>
      <c r="H584" s="7"/>
      <c r="I584" s="7"/>
    </row>
    <row r="585" spans="6:9" x14ac:dyDescent="0.35">
      <c r="G585" s="2"/>
      <c r="H585" s="2"/>
      <c r="I585" s="2"/>
    </row>
    <row r="586" spans="6:9" x14ac:dyDescent="0.35">
      <c r="G586" s="2"/>
      <c r="H586" s="2"/>
      <c r="I586" s="2"/>
    </row>
    <row r="587" spans="6:9" x14ac:dyDescent="0.35">
      <c r="G587" s="2"/>
      <c r="H587" s="2"/>
      <c r="I587" s="2"/>
    </row>
    <row r="588" spans="6:9" x14ac:dyDescent="0.35">
      <c r="G588" s="2"/>
      <c r="H588" s="2"/>
      <c r="I588" s="2"/>
    </row>
    <row r="589" spans="6:9" x14ac:dyDescent="0.35">
      <c r="G589" s="2"/>
      <c r="H589" s="2"/>
      <c r="I589" s="2"/>
    </row>
    <row r="590" spans="6:9" x14ac:dyDescent="0.35">
      <c r="G590" s="2"/>
      <c r="H590" s="2"/>
      <c r="I590" s="2"/>
    </row>
    <row r="591" spans="6:9" x14ac:dyDescent="0.35">
      <c r="G591" s="2"/>
      <c r="H591" s="2"/>
      <c r="I591" s="2"/>
    </row>
    <row r="592" spans="6:9" x14ac:dyDescent="0.35">
      <c r="G592" s="2"/>
      <c r="H592" s="2"/>
      <c r="I592" s="2"/>
    </row>
    <row r="593" spans="6:9" x14ac:dyDescent="0.35">
      <c r="G593" s="2"/>
      <c r="H593" s="2"/>
      <c r="I593" s="2"/>
    </row>
    <row r="594" spans="6:9" x14ac:dyDescent="0.35">
      <c r="G594" s="2"/>
      <c r="H594" s="2"/>
      <c r="I594" s="2"/>
    </row>
    <row r="595" spans="6:9" x14ac:dyDescent="0.35">
      <c r="F595" s="5"/>
      <c r="G595" s="235"/>
      <c r="H595" s="235"/>
      <c r="I595" s="235"/>
    </row>
    <row r="596" spans="6:9" x14ac:dyDescent="0.35">
      <c r="F596" s="240"/>
      <c r="G596" s="241"/>
      <c r="H596" s="241"/>
      <c r="I596" s="241"/>
    </row>
    <row r="597" spans="6:9" x14ac:dyDescent="0.35">
      <c r="G597" s="2"/>
      <c r="H597" s="2"/>
      <c r="I597" s="2"/>
    </row>
    <row r="598" spans="6:9" x14ac:dyDescent="0.35">
      <c r="F598" s="242"/>
      <c r="G598" s="243"/>
      <c r="H598" s="243"/>
      <c r="I598" s="243"/>
    </row>
    <row r="599" spans="6:9" x14ac:dyDescent="0.35">
      <c r="G599" s="2"/>
      <c r="H599" s="2"/>
      <c r="I599" s="2"/>
    </row>
    <row r="600" spans="6:9" x14ac:dyDescent="0.35">
      <c r="F600" s="242"/>
      <c r="G600" s="244"/>
      <c r="H600" s="244"/>
      <c r="I600" s="244"/>
    </row>
    <row r="601" spans="6:9" x14ac:dyDescent="0.35">
      <c r="F601" s="234"/>
      <c r="G601" s="251"/>
      <c r="H601" s="251"/>
      <c r="I601" s="251"/>
    </row>
    <row r="602" spans="6:9" x14ac:dyDescent="0.35">
      <c r="G602" s="233"/>
      <c r="H602" s="233"/>
      <c r="I602" s="12"/>
    </row>
    <row r="603" spans="6:9" x14ac:dyDescent="0.35">
      <c r="G603" s="233"/>
      <c r="H603" s="233"/>
      <c r="I603" s="12"/>
    </row>
    <row r="604" spans="6:9" x14ac:dyDescent="0.35">
      <c r="G604" s="233"/>
      <c r="H604" s="233"/>
      <c r="I604" s="233"/>
    </row>
    <row r="605" spans="6:9" x14ac:dyDescent="0.35">
      <c r="G605" s="245"/>
      <c r="H605" s="245"/>
      <c r="I605" s="233"/>
    </row>
    <row r="606" spans="6:9" x14ac:dyDescent="0.35">
      <c r="G606" s="233"/>
      <c r="H606" s="233"/>
      <c r="I606" s="233"/>
    </row>
    <row r="607" spans="6:9" x14ac:dyDescent="0.35">
      <c r="G607" s="245"/>
      <c r="H607" s="245"/>
      <c r="I607" s="233"/>
    </row>
    <row r="608" spans="6:9" x14ac:dyDescent="0.35">
      <c r="G608" s="233"/>
      <c r="H608" s="233"/>
      <c r="I608" s="233"/>
    </row>
  </sheetData>
  <mergeCells count="23">
    <mergeCell ref="U304:X304"/>
    <mergeCell ref="P381:S381"/>
    <mergeCell ref="A1:D1"/>
    <mergeCell ref="A151:D151"/>
    <mergeCell ref="F228:I228"/>
    <mergeCell ref="P304:S304"/>
    <mergeCell ref="P228:S228"/>
    <mergeCell ref="F304:I304"/>
    <mergeCell ref="A228:D228"/>
    <mergeCell ref="A76:D76"/>
    <mergeCell ref="K228:N228"/>
    <mergeCell ref="K304:N304"/>
    <mergeCell ref="A304:D304"/>
    <mergeCell ref="F535:I535"/>
    <mergeCell ref="F458:I458"/>
    <mergeCell ref="K381:N381"/>
    <mergeCell ref="U381:X381"/>
    <mergeCell ref="A381:D381"/>
    <mergeCell ref="F381:I381"/>
    <mergeCell ref="K458:N458"/>
    <mergeCell ref="P458:S458"/>
    <mergeCell ref="U458:X458"/>
    <mergeCell ref="A458:D45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F12D6-5A33-4EB7-8212-B7D876325012}">
  <sheetPr>
    <tabColor rgb="FFFF0000"/>
  </sheetPr>
  <dimension ref="B2:BH193"/>
  <sheetViews>
    <sheetView showGridLines="0" zoomScaleNormal="100" workbookViewId="0">
      <pane xSplit="3" ySplit="3" topLeftCell="L76" activePane="bottomRight" state="frozen"/>
      <selection activeCell="C82" sqref="C82"/>
      <selection pane="topRight" activeCell="C82" sqref="C82"/>
      <selection pane="bottomLeft" activeCell="C82" sqref="C82"/>
      <selection pane="bottomRight" activeCell="R92" sqref="R92"/>
    </sheetView>
  </sheetViews>
  <sheetFormatPr defaultColWidth="8.81640625" defaultRowHeight="13" x14ac:dyDescent="0.3"/>
  <cols>
    <col min="1" max="1" width="2.54296875" style="36" customWidth="1"/>
    <col min="2" max="2" width="4.1796875" style="36" bestFit="1" customWidth="1"/>
    <col min="3" max="3" width="38.54296875" style="36" bestFit="1" customWidth="1"/>
    <col min="4" max="4" width="6.81640625" style="110" bestFit="1" customWidth="1"/>
    <col min="5" max="5" width="13.81640625" style="36" bestFit="1" customWidth="1"/>
    <col min="6" max="6" width="13.81640625" style="36" customWidth="1"/>
    <col min="7" max="8" width="13.81640625" style="36" bestFit="1" customWidth="1"/>
    <col min="9" max="12" width="13.81640625" style="36" customWidth="1"/>
    <col min="13" max="13" width="13.81640625" style="132" bestFit="1" customWidth="1"/>
    <col min="14" max="14" width="5" style="36" bestFit="1" customWidth="1"/>
    <col min="15" max="15" width="10.1796875" style="36" bestFit="1" customWidth="1"/>
    <col min="16" max="16" width="10.1796875" style="36" customWidth="1"/>
    <col min="17" max="18" width="11.26953125" style="36" bestFit="1" customWidth="1"/>
    <col min="19" max="22" width="11.26953125" style="36" customWidth="1"/>
    <col min="23" max="23" width="13.81640625" style="132" bestFit="1" customWidth="1"/>
    <col min="24" max="24" width="4.1796875" style="36" bestFit="1" customWidth="1"/>
    <col min="25" max="25" width="9.81640625" style="36" bestFit="1" customWidth="1"/>
    <col min="26" max="26" width="9.81640625" style="36" customWidth="1"/>
    <col min="27" max="27" width="10.7265625" style="36" bestFit="1" customWidth="1"/>
    <col min="28" max="28" width="11.26953125" style="36" bestFit="1" customWidth="1"/>
    <col min="29" max="32" width="11.26953125" style="36" customWidth="1"/>
    <col min="33" max="33" width="3.26953125" style="36" customWidth="1"/>
    <col min="34" max="34" width="9.81640625" style="36" bestFit="1" customWidth="1"/>
    <col min="35" max="35" width="9.81640625" style="36" customWidth="1"/>
    <col min="36" max="36" width="10.7265625" style="36" bestFit="1" customWidth="1"/>
    <col min="37" max="37" width="11.26953125" style="36" bestFit="1" customWidth="1"/>
    <col min="38" max="41" width="11.26953125" style="36" customWidth="1"/>
    <col min="42" max="42" width="1.26953125" style="36" customWidth="1"/>
    <col min="43" max="43" width="9.81640625" style="36" bestFit="1" customWidth="1"/>
    <col min="44" max="44" width="9.81640625" style="36" customWidth="1"/>
    <col min="45" max="45" width="10.7265625" style="36" bestFit="1" customWidth="1"/>
    <col min="46" max="46" width="11.26953125" style="36" bestFit="1" customWidth="1"/>
    <col min="47" max="50" width="11.26953125" style="36" customWidth="1"/>
    <col min="51" max="51" width="13.81640625" style="132" bestFit="1" customWidth="1"/>
    <col min="52" max="52" width="5.54296875" style="36" bestFit="1" customWidth="1"/>
    <col min="53" max="53" width="9.81640625" style="36" bestFit="1" customWidth="1"/>
    <col min="54" max="54" width="9.81640625" style="36" customWidth="1"/>
    <col min="55" max="55" width="10.7265625" style="36" bestFit="1" customWidth="1"/>
    <col min="56" max="56" width="11.26953125" style="36" bestFit="1" customWidth="1"/>
    <col min="57" max="60" width="11.26953125" style="36" customWidth="1"/>
    <col min="61" max="16384" width="8.81640625" style="36"/>
  </cols>
  <sheetData>
    <row r="2" spans="2:60" s="32" customFormat="1" ht="14.5" customHeight="1" x14ac:dyDescent="0.3">
      <c r="B2" s="139"/>
      <c r="C2" s="30" t="s">
        <v>73</v>
      </c>
      <c r="D2" s="30"/>
      <c r="E2" s="136"/>
      <c r="F2" s="136"/>
      <c r="G2" s="136"/>
      <c r="H2" s="136"/>
      <c r="I2" s="136"/>
      <c r="J2" s="136"/>
      <c r="K2" s="136"/>
      <c r="L2" s="136"/>
      <c r="M2" s="167"/>
      <c r="O2" s="31" t="s">
        <v>75</v>
      </c>
      <c r="P2" s="31"/>
      <c r="Q2" s="31"/>
      <c r="R2" s="31"/>
      <c r="S2" s="31"/>
      <c r="T2" s="31"/>
      <c r="U2" s="31"/>
      <c r="V2" s="31"/>
      <c r="W2" s="167"/>
      <c r="Y2" s="31" t="str">
        <f>Segment!D76</f>
        <v>Insurance Activities</v>
      </c>
      <c r="Z2" s="31"/>
      <c r="AA2" s="31"/>
      <c r="AB2" s="31"/>
      <c r="AC2" s="31"/>
      <c r="AD2" s="31"/>
      <c r="AE2" s="31"/>
      <c r="AF2" s="31"/>
      <c r="AG2" s="36"/>
      <c r="AH2" s="31" t="str">
        <f>Segment!E76</f>
        <v>Brokerage Activities</v>
      </c>
      <c r="AI2" s="31"/>
      <c r="AJ2" s="31"/>
      <c r="AK2" s="31"/>
      <c r="AL2" s="31"/>
      <c r="AM2" s="31"/>
      <c r="AN2" s="31"/>
      <c r="AO2" s="31"/>
      <c r="AP2" s="36"/>
      <c r="AQ2" s="31" t="s">
        <v>76</v>
      </c>
      <c r="AR2" s="31"/>
      <c r="AS2" s="31"/>
      <c r="AT2" s="31"/>
      <c r="AU2" s="31"/>
      <c r="AV2" s="31"/>
      <c r="AW2" s="31"/>
      <c r="AX2" s="31"/>
      <c r="AY2" s="167"/>
      <c r="BA2" s="31" t="s">
        <v>77</v>
      </c>
      <c r="BB2" s="31"/>
      <c r="BC2" s="31"/>
      <c r="BD2" s="31"/>
      <c r="BE2" s="31"/>
      <c r="BF2" s="31"/>
      <c r="BG2" s="31"/>
      <c r="BH2" s="31"/>
    </row>
    <row r="3" spans="2:60" s="35" customFormat="1" x14ac:dyDescent="0.3">
      <c r="B3" s="33"/>
      <c r="C3" s="34"/>
      <c r="D3" s="129" t="s">
        <v>148</v>
      </c>
      <c r="E3" s="34" t="s">
        <v>158</v>
      </c>
      <c r="F3" s="34" t="s">
        <v>179</v>
      </c>
      <c r="G3" s="34" t="s">
        <v>160</v>
      </c>
      <c r="H3" s="34" t="s">
        <v>180</v>
      </c>
      <c r="I3" s="34" t="s">
        <v>188</v>
      </c>
      <c r="J3" s="34" t="s">
        <v>200</v>
      </c>
      <c r="K3" s="34" t="s">
        <v>206</v>
      </c>
      <c r="L3" s="34" t="s">
        <v>219</v>
      </c>
      <c r="M3" s="168" t="s">
        <v>181</v>
      </c>
      <c r="O3" s="34" t="str">
        <f>E3</f>
        <v>Q4-2020</v>
      </c>
      <c r="P3" s="34" t="str">
        <f t="shared" ref="P3:W3" si="0">F3</f>
        <v>H1-2021</v>
      </c>
      <c r="Q3" s="34" t="str">
        <f t="shared" si="0"/>
        <v>Q4-2021</v>
      </c>
      <c r="R3" s="34" t="str">
        <f t="shared" si="0"/>
        <v>H1-2022</v>
      </c>
      <c r="S3" s="34" t="str">
        <f t="shared" si="0"/>
        <v>Q4-2022</v>
      </c>
      <c r="T3" s="34" t="str">
        <f t="shared" si="0"/>
        <v>H1-2023</v>
      </c>
      <c r="U3" s="34" t="str">
        <f>K3</f>
        <v>Q4-2023</v>
      </c>
      <c r="V3" s="34" t="str">
        <f>L3</f>
        <v>H1-2024</v>
      </c>
      <c r="W3" s="34" t="str">
        <f t="shared" si="0"/>
        <v>%</v>
      </c>
      <c r="Y3" s="34" t="str">
        <f t="shared" ref="Y3:AF3" si="1">E3</f>
        <v>Q4-2020</v>
      </c>
      <c r="Z3" s="34" t="str">
        <f t="shared" si="1"/>
        <v>H1-2021</v>
      </c>
      <c r="AA3" s="34" t="str">
        <f t="shared" si="1"/>
        <v>Q4-2021</v>
      </c>
      <c r="AB3" s="34" t="str">
        <f t="shared" si="1"/>
        <v>H1-2022</v>
      </c>
      <c r="AC3" s="34" t="str">
        <f t="shared" si="1"/>
        <v>Q4-2022</v>
      </c>
      <c r="AD3" s="34" t="str">
        <f t="shared" si="1"/>
        <v>H1-2023</v>
      </c>
      <c r="AE3" s="34" t="str">
        <f t="shared" si="1"/>
        <v>Q4-2023</v>
      </c>
      <c r="AF3" s="34" t="str">
        <f t="shared" si="1"/>
        <v>H1-2024</v>
      </c>
      <c r="AG3" s="205"/>
      <c r="AH3" s="34" t="str">
        <f t="shared" ref="AH3:AO3" si="2">E3</f>
        <v>Q4-2020</v>
      </c>
      <c r="AI3" s="34" t="str">
        <f t="shared" si="2"/>
        <v>H1-2021</v>
      </c>
      <c r="AJ3" s="34" t="str">
        <f t="shared" si="2"/>
        <v>Q4-2021</v>
      </c>
      <c r="AK3" s="34" t="str">
        <f t="shared" si="2"/>
        <v>H1-2022</v>
      </c>
      <c r="AL3" s="34" t="str">
        <f t="shared" si="2"/>
        <v>Q4-2022</v>
      </c>
      <c r="AM3" s="34" t="str">
        <f t="shared" si="2"/>
        <v>H1-2023</v>
      </c>
      <c r="AN3" s="34" t="str">
        <f t="shared" si="2"/>
        <v>Q4-2023</v>
      </c>
      <c r="AO3" s="34" t="str">
        <f t="shared" si="2"/>
        <v>H1-2024</v>
      </c>
      <c r="AP3" s="205"/>
      <c r="AQ3" s="34" t="str">
        <f t="shared" ref="AQ3:AX3" si="3">E3</f>
        <v>Q4-2020</v>
      </c>
      <c r="AR3" s="34" t="str">
        <f t="shared" si="3"/>
        <v>H1-2021</v>
      </c>
      <c r="AS3" s="34" t="str">
        <f t="shared" si="3"/>
        <v>Q4-2021</v>
      </c>
      <c r="AT3" s="34" t="str">
        <f t="shared" si="3"/>
        <v>H1-2022</v>
      </c>
      <c r="AU3" s="34" t="str">
        <f t="shared" si="3"/>
        <v>Q4-2022</v>
      </c>
      <c r="AV3" s="34" t="str">
        <f t="shared" si="3"/>
        <v>H1-2023</v>
      </c>
      <c r="AW3" s="34" t="str">
        <f t="shared" si="3"/>
        <v>Q4-2023</v>
      </c>
      <c r="AX3" s="34" t="str">
        <f t="shared" si="3"/>
        <v>H1-2024</v>
      </c>
      <c r="AY3" s="168" t="s">
        <v>181</v>
      </c>
      <c r="BA3" s="34" t="str">
        <f t="shared" ref="BA3:BH3" si="4">E3</f>
        <v>Q4-2020</v>
      </c>
      <c r="BB3" s="34" t="str">
        <f t="shared" si="4"/>
        <v>H1-2021</v>
      </c>
      <c r="BC3" s="34" t="str">
        <f t="shared" si="4"/>
        <v>Q4-2021</v>
      </c>
      <c r="BD3" s="34" t="str">
        <f t="shared" si="4"/>
        <v>H1-2022</v>
      </c>
      <c r="BE3" s="34" t="str">
        <f t="shared" si="4"/>
        <v>Q4-2022</v>
      </c>
      <c r="BF3" s="34" t="str">
        <f t="shared" si="4"/>
        <v>H1-2023</v>
      </c>
      <c r="BG3" s="34" t="str">
        <f t="shared" si="4"/>
        <v>Q4-2023</v>
      </c>
      <c r="BH3" s="34" t="str">
        <f t="shared" si="4"/>
        <v>H1-2024</v>
      </c>
    </row>
    <row r="4" spans="2:60" x14ac:dyDescent="0.3">
      <c r="C4" s="37" t="s">
        <v>74</v>
      </c>
      <c r="D4" s="107"/>
      <c r="AQ4" s="38"/>
      <c r="AR4" s="38"/>
      <c r="AS4" s="38"/>
    </row>
    <row r="5" spans="2:60" x14ac:dyDescent="0.3">
      <c r="C5" s="36" t="s">
        <v>85</v>
      </c>
      <c r="D5" s="108">
        <v>17746</v>
      </c>
      <c r="E5" s="38"/>
      <c r="F5" s="38">
        <f>VLOOKUP($C5,Segment!$W$229:$AB$300,6,0)/1000</f>
        <v>184167.6079</v>
      </c>
      <c r="G5" s="38"/>
      <c r="H5" s="38">
        <f>VLOOKUP($C5,Segment!$W$306:$AB$377,6,0)/1000</f>
        <v>349492.80616999994</v>
      </c>
      <c r="I5" s="38"/>
      <c r="J5" s="38">
        <f>VLOOKUP($C5,Segment!$W$383:$AB$454,6,0)/1000</f>
        <v>564850.51057000004</v>
      </c>
      <c r="K5" s="38"/>
      <c r="L5" s="38">
        <f>VLOOKUP($C5,Segment!$W$460:$AB$531,6,0)/1000</f>
        <v>273753.78070999996</v>
      </c>
      <c r="M5" s="132">
        <f>L5/J5-1</f>
        <v>-0.51535180443804418</v>
      </c>
      <c r="O5" s="38"/>
      <c r="P5" s="38">
        <f>VLOOKUP($C5,Segment!$W$229:$AB$300,2,0)/1000</f>
        <v>184167.6079</v>
      </c>
      <c r="Q5" s="38"/>
      <c r="R5" s="38">
        <f>VLOOKUP($C5,Segment!$W$306:$AB$377,2,0)/1000</f>
        <v>349492.80616999994</v>
      </c>
      <c r="S5" s="38"/>
      <c r="T5" s="38">
        <f>VLOOKUP($C5,Segment!$W$383:$AB$454,2,0)/1000</f>
        <v>564850.51057000004</v>
      </c>
      <c r="U5" s="38"/>
      <c r="V5" s="38">
        <f>VLOOKUP($C5,Segment!$W$460:$AB$531,2,0)/1000</f>
        <v>273753.78070999996</v>
      </c>
      <c r="W5" s="132">
        <f>V5/T5-1</f>
        <v>-0.51535180443804418</v>
      </c>
      <c r="Y5" s="38"/>
      <c r="Z5" s="38">
        <f>VLOOKUP($C5,Segment!$W$229:$AB$300,3,0)/1000</f>
        <v>0</v>
      </c>
      <c r="AA5" s="38"/>
      <c r="AB5" s="38">
        <f>VLOOKUP($C5,Segment!$W$306:$AB$377,3,0)/1000</f>
        <v>0</v>
      </c>
      <c r="AC5" s="38"/>
      <c r="AD5" s="38">
        <f>VLOOKUP($C5,Segment!$W$383:$AB$454,3,0)/1000</f>
        <v>0</v>
      </c>
      <c r="AE5" s="38"/>
      <c r="AF5" s="38">
        <f>VLOOKUP($C5,Segment!$W$460:$AB$531,3,0)/1000</f>
        <v>0</v>
      </c>
      <c r="AH5" s="38"/>
      <c r="AI5" s="38">
        <f>VLOOKUP($C5,Segment!$W$229:$AB$300,4,0)/1000</f>
        <v>0</v>
      </c>
      <c r="AJ5" s="38"/>
      <c r="AK5" s="38">
        <f>VLOOKUP($C5,Segment!$W$306:$AB$377,4,0)/1000</f>
        <v>0</v>
      </c>
      <c r="AL5" s="38"/>
      <c r="AM5" s="38">
        <f>VLOOKUP($C5,Segment!$W$383:$AB$454,4,0)/1000</f>
        <v>0</v>
      </c>
      <c r="AN5" s="38"/>
      <c r="AO5" s="38">
        <f>VLOOKUP($C5,Segment!$W$460:$AB$531,4,0)/1000</f>
        <v>0</v>
      </c>
      <c r="AQ5" s="38"/>
      <c r="AR5" s="38">
        <f>Z5+AI5</f>
        <v>0</v>
      </c>
      <c r="AS5" s="38"/>
      <c r="AT5" s="38">
        <f>AB5+AK5</f>
        <v>0</v>
      </c>
      <c r="AU5" s="38"/>
      <c r="AV5" s="38">
        <f>AD5+AM5</f>
        <v>0</v>
      </c>
      <c r="AW5" s="38"/>
      <c r="AX5" s="38">
        <f>AF5+AO5</f>
        <v>0</v>
      </c>
      <c r="BA5" s="38"/>
      <c r="BB5" s="38">
        <f>VLOOKUP($C5,Segment!$W$229:$AB$300,5,0)/1000</f>
        <v>0</v>
      </c>
      <c r="BC5" s="38"/>
      <c r="BD5" s="38">
        <f>VLOOKUP($C5,Segment!$W$306:$AB$377,5,0)/1000</f>
        <v>0</v>
      </c>
      <c r="BE5" s="38"/>
      <c r="BF5" s="38">
        <f>VLOOKUP($C5,Segment!$W$383:$AB$454,5,0)/1000</f>
        <v>0</v>
      </c>
      <c r="BG5" s="38"/>
      <c r="BH5" s="38">
        <f>VLOOKUP($C5,Segment!$W$460:$AB$531,5,0)/1000</f>
        <v>0</v>
      </c>
    </row>
    <row r="6" spans="2:60" x14ac:dyDescent="0.3">
      <c r="C6" s="39" t="s">
        <v>92</v>
      </c>
      <c r="D6" s="109"/>
      <c r="E6" s="40"/>
      <c r="F6" s="40">
        <f>F5/F$149</f>
        <v>8.6438342898606232E-2</v>
      </c>
      <c r="G6" s="40"/>
      <c r="H6" s="40">
        <f>H5/H$149</f>
        <v>0.11137273867295598</v>
      </c>
      <c r="I6" s="40"/>
      <c r="J6" s="40">
        <f>J5/J$149</f>
        <v>0.10310910010781439</v>
      </c>
      <c r="K6" s="40"/>
      <c r="L6" s="40">
        <f>L5/L$149</f>
        <v>0.10261714363872841</v>
      </c>
      <c r="M6" s="169"/>
      <c r="O6" s="40"/>
      <c r="P6" s="40">
        <f>P5/P$149</f>
        <v>8.6438342898606232E-2</v>
      </c>
      <c r="Q6" s="40"/>
      <c r="R6" s="40">
        <f>R5/R$149</f>
        <v>0.11137273867295598</v>
      </c>
      <c r="S6" s="40"/>
      <c r="T6" s="40">
        <f>T5/T$149</f>
        <v>0.10310910010781439</v>
      </c>
      <c r="U6" s="40"/>
      <c r="V6" s="40">
        <f>V5/V$149</f>
        <v>0.10261714363872841</v>
      </c>
      <c r="W6" s="169"/>
      <c r="Y6" s="40"/>
      <c r="Z6" s="40"/>
      <c r="AA6" s="40"/>
      <c r="AB6" s="40"/>
      <c r="AC6" s="40"/>
      <c r="AD6" s="40"/>
      <c r="AE6" s="40"/>
      <c r="AF6" s="40"/>
      <c r="AH6" s="40"/>
      <c r="AI6" s="40"/>
      <c r="AJ6" s="40"/>
      <c r="AK6" s="40"/>
      <c r="AL6" s="40"/>
      <c r="AM6" s="40"/>
      <c r="AN6" s="40"/>
      <c r="AO6" s="40"/>
      <c r="AQ6" s="40"/>
      <c r="AR6" s="40"/>
      <c r="AS6" s="40"/>
      <c r="AT6" s="40"/>
      <c r="AU6" s="40"/>
      <c r="AV6" s="40"/>
      <c r="AW6" s="40"/>
      <c r="AX6" s="40"/>
      <c r="AY6" s="169"/>
      <c r="BA6" s="40"/>
      <c r="BB6" s="40">
        <f>BB5/BB$149</f>
        <v>0</v>
      </c>
      <c r="BC6" s="40"/>
      <c r="BD6" s="40">
        <f>BD5/BD$149</f>
        <v>0</v>
      </c>
      <c r="BE6" s="40"/>
      <c r="BF6" s="40">
        <f>BF5/BF$149</f>
        <v>0</v>
      </c>
      <c r="BG6" s="40"/>
      <c r="BH6" s="40">
        <f>BH5/BH$149</f>
        <v>0</v>
      </c>
    </row>
    <row r="7" spans="2:60" x14ac:dyDescent="0.3">
      <c r="C7" s="36" t="s">
        <v>19</v>
      </c>
      <c r="D7" s="110">
        <v>9</v>
      </c>
      <c r="E7" s="38"/>
      <c r="F7" s="38">
        <f>VLOOKUP($C7,Segment!$W$229:$AB$300,6,0)/1000</f>
        <v>72027.546545720004</v>
      </c>
      <c r="G7" s="38"/>
      <c r="H7" s="38">
        <f>VLOOKUP($C7,Segment!$W$306:$AB$377,6,0)/1000</f>
        <v>105809.74102511999</v>
      </c>
      <c r="I7" s="38"/>
      <c r="J7" s="38">
        <f>VLOOKUP($C7,Segment!$W$383:$AB$454,6,0)/1000</f>
        <v>147780.71049485996</v>
      </c>
      <c r="K7" s="38"/>
      <c r="L7" s="38">
        <f>VLOOKUP($C7,Segment!$W$460:$AB$531,6,0)/1000</f>
        <v>183370.06995512001</v>
      </c>
      <c r="M7" s="132">
        <f>L7/J7-1</f>
        <v>0.24082547269589627</v>
      </c>
      <c r="O7" s="38"/>
      <c r="P7" s="38">
        <f>VLOOKUP($C7,Segment!$W$229:$AB$300,2,0)/1000</f>
        <v>72027.546545720004</v>
      </c>
      <c r="Q7" s="38"/>
      <c r="R7" s="38">
        <f>VLOOKUP($C7,Segment!$W$306:$AB$377,2,0)/1000</f>
        <v>105809.74102511999</v>
      </c>
      <c r="S7" s="38"/>
      <c r="T7" s="38">
        <f>VLOOKUP($C7,Segment!$W$383:$AB$454,2,0)/1000</f>
        <v>147780.71049485996</v>
      </c>
      <c r="U7" s="38"/>
      <c r="V7" s="38">
        <f>VLOOKUP($C7,Segment!$W$460:$AB$531,2,0)/1000</f>
        <v>183370.06995512001</v>
      </c>
      <c r="W7" s="132">
        <f>V7/T7-1</f>
        <v>0.24082547269589627</v>
      </c>
      <c r="Y7" s="38"/>
      <c r="Z7" s="38">
        <f>VLOOKUP($C7,Segment!$W$229:$AB$300,3,0)/1000</f>
        <v>0</v>
      </c>
      <c r="AA7" s="38"/>
      <c r="AB7" s="38">
        <f>VLOOKUP($C7,Segment!$W$306:$AB$377,3,0)/1000</f>
        <v>0</v>
      </c>
      <c r="AC7" s="38"/>
      <c r="AD7" s="38">
        <f>VLOOKUP($C7,Segment!$W$383:$AB$454,3,0)/1000</f>
        <v>0</v>
      </c>
      <c r="AE7" s="38"/>
      <c r="AF7" s="38">
        <f>VLOOKUP($C7,Segment!$W$460:$AB$531,3,0)/1000</f>
        <v>0</v>
      </c>
      <c r="AH7" s="38"/>
      <c r="AI7" s="38">
        <f>VLOOKUP($C7,Segment!$W$229:$AB$300,4,0)/1000</f>
        <v>0</v>
      </c>
      <c r="AJ7" s="38"/>
      <c r="AK7" s="38">
        <f>VLOOKUP($C7,Segment!$W$306:$AB$377,4,0)/1000</f>
        <v>0</v>
      </c>
      <c r="AL7" s="38"/>
      <c r="AM7" s="38">
        <f>VLOOKUP($C7,Segment!$W$383:$AB$454,4,0)/1000</f>
        <v>0</v>
      </c>
      <c r="AN7" s="38"/>
      <c r="AO7" s="38">
        <f>VLOOKUP($C7,Segment!$W$460:$AB$531,4,0)/1000</f>
        <v>0</v>
      </c>
      <c r="AQ7" s="38"/>
      <c r="AR7" s="38">
        <f>Z7+AI7</f>
        <v>0</v>
      </c>
      <c r="AS7" s="38"/>
      <c r="AT7" s="38">
        <f>AB7+AK7</f>
        <v>0</v>
      </c>
      <c r="AU7" s="38"/>
      <c r="AV7" s="38">
        <f>AD7+AM7</f>
        <v>0</v>
      </c>
      <c r="AW7" s="38"/>
      <c r="AX7" s="38">
        <f>AF7+AO7</f>
        <v>0</v>
      </c>
      <c r="BA7" s="38"/>
      <c r="BB7" s="38">
        <f>VLOOKUP($C7,Segment!$W$229:$AB$300,5,0)/1000</f>
        <v>0</v>
      </c>
      <c r="BC7" s="38"/>
      <c r="BD7" s="38">
        <f>VLOOKUP($C7,Segment!$W$306:$AB$377,5,0)/1000</f>
        <v>0</v>
      </c>
      <c r="BE7" s="38"/>
      <c r="BF7" s="38">
        <f>VLOOKUP($C7,Segment!$W$383:$AB$454,5,0)/1000</f>
        <v>0</v>
      </c>
      <c r="BG7" s="38"/>
      <c r="BH7" s="38">
        <f>VLOOKUP($C7,Segment!$W$460:$AB$531,5,0)/1000</f>
        <v>0</v>
      </c>
    </row>
    <row r="8" spans="2:60" x14ac:dyDescent="0.3">
      <c r="C8" s="39" t="s">
        <v>57</v>
      </c>
      <c r="D8" s="109"/>
      <c r="E8" s="40"/>
      <c r="F8" s="40">
        <f>F7/AVERAGE(E125:F125)*2</f>
        <v>2.455263646823766E-2</v>
      </c>
      <c r="G8" s="40"/>
      <c r="H8" s="40">
        <f>H7/AVERAGE(G125:H125)*2</f>
        <v>2.8336024555208859E-2</v>
      </c>
      <c r="I8" s="40"/>
      <c r="J8" s="40">
        <f>J7/AVERAGE(I125:J125)*2</f>
        <v>2.8563550841498819E-2</v>
      </c>
      <c r="K8" s="40"/>
      <c r="L8" s="40">
        <f>L7/AVERAGE(K125:L125)*2</f>
        <v>2.929059682174337E-2</v>
      </c>
      <c r="M8" s="169"/>
      <c r="O8" s="40"/>
      <c r="P8" s="40">
        <f>P7/AVERAGE(O125:P125)*2</f>
        <v>2.455263646823766E-2</v>
      </c>
      <c r="Q8" s="40"/>
      <c r="R8" s="40">
        <f>R7/AVERAGE(Q125:R125)*2</f>
        <v>2.8336024555208859E-2</v>
      </c>
      <c r="S8" s="40"/>
      <c r="T8" s="207">
        <f>T7/AVERAGE(S125:T125)*2</f>
        <v>2.8563550841498819E-2</v>
      </c>
      <c r="U8" s="207"/>
      <c r="V8" s="207">
        <f>V7/AVERAGE(U125:V125)*2</f>
        <v>2.929059682174337E-2</v>
      </c>
      <c r="W8" s="169"/>
      <c r="Y8" s="40"/>
      <c r="Z8" s="40"/>
      <c r="AA8" s="40"/>
      <c r="AB8" s="40"/>
      <c r="AC8" s="40"/>
      <c r="AD8" s="40"/>
      <c r="AE8" s="40"/>
      <c r="AF8" s="40"/>
      <c r="AH8" s="40"/>
      <c r="AI8" s="40"/>
      <c r="AJ8" s="40"/>
      <c r="AK8" s="40"/>
      <c r="AL8" s="40"/>
      <c r="AM8" s="40"/>
      <c r="AN8" s="40"/>
      <c r="AO8" s="40"/>
      <c r="AQ8" s="40"/>
      <c r="AR8" s="40"/>
      <c r="AS8" s="40"/>
      <c r="AT8" s="40"/>
      <c r="AU8" s="40"/>
      <c r="AV8" s="40"/>
      <c r="AW8" s="40"/>
      <c r="AX8" s="40"/>
      <c r="AY8" s="169"/>
      <c r="BA8" s="40"/>
      <c r="BB8" s="40"/>
      <c r="BC8" s="40"/>
      <c r="BD8" s="40"/>
      <c r="BE8" s="40"/>
      <c r="BF8" s="40"/>
      <c r="BG8" s="40"/>
      <c r="BH8" s="40"/>
    </row>
    <row r="9" spans="2:60" x14ac:dyDescent="0.3">
      <c r="C9" s="36" t="s">
        <v>86</v>
      </c>
      <c r="D9" s="110">
        <v>10</v>
      </c>
      <c r="E9" s="38"/>
      <c r="F9" s="38">
        <f>VLOOKUP($C9,Segment!$W$229:$AB$300,6,0)/1000</f>
        <v>293.47292999984325</v>
      </c>
      <c r="G9" s="38"/>
      <c r="H9" s="38">
        <f>VLOOKUP($C9,Segment!$W$306:$AB$377,6,0)/1000</f>
        <v>-10222.508630000024</v>
      </c>
      <c r="I9" s="38"/>
      <c r="J9" s="38">
        <f>VLOOKUP($C9,Segment!$W$383:$AB$454,6,0)/1000</f>
        <v>1092.2691800000109</v>
      </c>
      <c r="K9" s="38"/>
      <c r="L9" s="38">
        <f>VLOOKUP($C9,Segment!$W$460:$AB$531,6,0)/1000</f>
        <v>8182.1194999999943</v>
      </c>
      <c r="M9" s="132">
        <f>L9/J9-1</f>
        <v>6.4909368952440021</v>
      </c>
      <c r="O9" s="38"/>
      <c r="P9" s="38">
        <f>VLOOKUP($C9,Segment!$W$229:$AB$300,2,0)/1000</f>
        <v>293.47292999984325</v>
      </c>
      <c r="Q9" s="38"/>
      <c r="R9" s="38">
        <f>VLOOKUP($C9,Segment!$W$306:$AB$377,2,0)/1000</f>
        <v>-10222.508630000024</v>
      </c>
      <c r="S9" s="38"/>
      <c r="T9" s="38">
        <f>VLOOKUP($C9,Segment!$W$383:$AB$454,2,0)/1000</f>
        <v>1092.2691800000109</v>
      </c>
      <c r="U9" s="38"/>
      <c r="V9" s="38">
        <f>VLOOKUP($C9,Segment!$W$460:$AB$531,2,0)/1000</f>
        <v>8182.1194999999943</v>
      </c>
      <c r="W9" s="132">
        <f>V9/T9-1</f>
        <v>6.4909368952440021</v>
      </c>
      <c r="Y9" s="38"/>
      <c r="Z9" s="38">
        <f>VLOOKUP($C9,Segment!$W$229:$AB$300,3,0)/1000</f>
        <v>0</v>
      </c>
      <c r="AA9" s="38"/>
      <c r="AB9" s="38">
        <f>VLOOKUP($C9,Segment!$W$306:$AB$377,3,0)/1000</f>
        <v>0</v>
      </c>
      <c r="AC9" s="38"/>
      <c r="AD9" s="38">
        <f>VLOOKUP($C9,Segment!$W$383:$AB$454,3,0)/1000</f>
        <v>0</v>
      </c>
      <c r="AE9" s="38"/>
      <c r="AF9" s="38">
        <f>VLOOKUP($C9,Segment!$W$460:$AB$531,3,0)/1000</f>
        <v>0</v>
      </c>
      <c r="AH9" s="38"/>
      <c r="AI9" s="38">
        <f>VLOOKUP($C9,Segment!$W$229:$AB$300,4,0)/1000</f>
        <v>0</v>
      </c>
      <c r="AJ9" s="38"/>
      <c r="AK9" s="38">
        <f>VLOOKUP($C9,Segment!$W$306:$AB$377,4,0)/1000</f>
        <v>0</v>
      </c>
      <c r="AL9" s="38"/>
      <c r="AM9" s="38">
        <f>VLOOKUP($C9,Segment!$W$383:$AB$454,4,0)/1000</f>
        <v>0</v>
      </c>
      <c r="AN9" s="38"/>
      <c r="AO9" s="38">
        <f>VLOOKUP($C9,Segment!$W$460:$AB$531,4,0)/1000</f>
        <v>0</v>
      </c>
      <c r="AQ9" s="38"/>
      <c r="AR9" s="38">
        <f>Z9+AI9</f>
        <v>0</v>
      </c>
      <c r="AS9" s="38"/>
      <c r="AT9" s="38">
        <f>AB9+AK9</f>
        <v>0</v>
      </c>
      <c r="AU9" s="38"/>
      <c r="AV9" s="38">
        <f>AD9+AM9</f>
        <v>0</v>
      </c>
      <c r="AW9" s="38"/>
      <c r="AX9" s="38">
        <f>AF9+AO9</f>
        <v>0</v>
      </c>
      <c r="BA9" s="38"/>
      <c r="BB9" s="38">
        <f>VLOOKUP($C9,Segment!$W$229:$AB$300,5,0)/1000</f>
        <v>0</v>
      </c>
      <c r="BC9" s="38"/>
      <c r="BD9" s="38">
        <f>VLOOKUP($C9,Segment!$W$306:$AB$377,5,0)/1000</f>
        <v>0</v>
      </c>
      <c r="BE9" s="38"/>
      <c r="BF9" s="38">
        <f>VLOOKUP($C9,Segment!$W$383:$AB$454,5,0)/1000</f>
        <v>0</v>
      </c>
      <c r="BG9" s="38"/>
      <c r="BH9" s="38">
        <f>VLOOKUP($C9,Segment!$W$460:$AB$531,5,0)/1000</f>
        <v>0</v>
      </c>
    </row>
    <row r="10" spans="2:60" x14ac:dyDescent="0.3">
      <c r="C10" s="36" t="s">
        <v>87</v>
      </c>
      <c r="E10" s="38"/>
      <c r="F10" s="38">
        <f>VLOOKUP($C10,Segment!$W$229:$AB$300,6,0)/1000</f>
        <v>-4870.19686</v>
      </c>
      <c r="G10" s="38"/>
      <c r="H10" s="38">
        <f>VLOOKUP($C10,Segment!$W$306:$AB$377,6,0)/1000</f>
        <v>-50980.1679</v>
      </c>
      <c r="I10" s="38"/>
      <c r="J10" s="38">
        <f>VLOOKUP($C10,Segment!$W$383:$AB$454,6,0)/1000</f>
        <v>-141844.47036000001</v>
      </c>
      <c r="K10" s="38"/>
      <c r="L10" s="38">
        <f>VLOOKUP($C10,Segment!$W$460:$AB$531,6,0)/1000</f>
        <v>-138668.14356</v>
      </c>
      <c r="M10" s="132">
        <f>L10/J10-1</f>
        <v>-2.2393025205272532E-2</v>
      </c>
      <c r="O10" s="38"/>
      <c r="P10" s="38">
        <f>VLOOKUP($C10,Segment!$W$229:$AB$300,2,0)/1000</f>
        <v>-4870.19686</v>
      </c>
      <c r="Q10" s="38"/>
      <c r="R10" s="38">
        <f>VLOOKUP($C10,Segment!$W$306:$AB$377,2,0)/1000</f>
        <v>-50980.1679</v>
      </c>
      <c r="S10" s="38"/>
      <c r="T10" s="38">
        <f>VLOOKUP($C10,Segment!$W$383:$AB$454,2,0)/1000</f>
        <v>-141844.47036000001</v>
      </c>
      <c r="U10" s="38"/>
      <c r="V10" s="38">
        <f>VLOOKUP($C10,Segment!$W$460:$AB$531,2,0)/1000</f>
        <v>-138668.14356</v>
      </c>
      <c r="W10" s="132">
        <f>V10/T10-1</f>
        <v>-2.2393025205272532E-2</v>
      </c>
      <c r="Y10" s="38"/>
      <c r="Z10" s="38">
        <f>VLOOKUP($C10,Segment!$W$229:$AB$300,3,0)/1000</f>
        <v>0</v>
      </c>
      <c r="AA10" s="38"/>
      <c r="AB10" s="38">
        <f>VLOOKUP($C10,Segment!$W$306:$AB$377,3,0)/1000</f>
        <v>0</v>
      </c>
      <c r="AC10" s="38"/>
      <c r="AD10" s="38">
        <f>VLOOKUP($C10,Segment!$W$383:$AB$454,3,0)/1000</f>
        <v>0</v>
      </c>
      <c r="AE10" s="38"/>
      <c r="AF10" s="38">
        <f>VLOOKUP($C10,Segment!$W$460:$AB$531,3,0)/1000</f>
        <v>0</v>
      </c>
      <c r="AH10" s="38"/>
      <c r="AI10" s="38">
        <f>VLOOKUP($C10,Segment!$W$229:$AB$300,4,0)/1000</f>
        <v>0</v>
      </c>
      <c r="AJ10" s="38"/>
      <c r="AK10" s="38">
        <f>VLOOKUP($C10,Segment!$W$306:$AB$377,4,0)/1000</f>
        <v>0</v>
      </c>
      <c r="AL10" s="38"/>
      <c r="AM10" s="38">
        <f>VLOOKUP($C10,Segment!$W$383:$AB$454,4,0)/1000</f>
        <v>0</v>
      </c>
      <c r="AN10" s="38"/>
      <c r="AO10" s="38">
        <f>VLOOKUP($C10,Segment!$W$460:$AB$531,4,0)/1000</f>
        <v>0</v>
      </c>
      <c r="AQ10" s="38"/>
      <c r="AR10" s="38">
        <f>Z10+AI10</f>
        <v>0</v>
      </c>
      <c r="AS10" s="38"/>
      <c r="AT10" s="38">
        <f>AB10+AK10</f>
        <v>0</v>
      </c>
      <c r="AU10" s="38"/>
      <c r="AV10" s="38">
        <f>AD10+AM10</f>
        <v>0</v>
      </c>
      <c r="AW10" s="38"/>
      <c r="AX10" s="38">
        <f>AF10+AO10</f>
        <v>0</v>
      </c>
      <c r="BA10" s="38"/>
      <c r="BB10" s="38">
        <f>VLOOKUP($C10,Segment!$W$229:$AB$300,5,0)/1000</f>
        <v>0</v>
      </c>
      <c r="BC10" s="38"/>
      <c r="BD10" s="38">
        <f>VLOOKUP($C10,Segment!$W$306:$AB$377,5,0)/1000</f>
        <v>0</v>
      </c>
      <c r="BE10" s="38"/>
      <c r="BF10" s="38">
        <f>VLOOKUP($C10,Segment!$W$383:$AB$454,5,0)/1000</f>
        <v>0</v>
      </c>
      <c r="BG10" s="38"/>
      <c r="BH10" s="38">
        <f>VLOOKUP($C10,Segment!$W$460:$AB$531,5,0)/1000</f>
        <v>0</v>
      </c>
    </row>
    <row r="11" spans="2:60" x14ac:dyDescent="0.3">
      <c r="C11" s="43" t="s">
        <v>18</v>
      </c>
      <c r="D11" s="111"/>
      <c r="E11" s="44"/>
      <c r="F11" s="44">
        <f>F5+F7+F9+F10</f>
        <v>251618.43051571987</v>
      </c>
      <c r="G11" s="44"/>
      <c r="H11" s="44">
        <f>H5+H7+H9+H10</f>
        <v>394099.8706651199</v>
      </c>
      <c r="I11" s="44"/>
      <c r="J11" s="44">
        <f>J5+J7+J9+J10</f>
        <v>571879.01988486003</v>
      </c>
      <c r="K11" s="44"/>
      <c r="L11" s="44">
        <f>L5+L7+L9+L10</f>
        <v>326637.82660511992</v>
      </c>
      <c r="M11" s="170">
        <f>L11/J11-1</f>
        <v>-0.42883404488088417</v>
      </c>
      <c r="O11" s="44"/>
      <c r="P11" s="44">
        <f>P5+P7+P9+P10</f>
        <v>251618.43051571987</v>
      </c>
      <c r="Q11" s="44"/>
      <c r="R11" s="44">
        <f>R5+R7+R9+R10</f>
        <v>394099.8706651199</v>
      </c>
      <c r="S11" s="44"/>
      <c r="T11" s="44">
        <f>T5+T7+T9+T10</f>
        <v>571879.01988486003</v>
      </c>
      <c r="U11" s="44"/>
      <c r="V11" s="44">
        <f>V5+V7+V9+V10</f>
        <v>326637.82660511992</v>
      </c>
      <c r="W11" s="170">
        <f>V11/T11-1</f>
        <v>-0.42883404488088417</v>
      </c>
      <c r="Y11" s="44"/>
      <c r="Z11" s="44">
        <f>Z5+Z7+Z9+Z10</f>
        <v>0</v>
      </c>
      <c r="AA11" s="44"/>
      <c r="AB11" s="44">
        <f>AB5+AB7+AB9+AB10</f>
        <v>0</v>
      </c>
      <c r="AC11" s="44"/>
      <c r="AD11" s="44">
        <f>AD5+AD7+AD9+AD10</f>
        <v>0</v>
      </c>
      <c r="AE11" s="44"/>
      <c r="AF11" s="44">
        <f>AF5+AF7+AF9+AF10</f>
        <v>0</v>
      </c>
      <c r="AH11" s="44"/>
      <c r="AI11" s="44">
        <f>AI5+AI7+AI9+AI10</f>
        <v>0</v>
      </c>
      <c r="AJ11" s="44"/>
      <c r="AK11" s="44">
        <f>AK5+AK7+AK9+AK10</f>
        <v>0</v>
      </c>
      <c r="AL11" s="44"/>
      <c r="AM11" s="44">
        <f>AM5+AM7+AM9+AM10</f>
        <v>0</v>
      </c>
      <c r="AN11" s="44"/>
      <c r="AO11" s="44">
        <f>AO5+AO7+AO9+AO10</f>
        <v>0</v>
      </c>
      <c r="AQ11" s="44"/>
      <c r="AR11" s="44">
        <f>AR5+AR7+AR9+AR10</f>
        <v>0</v>
      </c>
      <c r="AS11" s="44"/>
      <c r="AT11" s="44">
        <f>AT5+AT7+AT9+AT10</f>
        <v>0</v>
      </c>
      <c r="AU11" s="44"/>
      <c r="AV11" s="44">
        <f>AV5+AV7+AV9+AV10</f>
        <v>0</v>
      </c>
      <c r="AW11" s="44"/>
      <c r="AX11" s="44">
        <f>AX5+AX7+AX9+AX10</f>
        <v>0</v>
      </c>
      <c r="AY11" s="170"/>
      <c r="BA11" s="44"/>
      <c r="BB11" s="44">
        <f>BB5+BB7+BB9+BB10</f>
        <v>0</v>
      </c>
      <c r="BC11" s="44"/>
      <c r="BD11" s="44">
        <f>BD5+BD7+BD9+BD10</f>
        <v>0</v>
      </c>
      <c r="BE11" s="44"/>
      <c r="BF11" s="44">
        <f>BF5+BF7+BF9+BF10</f>
        <v>0</v>
      </c>
      <c r="BG11" s="44"/>
      <c r="BH11" s="44">
        <f>BH5+BH7+BH9+BH10</f>
        <v>0</v>
      </c>
    </row>
    <row r="12" spans="2:60" x14ac:dyDescent="0.3">
      <c r="C12" s="39" t="s">
        <v>56</v>
      </c>
      <c r="D12" s="109"/>
      <c r="E12" s="40"/>
      <c r="F12" s="40">
        <f>F11/F$149</f>
        <v>0.11809612137839424</v>
      </c>
      <c r="G12" s="40"/>
      <c r="H12" s="40">
        <f>H11/H$149</f>
        <v>0.125587654829388</v>
      </c>
      <c r="I12" s="40"/>
      <c r="J12" s="40">
        <f>J11/J$149</f>
        <v>0.1043921002237624</v>
      </c>
      <c r="K12" s="40"/>
      <c r="L12" s="40">
        <f>L11/L$149</f>
        <v>0.12244083235543513</v>
      </c>
      <c r="M12" s="169"/>
      <c r="O12" s="40"/>
      <c r="P12" s="40">
        <f>P11/P$149</f>
        <v>0.11809612137839424</v>
      </c>
      <c r="Q12" s="40"/>
      <c r="R12" s="40">
        <f>R11/R$149</f>
        <v>0.125587654829388</v>
      </c>
      <c r="S12" s="40"/>
      <c r="T12" s="207">
        <f>T11/T$149</f>
        <v>0.1043921002237624</v>
      </c>
      <c r="U12" s="207"/>
      <c r="V12" s="207">
        <f>V11/V$149</f>
        <v>0.12244083235543513</v>
      </c>
      <c r="W12" s="169"/>
      <c r="Y12" s="40"/>
      <c r="Z12" s="40"/>
      <c r="AA12" s="40"/>
      <c r="AB12" s="40"/>
      <c r="AC12" s="40"/>
      <c r="AD12" s="40"/>
      <c r="AE12" s="40"/>
      <c r="AF12" s="40"/>
      <c r="AH12" s="40"/>
      <c r="AI12" s="40"/>
      <c r="AJ12" s="40"/>
      <c r="AK12" s="40"/>
      <c r="AL12" s="40"/>
      <c r="AM12" s="40"/>
      <c r="AN12" s="40"/>
      <c r="AO12" s="40"/>
      <c r="AQ12" s="40"/>
      <c r="AR12" s="40"/>
      <c r="AS12" s="40"/>
      <c r="AT12" s="40"/>
      <c r="AU12" s="40"/>
      <c r="AV12" s="40"/>
      <c r="AW12" s="40"/>
      <c r="AX12" s="40"/>
      <c r="AY12" s="169"/>
      <c r="BA12" s="40"/>
      <c r="BB12" s="40">
        <f>BB11/BB$149</f>
        <v>0</v>
      </c>
      <c r="BC12" s="40"/>
      <c r="BD12" s="40">
        <f>BD11/BD$149</f>
        <v>0</v>
      </c>
      <c r="BE12" s="40"/>
      <c r="BF12" s="40">
        <f>BF11/BF$149</f>
        <v>0</v>
      </c>
      <c r="BG12" s="40"/>
      <c r="BH12" s="40">
        <f>BH11/BH$149</f>
        <v>0</v>
      </c>
    </row>
    <row r="13" spans="2:60" x14ac:dyDescent="0.3">
      <c r="C13" s="37"/>
      <c r="D13" s="107"/>
      <c r="E13" s="37"/>
      <c r="F13" s="37"/>
      <c r="G13" s="37"/>
      <c r="H13" s="37"/>
      <c r="I13" s="37"/>
      <c r="J13" s="37"/>
      <c r="K13" s="37"/>
      <c r="L13" s="37"/>
      <c r="M13" s="171"/>
      <c r="O13" s="37"/>
      <c r="P13" s="37"/>
      <c r="Q13" s="37"/>
      <c r="R13" s="37"/>
      <c r="S13" s="37"/>
      <c r="T13" s="37"/>
      <c r="U13" s="37"/>
      <c r="V13" s="37"/>
      <c r="W13" s="171"/>
      <c r="Y13" s="37"/>
      <c r="Z13" s="37"/>
      <c r="AA13" s="37"/>
      <c r="AB13" s="37"/>
      <c r="AC13" s="37"/>
      <c r="AD13" s="37"/>
      <c r="AE13" s="37"/>
      <c r="AF13" s="37"/>
      <c r="AH13" s="37"/>
      <c r="AI13" s="37"/>
      <c r="AJ13" s="37"/>
      <c r="AK13" s="37"/>
      <c r="AL13" s="37"/>
      <c r="AM13" s="37"/>
      <c r="AN13" s="37"/>
      <c r="AO13" s="37"/>
      <c r="AQ13" s="37"/>
      <c r="AR13" s="37"/>
      <c r="AS13" s="37"/>
      <c r="AT13" s="37"/>
      <c r="AU13" s="37"/>
      <c r="AV13" s="37"/>
      <c r="AW13" s="37"/>
      <c r="AX13" s="37"/>
      <c r="AY13" s="171"/>
      <c r="BA13" s="37"/>
      <c r="BB13" s="37"/>
      <c r="BC13" s="37"/>
      <c r="BD13" s="37"/>
      <c r="BE13" s="37"/>
      <c r="BF13" s="37"/>
      <c r="BG13" s="37"/>
      <c r="BH13" s="37"/>
    </row>
    <row r="14" spans="2:60" x14ac:dyDescent="0.3">
      <c r="C14" s="36" t="s">
        <v>12</v>
      </c>
      <c r="D14" s="110">
        <v>11</v>
      </c>
      <c r="E14" s="38"/>
      <c r="F14" s="38">
        <f>VLOOKUP($C14,Segment!$W$229:$AB$300,6,0)/1000</f>
        <v>216668.7979399999</v>
      </c>
      <c r="G14" s="38"/>
      <c r="H14" s="38">
        <f>VLOOKUP($C14,Segment!$W$306:$AB$377,6,0)/1000</f>
        <v>313334.84824999998</v>
      </c>
      <c r="I14" s="38"/>
      <c r="J14" s="38">
        <f>VLOOKUP($C14,Segment!$W$383:$AB$454,6,0)/1000</f>
        <v>591920.74221000005</v>
      </c>
      <c r="K14" s="38"/>
      <c r="L14" s="38">
        <f>VLOOKUP($C14,Segment!$W$460:$AB$531,6,0)/1000</f>
        <v>1050801.0861600004</v>
      </c>
      <c r="M14" s="132">
        <f>L14/J14-1</f>
        <v>0.77523950628376537</v>
      </c>
      <c r="N14" s="132"/>
      <c r="O14" s="38"/>
      <c r="P14" s="38">
        <f>VLOOKUP($C14,Segment!$W$229:$AB$300,2,0)/1000</f>
        <v>216668.7979399999</v>
      </c>
      <c r="Q14" s="38"/>
      <c r="R14" s="38">
        <f>VLOOKUP($C14,Segment!$W$306:$AB$377,2,0)/1000</f>
        <v>313334.84824999998</v>
      </c>
      <c r="S14" s="38"/>
      <c r="T14" s="38">
        <f>VLOOKUP($C14,Segment!$W$383:$AB$454,2,0)/1000</f>
        <v>591920.74221000005</v>
      </c>
      <c r="U14" s="38"/>
      <c r="V14" s="38">
        <f>VLOOKUP($C14,Segment!$W$460:$AB$531,2,0)/1000</f>
        <v>1050801.0861600004</v>
      </c>
      <c r="W14" s="132">
        <f>V14/T14-1</f>
        <v>0.77523950628376537</v>
      </c>
      <c r="Y14" s="38"/>
      <c r="Z14" s="38">
        <f>VLOOKUP($C14,Segment!$W$229:$AB$300,3,0)/1000</f>
        <v>0</v>
      </c>
      <c r="AA14" s="38"/>
      <c r="AB14" s="38">
        <f>VLOOKUP($C14,Segment!$W$306:$AB$377,3,0)/1000</f>
        <v>0</v>
      </c>
      <c r="AC14" s="38"/>
      <c r="AD14" s="38">
        <f>VLOOKUP($C14,Segment!$W$383:$AB$454,3,0)/1000</f>
        <v>0</v>
      </c>
      <c r="AE14" s="38"/>
      <c r="AF14" s="38">
        <f>VLOOKUP($C14,Segment!$W$460:$AB$531,3,0)/1000</f>
        <v>0</v>
      </c>
      <c r="AH14" s="38"/>
      <c r="AI14" s="38">
        <f>VLOOKUP($C14,Segment!$W$229:$AB$300,4,0)/1000</f>
        <v>0</v>
      </c>
      <c r="AJ14" s="38"/>
      <c r="AK14" s="38">
        <f>VLOOKUP($C14,Segment!$W$306:$AB$377,4,0)/1000</f>
        <v>0</v>
      </c>
      <c r="AL14" s="38"/>
      <c r="AM14" s="38">
        <f>VLOOKUP($C14,Segment!$W$383:$AB$454,4,0)/1000</f>
        <v>0</v>
      </c>
      <c r="AN14" s="38"/>
      <c r="AO14" s="38">
        <f>VLOOKUP($C14,Segment!$W$460:$AB$531,4,0)/1000</f>
        <v>0</v>
      </c>
      <c r="AQ14" s="38"/>
      <c r="AR14" s="38">
        <f>Z14+AI14</f>
        <v>0</v>
      </c>
      <c r="AS14" s="38"/>
      <c r="AT14" s="38">
        <f>AB14+AK14</f>
        <v>0</v>
      </c>
      <c r="AU14" s="38"/>
      <c r="AV14" s="38">
        <f>AD14+AM14</f>
        <v>0</v>
      </c>
      <c r="AW14" s="38"/>
      <c r="AX14" s="38">
        <f>AF14+AO14</f>
        <v>0</v>
      </c>
      <c r="BA14" s="38"/>
      <c r="BB14" s="38">
        <f>VLOOKUP($C14,Segment!$W$229:$AB$300,5,0)/1000</f>
        <v>0</v>
      </c>
      <c r="BC14" s="38"/>
      <c r="BD14" s="38">
        <f>VLOOKUP($C14,Segment!$W$306:$AB$377,5,0)/1000</f>
        <v>0</v>
      </c>
      <c r="BE14" s="38"/>
      <c r="BF14" s="38">
        <f>VLOOKUP($C14,Segment!$W$383:$AB$454,5,0)/1000</f>
        <v>0</v>
      </c>
      <c r="BG14" s="38"/>
      <c r="BH14" s="38">
        <f>VLOOKUP($C14,Segment!$W$460:$AB$531,5,0)/1000</f>
        <v>0</v>
      </c>
    </row>
    <row r="15" spans="2:60" x14ac:dyDescent="0.3">
      <c r="C15" s="36" t="s">
        <v>3</v>
      </c>
      <c r="E15" s="38"/>
      <c r="F15" s="38">
        <f>VLOOKUP($C15,Segment!$W$229:$AB$300,6,0)/1000</f>
        <v>-69946.971709999998</v>
      </c>
      <c r="G15" s="38"/>
      <c r="H15" s="38">
        <f>VLOOKUP($C15,Segment!$W$306:$AB$377,6,0)/1000</f>
        <v>-144471.18968000001</v>
      </c>
      <c r="I15" s="38"/>
      <c r="J15" s="38">
        <f>VLOOKUP($C15,Segment!$W$383:$AB$454,6,0)/1000</f>
        <v>-372748.05892000016</v>
      </c>
      <c r="K15" s="38"/>
      <c r="L15" s="38">
        <f>VLOOKUP($C15,Segment!$W$460:$AB$531,6,0)/1000</f>
        <v>-678609.08772999991</v>
      </c>
      <c r="M15" s="132">
        <f>L15/J15-1</f>
        <v>0.8205569995352926</v>
      </c>
      <c r="N15" s="132"/>
      <c r="O15" s="38"/>
      <c r="P15" s="38">
        <f>VLOOKUP($C15,Segment!$W$229:$AB$300,2,0)/1000</f>
        <v>-69946.971709999998</v>
      </c>
      <c r="Q15" s="38"/>
      <c r="R15" s="38">
        <f>VLOOKUP($C15,Segment!$W$306:$AB$377,2,0)/1000</f>
        <v>-144464.90384000001</v>
      </c>
      <c r="S15" s="38"/>
      <c r="T15" s="38">
        <f>VLOOKUP($C15,Segment!$W$383:$AB$454,2,0)/1000</f>
        <v>-372701.01966000017</v>
      </c>
      <c r="U15" s="38"/>
      <c r="V15" s="38">
        <f>VLOOKUP($C15,Segment!$W$460:$AB$531,2,0)/1000</f>
        <v>-678581.73314999987</v>
      </c>
      <c r="W15" s="132">
        <f>V15/T15-1</f>
        <v>0.82071337977299375</v>
      </c>
      <c r="Y15" s="38"/>
      <c r="Z15" s="38">
        <f>VLOOKUP($C15,Segment!$W$229:$AB$300,3,0)/1000</f>
        <v>0</v>
      </c>
      <c r="AA15" s="38"/>
      <c r="AB15" s="38">
        <f>VLOOKUP($C15,Segment!$W$306:$AB$377,3,0)/1000</f>
        <v>0</v>
      </c>
      <c r="AC15" s="38"/>
      <c r="AD15" s="38">
        <f>VLOOKUP($C15,Segment!$W$383:$AB$454,3,0)/1000</f>
        <v>0</v>
      </c>
      <c r="AE15" s="38"/>
      <c r="AF15" s="38">
        <f>VLOOKUP($C15,Segment!$W$460:$AB$531,3,0)/1000</f>
        <v>0</v>
      </c>
      <c r="AH15" s="38"/>
      <c r="AI15" s="38">
        <f>VLOOKUP($C15,Segment!$W$229:$AB$300,4,0)/1000</f>
        <v>0</v>
      </c>
      <c r="AJ15" s="38"/>
      <c r="AK15" s="38">
        <f>VLOOKUP($C15,Segment!$W$306:$AB$377,4,0)/1000</f>
        <v>0</v>
      </c>
      <c r="AL15" s="38"/>
      <c r="AM15" s="38">
        <f>VLOOKUP($C15,Segment!$W$383:$AB$454,4,0)/1000</f>
        <v>0</v>
      </c>
      <c r="AN15" s="38"/>
      <c r="AO15" s="38">
        <f>VLOOKUP($C15,Segment!$W$460:$AB$531,4,0)/1000</f>
        <v>0</v>
      </c>
      <c r="AQ15" s="38"/>
      <c r="AR15" s="38">
        <f>Z15+AI15</f>
        <v>0</v>
      </c>
      <c r="AS15" s="38"/>
      <c r="AT15" s="38">
        <f>AB15+AK15</f>
        <v>0</v>
      </c>
      <c r="AU15" s="38"/>
      <c r="AV15" s="38">
        <f>AD15+AM15</f>
        <v>0</v>
      </c>
      <c r="AW15" s="38"/>
      <c r="AX15" s="38">
        <f>AF15+AO15</f>
        <v>0</v>
      </c>
      <c r="BA15" s="38"/>
      <c r="BB15" s="38">
        <f>VLOOKUP($C15,Segment!$W$229:$AB$300,5,0)/1000</f>
        <v>0</v>
      </c>
      <c r="BC15" s="38"/>
      <c r="BD15" s="38">
        <f>VLOOKUP($C15,Segment!$W$306:$AB$377,5,0)/1000</f>
        <v>-6.2858400000000003</v>
      </c>
      <c r="BE15" s="38"/>
      <c r="BF15" s="38">
        <f>VLOOKUP($C15,Segment!$W$383:$AB$454,5,0)/1000</f>
        <v>-47.039259999999999</v>
      </c>
      <c r="BG15" s="38"/>
      <c r="BH15" s="38">
        <f>VLOOKUP($C15,Segment!$W$460:$AB$531,5,0)/1000</f>
        <v>-27.354580000000002</v>
      </c>
    </row>
    <row r="16" spans="2:60" x14ac:dyDescent="0.3">
      <c r="C16" s="36" t="s">
        <v>88</v>
      </c>
      <c r="E16" s="38"/>
      <c r="F16" s="38">
        <f>VLOOKUP($C16,Segment!$W$229:$AB$300,6,0)/1000</f>
        <v>43135.005570000001</v>
      </c>
      <c r="G16" s="38"/>
      <c r="H16" s="38">
        <f>VLOOKUP($C16,Segment!$W$306:$AB$377,6,0)/1000</f>
        <v>52189.284610000002</v>
      </c>
      <c r="I16" s="38"/>
      <c r="J16" s="38">
        <f>VLOOKUP($C16,Segment!$W$383:$AB$454,6,0)/1000</f>
        <v>35151.038529999998</v>
      </c>
      <c r="K16" s="38"/>
      <c r="L16" s="38">
        <f>VLOOKUP($C16,Segment!$W$460:$AB$531,6,0)/1000</f>
        <v>54527.627449999993</v>
      </c>
      <c r="M16" s="132">
        <f>L16/J16-1</f>
        <v>0.55123802113166165</v>
      </c>
      <c r="N16" s="132"/>
      <c r="O16" s="38"/>
      <c r="P16" s="38">
        <f>VLOOKUP($C16,Segment!$W$229:$AB$300,2,0)/1000</f>
        <v>43135.005570000001</v>
      </c>
      <c r="Q16" s="38"/>
      <c r="R16" s="38">
        <f>VLOOKUP($C16,Segment!$W$306:$AB$377,2,0)/1000</f>
        <v>51728.13884</v>
      </c>
      <c r="S16" s="38"/>
      <c r="T16" s="38">
        <f>VLOOKUP($C16,Segment!$W$383:$AB$454,2,0)/1000</f>
        <v>35142.19339</v>
      </c>
      <c r="U16" s="38"/>
      <c r="V16" s="38">
        <f>VLOOKUP($C16,Segment!$W$460:$AB$531,2,0)/1000</f>
        <v>53990.581669999992</v>
      </c>
      <c r="W16" s="132">
        <f>V16/T16-1</f>
        <v>0.53634638199229356</v>
      </c>
      <c r="Y16" s="38"/>
      <c r="Z16" s="38">
        <f>VLOOKUP($C16,Segment!$W$229:$AB$300,3,0)/1000</f>
        <v>0</v>
      </c>
      <c r="AA16" s="38"/>
      <c r="AB16" s="38">
        <f>VLOOKUP($C16,Segment!$W$306:$AB$377,3,0)/1000</f>
        <v>0</v>
      </c>
      <c r="AC16" s="38"/>
      <c r="AD16" s="38">
        <f>VLOOKUP($C16,Segment!$W$383:$AB$454,3,0)/1000</f>
        <v>0</v>
      </c>
      <c r="AE16" s="38"/>
      <c r="AF16" s="38">
        <f>VLOOKUP($C16,Segment!$W$460:$AB$531,3,0)/1000</f>
        <v>0</v>
      </c>
      <c r="AH16" s="38"/>
      <c r="AI16" s="38">
        <f>VLOOKUP($C16,Segment!$W$229:$AB$300,4,0)/1000</f>
        <v>0</v>
      </c>
      <c r="AJ16" s="38"/>
      <c r="AK16" s="38">
        <f>VLOOKUP($C16,Segment!$W$306:$AB$377,4,0)/1000</f>
        <v>0</v>
      </c>
      <c r="AL16" s="38"/>
      <c r="AM16" s="38">
        <f>VLOOKUP($C16,Segment!$W$383:$AB$454,4,0)/1000</f>
        <v>0</v>
      </c>
      <c r="AN16" s="38"/>
      <c r="AO16" s="38">
        <f>VLOOKUP($C16,Segment!$W$460:$AB$531,4,0)/1000</f>
        <v>0</v>
      </c>
      <c r="AQ16" s="38"/>
      <c r="AR16" s="38">
        <f>Z16+AI16</f>
        <v>0</v>
      </c>
      <c r="AS16" s="38"/>
      <c r="AT16" s="38">
        <f>AB16+AK16</f>
        <v>0</v>
      </c>
      <c r="AU16" s="38"/>
      <c r="AV16" s="38">
        <f>AD16+AM16</f>
        <v>0</v>
      </c>
      <c r="AW16" s="38"/>
      <c r="AX16" s="38">
        <f>AF16+AO16</f>
        <v>0</v>
      </c>
      <c r="BA16" s="38"/>
      <c r="BB16" s="38">
        <f>VLOOKUP($C16,Segment!$W$229:$AB$300,5,0)/1000</f>
        <v>0</v>
      </c>
      <c r="BC16" s="38"/>
      <c r="BD16" s="38">
        <f>VLOOKUP($C16,Segment!$W$306:$AB$377,5,0)/1000</f>
        <v>461.14576999999997</v>
      </c>
      <c r="BE16" s="38"/>
      <c r="BF16" s="38">
        <f>VLOOKUP($C16,Segment!$W$383:$AB$454,5,0)/1000</f>
        <v>8.8451399999999989</v>
      </c>
      <c r="BG16" s="38"/>
      <c r="BH16" s="38">
        <f>VLOOKUP($C16,Segment!$W$460:$AB$531,5,0)/1000</f>
        <v>537.04577999999992</v>
      </c>
    </row>
    <row r="17" spans="3:60" x14ac:dyDescent="0.3">
      <c r="C17" s="36" t="s">
        <v>13</v>
      </c>
      <c r="E17" s="38"/>
      <c r="F17" s="38">
        <f>VLOOKUP($C17,Segment!$W$229:$AB$300,6,0)/1000</f>
        <v>-2121.5503700000008</v>
      </c>
      <c r="G17" s="38"/>
      <c r="H17" s="38">
        <f>VLOOKUP($C17,Segment!$W$306:$AB$377,6,0)/1000</f>
        <v>-3922.6303499999999</v>
      </c>
      <c r="I17" s="38"/>
      <c r="J17" s="38">
        <f>VLOOKUP($C17,Segment!$W$383:$AB$454,6,0)/1000</f>
        <v>-6956.3074100000013</v>
      </c>
      <c r="K17" s="38"/>
      <c r="L17" s="38">
        <f>VLOOKUP($C17,Segment!$W$460:$AB$531,6,0)/1000</f>
        <v>-6795.2342399999998</v>
      </c>
      <c r="M17" s="132">
        <f>L17/J17-1</f>
        <v>-2.3154981588141332E-2</v>
      </c>
      <c r="N17" s="132"/>
      <c r="O17" s="38"/>
      <c r="P17" s="38">
        <f>VLOOKUP($C17,Segment!$W$229:$AB$300,2,0)/1000</f>
        <v>-2121.5503700000008</v>
      </c>
      <c r="Q17" s="38"/>
      <c r="R17" s="38">
        <f>VLOOKUP($C17,Segment!$W$306:$AB$377,2,0)/1000</f>
        <v>-3922.6303499999999</v>
      </c>
      <c r="S17" s="38"/>
      <c r="T17" s="38">
        <f>VLOOKUP($C17,Segment!$W$383:$AB$454,2,0)/1000</f>
        <v>-6956.3074100000013</v>
      </c>
      <c r="U17" s="38"/>
      <c r="V17" s="38">
        <f>VLOOKUP($C17,Segment!$W$460:$AB$531,2,0)/1000</f>
        <v>-6795.2342399999998</v>
      </c>
      <c r="W17" s="132">
        <f>V17/T17-1</f>
        <v>-2.3154981588141332E-2</v>
      </c>
      <c r="Y17" s="38"/>
      <c r="Z17" s="38">
        <f>VLOOKUP($C17,Segment!$W$229:$AB$300,3,0)/1000</f>
        <v>0</v>
      </c>
      <c r="AA17" s="38"/>
      <c r="AB17" s="38">
        <f>VLOOKUP($C17,Segment!$W$306:$AB$377,3,0)/1000</f>
        <v>0</v>
      </c>
      <c r="AC17" s="38"/>
      <c r="AD17" s="38">
        <f>VLOOKUP($C17,Segment!$W$383:$AB$454,3,0)/1000</f>
        <v>0</v>
      </c>
      <c r="AE17" s="38"/>
      <c r="AF17" s="38">
        <f>VLOOKUP($C17,Segment!$W$460:$AB$531,3,0)/1000</f>
        <v>0</v>
      </c>
      <c r="AH17" s="38"/>
      <c r="AI17" s="38">
        <f>VLOOKUP($C17,Segment!$W$229:$AB$300,4,0)/1000</f>
        <v>0</v>
      </c>
      <c r="AJ17" s="38"/>
      <c r="AK17" s="38">
        <f>VLOOKUP($C17,Segment!$W$306:$AB$377,4,0)/1000</f>
        <v>0</v>
      </c>
      <c r="AL17" s="38"/>
      <c r="AM17" s="38">
        <f>VLOOKUP($C17,Segment!$W$383:$AB$454,4,0)/1000</f>
        <v>0</v>
      </c>
      <c r="AN17" s="38"/>
      <c r="AO17" s="38">
        <f>VLOOKUP($C17,Segment!$W$460:$AB$531,4,0)/1000</f>
        <v>0</v>
      </c>
      <c r="AQ17" s="38"/>
      <c r="AR17" s="38">
        <f>Z17+AI17</f>
        <v>0</v>
      </c>
      <c r="AS17" s="38"/>
      <c r="AT17" s="38">
        <f>AB17+AK17</f>
        <v>0</v>
      </c>
      <c r="AU17" s="38"/>
      <c r="AV17" s="38">
        <f>AD17+AM17</f>
        <v>0</v>
      </c>
      <c r="AW17" s="38"/>
      <c r="AX17" s="38">
        <f>AF17+AO17</f>
        <v>0</v>
      </c>
      <c r="BA17" s="38"/>
      <c r="BB17" s="38">
        <f>VLOOKUP($C17,Segment!$W$229:$AB$300,5,0)/1000</f>
        <v>0</v>
      </c>
      <c r="BC17" s="38"/>
      <c r="BD17" s="38">
        <f>VLOOKUP($C17,Segment!$W$306:$AB$377,5,0)/1000</f>
        <v>0</v>
      </c>
      <c r="BE17" s="38"/>
      <c r="BF17" s="38">
        <f>VLOOKUP($C17,Segment!$W$383:$AB$454,5,0)/1000</f>
        <v>0</v>
      </c>
      <c r="BG17" s="38"/>
      <c r="BH17" s="38">
        <f>VLOOKUP($C17,Segment!$W$460:$AB$531,5,0)/1000</f>
        <v>0</v>
      </c>
    </row>
    <row r="18" spans="3:60" x14ac:dyDescent="0.3">
      <c r="C18" s="43" t="s">
        <v>14</v>
      </c>
      <c r="D18" s="111"/>
      <c r="E18" s="44"/>
      <c r="F18" s="44">
        <f>F14+F15+F16+F17</f>
        <v>187735.28142999989</v>
      </c>
      <c r="G18" s="44"/>
      <c r="H18" s="44">
        <f>H14+H15+H16+H17</f>
        <v>217130.31282999998</v>
      </c>
      <c r="I18" s="44"/>
      <c r="J18" s="44">
        <f>J14+J15+J16+J17</f>
        <v>247367.41440999988</v>
      </c>
      <c r="K18" s="44"/>
      <c r="L18" s="44">
        <f>L14+L15+L16+L17</f>
        <v>419924.39164000045</v>
      </c>
      <c r="M18" s="170">
        <f>L18/J18-1</f>
        <v>0.69757359772534744</v>
      </c>
      <c r="N18" s="132"/>
      <c r="O18" s="44"/>
      <c r="P18" s="44">
        <f>P14+P15+P16+P17</f>
        <v>187735.28142999989</v>
      </c>
      <c r="Q18" s="44"/>
      <c r="R18" s="44">
        <f>R14+R15+R16+R17</f>
        <v>216675.45289999997</v>
      </c>
      <c r="S18" s="44"/>
      <c r="T18" s="44">
        <f>T14+T15+T16+T17</f>
        <v>247405.60852999988</v>
      </c>
      <c r="U18" s="44"/>
      <c r="V18" s="44">
        <f>V14+V15+V16+V17</f>
        <v>419414.70044000051</v>
      </c>
      <c r="W18" s="170">
        <f>V18/T18-1</f>
        <v>0.69525138468776126</v>
      </c>
      <c r="Y18" s="44"/>
      <c r="Z18" s="44">
        <f>Z14+Z15+Z16+Z17</f>
        <v>0</v>
      </c>
      <c r="AA18" s="44"/>
      <c r="AB18" s="44">
        <f>AB14+AB15+AB16+AB17</f>
        <v>0</v>
      </c>
      <c r="AC18" s="44"/>
      <c r="AD18" s="44">
        <f>AD14+AD15+AD16+AD17</f>
        <v>0</v>
      </c>
      <c r="AE18" s="44"/>
      <c r="AF18" s="44">
        <f>AF14+AF15+AF16+AF17</f>
        <v>0</v>
      </c>
      <c r="AH18" s="44"/>
      <c r="AI18" s="44">
        <f>AI14+AI15+AI16+AI17</f>
        <v>0</v>
      </c>
      <c r="AJ18" s="44"/>
      <c r="AK18" s="44">
        <f>AK14+AK15+AK16+AK17</f>
        <v>0</v>
      </c>
      <c r="AL18" s="44"/>
      <c r="AM18" s="44">
        <f>AM14+AM15+AM16+AM17</f>
        <v>0</v>
      </c>
      <c r="AN18" s="44"/>
      <c r="AO18" s="44">
        <f>AO14+AO15+AO16+AO17</f>
        <v>0</v>
      </c>
      <c r="AQ18" s="44"/>
      <c r="AR18" s="44">
        <f>AR14+AR15+AR16+AR17</f>
        <v>0</v>
      </c>
      <c r="AS18" s="44"/>
      <c r="AT18" s="44">
        <f>AT14+AT15+AT16+AT17</f>
        <v>0</v>
      </c>
      <c r="AU18" s="44"/>
      <c r="AV18" s="44">
        <f>AV14+AV15+AV16+AV17</f>
        <v>0</v>
      </c>
      <c r="AW18" s="44"/>
      <c r="AX18" s="44">
        <f>AX14+AX15+AX16+AX17</f>
        <v>0</v>
      </c>
      <c r="AY18" s="170"/>
      <c r="BA18" s="44"/>
      <c r="BB18" s="44">
        <f>BB14+BB15+BB16+BB17</f>
        <v>0</v>
      </c>
      <c r="BC18" s="44"/>
      <c r="BD18" s="44">
        <f>BD14+BD15+BD16+BD17</f>
        <v>454.85992999999996</v>
      </c>
      <c r="BE18" s="44"/>
      <c r="BF18" s="44">
        <f>BF14+BF15+BF16+BF17</f>
        <v>-38.194119999999998</v>
      </c>
      <c r="BG18" s="44"/>
      <c r="BH18" s="44">
        <f>BH14+BH15+BH16+BH17</f>
        <v>509.69119999999992</v>
      </c>
    </row>
    <row r="19" spans="3:60" x14ac:dyDescent="0.3">
      <c r="C19" s="39" t="s">
        <v>54</v>
      </c>
      <c r="D19" s="109"/>
      <c r="E19" s="40"/>
      <c r="F19" s="40">
        <f>F18/AVERAGE(E122:F122)*2</f>
        <v>0.15143627138928212</v>
      </c>
      <c r="G19" s="40"/>
      <c r="H19" s="40">
        <f>H18/AVERAGE(G122:H122)*2</f>
        <v>0.11194188967064034</v>
      </c>
      <c r="I19" s="40"/>
      <c r="J19" s="40">
        <f>J18/AVERAGE(I122:J122)*2</f>
        <v>8.0610138569754866E-2</v>
      </c>
      <c r="K19" s="40"/>
      <c r="L19" s="40">
        <f>L18/AVERAGE(K122:L122)*2</f>
        <v>0.10197975310981025</v>
      </c>
      <c r="M19" s="169"/>
      <c r="N19" s="104"/>
      <c r="O19" s="40"/>
      <c r="P19" s="40">
        <f>P18/AVERAGE(O122:P122)*2</f>
        <v>0.15143627138928212</v>
      </c>
      <c r="Q19" s="40"/>
      <c r="R19" s="40">
        <f>R18/AVERAGE(Q122:R122)*2</f>
        <v>0.11170738588608806</v>
      </c>
      <c r="S19" s="40"/>
      <c r="T19" s="40">
        <f>T18/AVERAGE(S122:T122)*2</f>
        <v>8.0622584967810551E-2</v>
      </c>
      <c r="U19" s="40"/>
      <c r="V19" s="40">
        <f>V18/AVERAGE(U122:V122)*2</f>
        <v>0.1018559732490233</v>
      </c>
      <c r="W19" s="169"/>
      <c r="Y19" s="40"/>
      <c r="Z19" s="40"/>
      <c r="AA19" s="40"/>
      <c r="AB19" s="40"/>
      <c r="AC19" s="40"/>
      <c r="AD19" s="40"/>
      <c r="AE19" s="40"/>
      <c r="AF19" s="40"/>
      <c r="AH19" s="40"/>
      <c r="AI19" s="40"/>
      <c r="AJ19" s="40"/>
      <c r="AK19" s="40"/>
      <c r="AL19" s="40"/>
      <c r="AM19" s="40"/>
      <c r="AN19" s="40"/>
      <c r="AO19" s="40"/>
      <c r="AQ19" s="40"/>
      <c r="AR19" s="40"/>
      <c r="AS19" s="40"/>
      <c r="AT19" s="40"/>
      <c r="AU19" s="40"/>
      <c r="AV19" s="40"/>
      <c r="AW19" s="40"/>
      <c r="AX19" s="40"/>
      <c r="AY19" s="169"/>
      <c r="BA19" s="40"/>
      <c r="BB19" s="40"/>
      <c r="BC19" s="40"/>
      <c r="BD19" s="40"/>
      <c r="BE19" s="40"/>
      <c r="BF19" s="40"/>
      <c r="BG19" s="40"/>
      <c r="BH19" s="40"/>
    </row>
    <row r="20" spans="3:60" x14ac:dyDescent="0.3">
      <c r="C20" s="45"/>
      <c r="D20" s="112"/>
      <c r="E20" s="45"/>
      <c r="F20" s="45"/>
      <c r="G20" s="45"/>
      <c r="H20" s="45"/>
      <c r="I20" s="45"/>
      <c r="J20" s="45"/>
      <c r="K20" s="45"/>
      <c r="L20" s="45"/>
      <c r="M20" s="172"/>
      <c r="O20" s="45"/>
      <c r="P20" s="45"/>
      <c r="Q20" s="45"/>
      <c r="R20" s="45"/>
      <c r="S20" s="45"/>
      <c r="T20" s="45"/>
      <c r="U20" s="45"/>
      <c r="V20" s="45"/>
      <c r="W20" s="172"/>
      <c r="Y20" s="45"/>
      <c r="Z20" s="45"/>
      <c r="AA20" s="45"/>
      <c r="AB20" s="45"/>
      <c r="AC20" s="45"/>
      <c r="AD20" s="45"/>
      <c r="AE20" s="45"/>
      <c r="AF20" s="45"/>
      <c r="AH20" s="45"/>
      <c r="AI20" s="45"/>
      <c r="AJ20" s="45"/>
      <c r="AK20" s="45"/>
      <c r="AL20" s="45"/>
      <c r="AM20" s="45"/>
      <c r="AN20" s="45"/>
      <c r="AO20" s="45"/>
      <c r="AQ20" s="45"/>
      <c r="AR20" s="45"/>
      <c r="AS20" s="45"/>
      <c r="AT20" s="45"/>
      <c r="AU20" s="45"/>
      <c r="AV20" s="45"/>
      <c r="AW20" s="45"/>
      <c r="AX20" s="45"/>
      <c r="AY20" s="172"/>
      <c r="BA20" s="45"/>
      <c r="BB20" s="45"/>
      <c r="BC20" s="45"/>
      <c r="BD20" s="45"/>
      <c r="BE20" s="45"/>
      <c r="BF20" s="45"/>
      <c r="BG20" s="45"/>
      <c r="BH20" s="45"/>
    </row>
    <row r="21" spans="3:60" x14ac:dyDescent="0.3">
      <c r="C21" s="36" t="s">
        <v>15</v>
      </c>
      <c r="D21" s="110">
        <v>12</v>
      </c>
      <c r="E21" s="38"/>
      <c r="F21" s="38">
        <f>VLOOKUP($C21,Segment!$W$229:$AB$300,6,0)/1000</f>
        <v>55023.185950000006</v>
      </c>
      <c r="G21" s="38"/>
      <c r="H21" s="38">
        <f>VLOOKUP($C21,Segment!$W$306:$AB$377,6,0)/1000</f>
        <v>104885.67745000002</v>
      </c>
      <c r="I21" s="38"/>
      <c r="J21" s="38">
        <f>VLOOKUP($C21,Segment!$W$383:$AB$454,6,0)/1000</f>
        <v>177024.80572</v>
      </c>
      <c r="K21" s="38"/>
      <c r="L21" s="38">
        <f>VLOOKUP($C21,Segment!$W$460:$AB$531,6,0)/1000</f>
        <v>92722.167539999966</v>
      </c>
      <c r="M21" s="132">
        <f>L21/J21-1</f>
        <v>-0.47621935150343542</v>
      </c>
      <c r="O21" s="38"/>
      <c r="P21" s="38">
        <f>VLOOKUP($C21,Segment!$W$229:$AB$300,2,0)/1000</f>
        <v>55023.185950000006</v>
      </c>
      <c r="Q21" s="38"/>
      <c r="R21" s="38">
        <f>VLOOKUP($C21,Segment!$W$306:$AB$377,2,0)/1000</f>
        <v>98097.917460000026</v>
      </c>
      <c r="S21" s="38"/>
      <c r="T21" s="38">
        <f>VLOOKUP($C21,Segment!$W$383:$AB$454,2,0)/1000</f>
        <v>168984.86537000001</v>
      </c>
      <c r="U21" s="38"/>
      <c r="V21" s="38">
        <f>VLOOKUP($C21,Segment!$W$460:$AB$531,2,0)/1000</f>
        <v>85088.980469999966</v>
      </c>
      <c r="W21" s="132">
        <f>V21/T21-1</f>
        <v>-0.49646981530746093</v>
      </c>
      <c r="Y21" s="38"/>
      <c r="Z21" s="38">
        <f>VLOOKUP($C21,Segment!$W$229:$AB$300,3,0)/1000</f>
        <v>0</v>
      </c>
      <c r="AA21" s="38"/>
      <c r="AB21" s="38">
        <f>VLOOKUP($C21,Segment!$W$306:$AB$377,3,0)/1000</f>
        <v>0</v>
      </c>
      <c r="AC21" s="38"/>
      <c r="AD21" s="38">
        <f>VLOOKUP($C21,Segment!$W$383:$AB$454,3,0)/1000</f>
        <v>0</v>
      </c>
      <c r="AE21" s="38"/>
      <c r="AF21" s="38">
        <f>VLOOKUP($C21,Segment!$W$460:$AB$531,3,0)/1000</f>
        <v>0</v>
      </c>
      <c r="AH21" s="38"/>
      <c r="AI21" s="38">
        <f>VLOOKUP($C21,Segment!$W$229:$AB$300,4,0)/1000</f>
        <v>0</v>
      </c>
      <c r="AJ21" s="38"/>
      <c r="AK21" s="38">
        <f>VLOOKUP($C21,Segment!$W$306:$AB$377,4,0)/1000</f>
        <v>0</v>
      </c>
      <c r="AL21" s="38"/>
      <c r="AM21" s="38">
        <f>VLOOKUP($C21,Segment!$W$383:$AB$454,4,0)/1000</f>
        <v>0</v>
      </c>
      <c r="AN21" s="38"/>
      <c r="AO21" s="38">
        <f>VLOOKUP($C21,Segment!$W$460:$AB$531,4,0)/1000</f>
        <v>0</v>
      </c>
      <c r="AQ21" s="38"/>
      <c r="AR21" s="38">
        <f>Z21+AI21</f>
        <v>0</v>
      </c>
      <c r="AS21" s="38"/>
      <c r="AT21" s="38">
        <f>AB21+AK21</f>
        <v>0</v>
      </c>
      <c r="AU21" s="38"/>
      <c r="AV21" s="38">
        <f>AD21+AM21</f>
        <v>0</v>
      </c>
      <c r="AW21" s="38"/>
      <c r="AX21" s="38">
        <f>AF21+AO21</f>
        <v>0</v>
      </c>
      <c r="BA21" s="38"/>
      <c r="BB21" s="38">
        <f>VLOOKUP($C21,Segment!$W$229:$AB$300,5,0)/1000</f>
        <v>0</v>
      </c>
      <c r="BC21" s="38"/>
      <c r="BD21" s="38">
        <f>VLOOKUP($C21,Segment!$W$306:$AB$377,5,0)/1000</f>
        <v>6787.7599899999996</v>
      </c>
      <c r="BE21" s="38"/>
      <c r="BF21" s="38">
        <f>VLOOKUP($C21,Segment!$W$383:$AB$454,5,0)/1000</f>
        <v>8039.9403499999999</v>
      </c>
      <c r="BG21" s="38"/>
      <c r="BH21" s="38">
        <f>VLOOKUP($C21,Segment!$W$460:$AB$531,5,0)/1000</f>
        <v>7633.187069999999</v>
      </c>
    </row>
    <row r="22" spans="3:60" x14ac:dyDescent="0.3">
      <c r="C22" s="39" t="s">
        <v>55</v>
      </c>
      <c r="D22" s="109"/>
      <c r="E22" s="40"/>
      <c r="F22" s="40">
        <f>F21/F$135</f>
        <v>1.8038381031990239E-2</v>
      </c>
      <c r="G22" s="40"/>
      <c r="H22" s="40">
        <f>H21/H$135</f>
        <v>2.09900255697489E-2</v>
      </c>
      <c r="I22" s="40"/>
      <c r="J22" s="40">
        <f>J21/J$135</f>
        <v>2.261027669785615E-2</v>
      </c>
      <c r="K22" s="40"/>
      <c r="L22" s="40">
        <f>L21/L$135</f>
        <v>1.95997945475847E-2</v>
      </c>
      <c r="M22" s="169"/>
      <c r="O22" s="40"/>
      <c r="P22" s="40">
        <f>P21/P$135</f>
        <v>1.8038381031990239E-2</v>
      </c>
      <c r="Q22" s="40"/>
      <c r="R22" s="40">
        <f>R21/R$135</f>
        <v>1.9631639379991603E-2</v>
      </c>
      <c r="S22" s="40"/>
      <c r="T22" s="40">
        <f>T21/T$135</f>
        <v>2.1583385154558609E-2</v>
      </c>
      <c r="U22" s="40"/>
      <c r="V22" s="40">
        <f>V21/V$135</f>
        <v>1.798627641826854E-2</v>
      </c>
      <c r="W22" s="169"/>
      <c r="Y22" s="40"/>
      <c r="Z22" s="40"/>
      <c r="AA22" s="40"/>
      <c r="AB22" s="40"/>
      <c r="AC22" s="40"/>
      <c r="AD22" s="40"/>
      <c r="AE22" s="40"/>
      <c r="AF22" s="40"/>
      <c r="AH22" s="40"/>
      <c r="AI22" s="40"/>
      <c r="AJ22" s="40"/>
      <c r="AK22" s="40"/>
      <c r="AL22" s="40"/>
      <c r="AM22" s="40"/>
      <c r="AN22" s="40"/>
      <c r="AO22" s="40"/>
      <c r="AQ22" s="40"/>
      <c r="AR22" s="40"/>
      <c r="AS22" s="40"/>
      <c r="AT22" s="40"/>
      <c r="AU22" s="40"/>
      <c r="AV22" s="40"/>
      <c r="AW22" s="40"/>
      <c r="AX22" s="40"/>
      <c r="AY22" s="169"/>
      <c r="BA22" s="40"/>
      <c r="BB22" s="40">
        <f>BB21/BB$135</f>
        <v>0</v>
      </c>
      <c r="BC22" s="40"/>
      <c r="BD22" s="40">
        <f>BD21/BD$135</f>
        <v>1.3583861897572987E-3</v>
      </c>
      <c r="BE22" s="40"/>
      <c r="BF22" s="40">
        <f>BF21/BF$135</f>
        <v>1.0268915432975424E-3</v>
      </c>
      <c r="BG22" s="40"/>
      <c r="BH22" s="40">
        <f>BH21/BH$135</f>
        <v>1.6135181293161565E-3</v>
      </c>
    </row>
    <row r="23" spans="3:60" x14ac:dyDescent="0.3">
      <c r="C23" s="39" t="s">
        <v>99</v>
      </c>
      <c r="D23" s="109"/>
      <c r="E23" s="40"/>
      <c r="F23" s="40">
        <f>F189/F$135</f>
        <v>1.5872228698005378E-2</v>
      </c>
      <c r="G23" s="40"/>
      <c r="H23" s="40">
        <f>H189/H$135</f>
        <v>1.6110529046514093E-2</v>
      </c>
      <c r="I23" s="40"/>
      <c r="J23" s="40">
        <f>J189/J$135</f>
        <v>1.6127017809277052E-2</v>
      </c>
      <c r="K23" s="40"/>
      <c r="L23" s="40">
        <f>L189/L$135</f>
        <v>1.7409031798174882E-2</v>
      </c>
      <c r="M23" s="169"/>
      <c r="O23" s="40"/>
      <c r="P23" s="40">
        <f>P189/P$135</f>
        <v>1.5872228698005378E-2</v>
      </c>
      <c r="Q23" s="40"/>
      <c r="R23" s="40">
        <f>R189/R$135</f>
        <v>1.4752142856756797E-2</v>
      </c>
      <c r="S23" s="40"/>
      <c r="T23" s="40">
        <f>T189/T$135</f>
        <v>1.5100126265979511E-2</v>
      </c>
      <c r="U23" s="40"/>
      <c r="V23" s="40">
        <f>V189/V$135</f>
        <v>1.5795513668858726E-2</v>
      </c>
      <c r="W23" s="169"/>
      <c r="Y23" s="40"/>
      <c r="Z23" s="40"/>
      <c r="AA23" s="40"/>
      <c r="AB23" s="40"/>
      <c r="AC23" s="40"/>
      <c r="AD23" s="40"/>
      <c r="AE23" s="40"/>
      <c r="AF23" s="40"/>
      <c r="AH23" s="40"/>
      <c r="AI23" s="40"/>
      <c r="AJ23" s="40"/>
      <c r="AK23" s="40"/>
      <c r="AL23" s="40"/>
      <c r="AM23" s="40"/>
      <c r="AN23" s="40"/>
      <c r="AO23" s="40"/>
      <c r="AQ23" s="40"/>
      <c r="AR23" s="40"/>
      <c r="AS23" s="40"/>
      <c r="AT23" s="40"/>
      <c r="AU23" s="40"/>
      <c r="AV23" s="40"/>
      <c r="AW23" s="40"/>
      <c r="AX23" s="40"/>
      <c r="AY23" s="169"/>
      <c r="BA23" s="40"/>
      <c r="BB23" s="40"/>
      <c r="BC23" s="40"/>
      <c r="BD23" s="40"/>
      <c r="BE23" s="40"/>
      <c r="BF23" s="40"/>
      <c r="BG23" s="40"/>
      <c r="BH23" s="40"/>
    </row>
    <row r="24" spans="3:60" x14ac:dyDescent="0.3">
      <c r="C24" s="36" t="s">
        <v>16</v>
      </c>
      <c r="D24" s="110">
        <v>13</v>
      </c>
      <c r="E24" s="38"/>
      <c r="F24" s="38">
        <f>VLOOKUP($C24,Segment!$W$229:$AB$300,6,0)/1000</f>
        <v>-19480.156709999999</v>
      </c>
      <c r="G24" s="38"/>
      <c r="H24" s="38">
        <f>VLOOKUP($C24,Segment!$W$306:$AB$377,6,0)/1000</f>
        <v>-37253.245489999987</v>
      </c>
      <c r="I24" s="38"/>
      <c r="J24" s="38">
        <f>VLOOKUP($C24,Segment!$W$383:$AB$454,6,0)/1000</f>
        <v>-69062.228630000012</v>
      </c>
      <c r="K24" s="38"/>
      <c r="L24" s="38">
        <f>VLOOKUP($C24,Segment!$W$460:$AB$531,6,0)/1000</f>
        <v>-58832.21942999999</v>
      </c>
      <c r="M24" s="132">
        <f>L24/J24-1</f>
        <v>-0.14812741208812075</v>
      </c>
      <c r="O24" s="38"/>
      <c r="P24" s="38">
        <f>VLOOKUP($C24,Segment!$W$229:$AB$300,2,0)/1000</f>
        <v>-19480.156709999999</v>
      </c>
      <c r="Q24" s="38"/>
      <c r="R24" s="38">
        <f>VLOOKUP($C24,Segment!$W$306:$AB$377,2,0)/1000</f>
        <v>-37253.245489999987</v>
      </c>
      <c r="S24" s="38"/>
      <c r="T24" s="38">
        <f>VLOOKUP($C24,Segment!$W$383:$AB$454,2,0)/1000</f>
        <v>-69062.228630000012</v>
      </c>
      <c r="U24" s="38"/>
      <c r="V24" s="38">
        <f>VLOOKUP($C24,Segment!$W$460:$AB$531,2,0)/1000</f>
        <v>-58832.21942999999</v>
      </c>
      <c r="W24" s="132">
        <f>V24/T24-1</f>
        <v>-0.14812741208812075</v>
      </c>
      <c r="Y24" s="38"/>
      <c r="Z24" s="38">
        <f>VLOOKUP($C24,Segment!$W$229:$AB$300,3,0)/1000</f>
        <v>0</v>
      </c>
      <c r="AA24" s="38"/>
      <c r="AB24" s="38">
        <f>VLOOKUP($C24,Segment!$W$306:$AB$377,3,0)/1000</f>
        <v>0</v>
      </c>
      <c r="AC24" s="38"/>
      <c r="AD24" s="38">
        <f>VLOOKUP($C24,Segment!$W$383:$AB$454,3,0)/1000</f>
        <v>0</v>
      </c>
      <c r="AE24" s="38"/>
      <c r="AF24" s="38">
        <f>VLOOKUP($C24,Segment!$W$460:$AB$531,3,0)/1000</f>
        <v>0</v>
      </c>
      <c r="AH24" s="38"/>
      <c r="AI24" s="38">
        <f>VLOOKUP($C24,Segment!$W$229:$AB$300,4,0)/1000</f>
        <v>0</v>
      </c>
      <c r="AJ24" s="38"/>
      <c r="AK24" s="38">
        <f>VLOOKUP($C24,Segment!$W$306:$AB$377,4,0)/1000</f>
        <v>0</v>
      </c>
      <c r="AL24" s="38"/>
      <c r="AM24" s="38">
        <f>VLOOKUP($C24,Segment!$W$383:$AB$454,4,0)/1000</f>
        <v>0</v>
      </c>
      <c r="AN24" s="38"/>
      <c r="AO24" s="38">
        <f>VLOOKUP($C24,Segment!$W$460:$AB$531,4,0)/1000</f>
        <v>0</v>
      </c>
      <c r="AQ24" s="38"/>
      <c r="AR24" s="38">
        <f>Z24+AI24</f>
        <v>0</v>
      </c>
      <c r="AS24" s="38"/>
      <c r="AT24" s="38">
        <f>AB24+AK24</f>
        <v>0</v>
      </c>
      <c r="AU24" s="38"/>
      <c r="AV24" s="38">
        <f>AD24+AM24</f>
        <v>0</v>
      </c>
      <c r="AW24" s="38"/>
      <c r="AX24" s="38">
        <f>AF24+AO24</f>
        <v>0</v>
      </c>
      <c r="BA24" s="38"/>
      <c r="BB24" s="38">
        <f>VLOOKUP($C24,Segment!$W$229:$AB$300,5,0)/1000</f>
        <v>0</v>
      </c>
      <c r="BC24" s="38"/>
      <c r="BD24" s="38">
        <f>VLOOKUP($C24,Segment!$W$306:$AB$377,5,0)/1000</f>
        <v>0</v>
      </c>
      <c r="BE24" s="38"/>
      <c r="BF24" s="38">
        <f>VLOOKUP($C24,Segment!$W$383:$AB$454,5,0)/1000</f>
        <v>0</v>
      </c>
      <c r="BG24" s="38"/>
      <c r="BH24" s="38">
        <f>VLOOKUP($C24,Segment!$W$460:$AB$531,5,0)/1000</f>
        <v>0</v>
      </c>
    </row>
    <row r="25" spans="3:60" x14ac:dyDescent="0.3">
      <c r="C25" s="39" t="s">
        <v>126</v>
      </c>
      <c r="D25" s="109"/>
      <c r="E25" s="40"/>
      <c r="F25" s="40">
        <f>-F24/F$135</f>
        <v>6.3862257924717884E-3</v>
      </c>
      <c r="G25" s="40"/>
      <c r="H25" s="40">
        <f>-H24/H$135</f>
        <v>7.4552273904508453E-3</v>
      </c>
      <c r="I25" s="40"/>
      <c r="J25" s="40">
        <f>-J24/J$135</f>
        <v>8.8208886452034972E-3</v>
      </c>
      <c r="K25" s="40"/>
      <c r="L25" s="40">
        <f>-L24/L$135</f>
        <v>1.2436070512577026E-2</v>
      </c>
      <c r="M25" s="169"/>
      <c r="O25" s="40"/>
      <c r="P25" s="40">
        <f>-P24/P$135</f>
        <v>6.3862257924717884E-3</v>
      </c>
      <c r="Q25" s="40"/>
      <c r="R25" s="40">
        <f>-R24/R$135</f>
        <v>7.4552273904508453E-3</v>
      </c>
      <c r="S25" s="40"/>
      <c r="T25" s="40">
        <f>-T24/T$135</f>
        <v>8.8208886452034972E-3</v>
      </c>
      <c r="U25" s="40"/>
      <c r="V25" s="40">
        <f>-V24/V$135</f>
        <v>1.2436070512577026E-2</v>
      </c>
      <c r="W25" s="169"/>
      <c r="Y25" s="40"/>
      <c r="Z25" s="40"/>
      <c r="AA25" s="40"/>
      <c r="AB25" s="40"/>
      <c r="AC25" s="40"/>
      <c r="AD25" s="40"/>
      <c r="AE25" s="40"/>
      <c r="AF25" s="40"/>
      <c r="AH25" s="40"/>
      <c r="AI25" s="40"/>
      <c r="AJ25" s="40"/>
      <c r="AK25" s="40"/>
      <c r="AL25" s="40"/>
      <c r="AM25" s="40"/>
      <c r="AN25" s="40"/>
      <c r="AO25" s="40"/>
      <c r="AQ25" s="40"/>
      <c r="AR25" s="40"/>
      <c r="AS25" s="40"/>
      <c r="AT25" s="40"/>
      <c r="AU25" s="40"/>
      <c r="AV25" s="40"/>
      <c r="AW25" s="40"/>
      <c r="AX25" s="40"/>
      <c r="AY25" s="169"/>
      <c r="BA25" s="40"/>
      <c r="BB25" s="40">
        <f>-BB24/BB$135</f>
        <v>0</v>
      </c>
      <c r="BC25" s="40"/>
      <c r="BD25" s="40">
        <f>-BD24/BD$135</f>
        <v>0</v>
      </c>
      <c r="BE25" s="40"/>
      <c r="BF25" s="40">
        <f>-BF24/BF$135</f>
        <v>0</v>
      </c>
      <c r="BG25" s="40"/>
      <c r="BH25" s="40">
        <f>-BH24/BH$135</f>
        <v>0</v>
      </c>
    </row>
    <row r="26" spans="3:60" x14ac:dyDescent="0.3">
      <c r="C26" s="39" t="s">
        <v>127</v>
      </c>
      <c r="D26" s="109"/>
      <c r="E26" s="40"/>
      <c r="F26" s="40">
        <f>-F193/F$135</f>
        <v>6.1170754230126028E-3</v>
      </c>
      <c r="G26" s="40"/>
      <c r="H26" s="40">
        <f>-H193/H$135</f>
        <v>5.9963314751680912E-3</v>
      </c>
      <c r="I26" s="40"/>
      <c r="J26" s="40">
        <f>-J193/J$135</f>
        <v>7.106516256867151E-3</v>
      </c>
      <c r="K26" s="40"/>
      <c r="L26" s="40">
        <f>-L193/L$135</f>
        <v>1.1290384411978186E-2</v>
      </c>
      <c r="M26" s="169"/>
      <c r="O26" s="40"/>
      <c r="P26" s="40">
        <f>-P193/P$135</f>
        <v>6.1170754230126028E-3</v>
      </c>
      <c r="Q26" s="40"/>
      <c r="R26" s="40">
        <f>-R193/R$135</f>
        <v>5.9963314751680912E-3</v>
      </c>
      <c r="S26" s="40"/>
      <c r="T26" s="40">
        <f>-T193/T$135</f>
        <v>7.106516256867151E-3</v>
      </c>
      <c r="U26" s="40"/>
      <c r="V26" s="40">
        <f>-V193/V$135</f>
        <v>1.1290384411978186E-2</v>
      </c>
      <c r="W26" s="169"/>
      <c r="Y26" s="40"/>
      <c r="Z26" s="40"/>
      <c r="AA26" s="40"/>
      <c r="AB26" s="40"/>
      <c r="AC26" s="40"/>
      <c r="AD26" s="40"/>
      <c r="AE26" s="40"/>
      <c r="AF26" s="40"/>
      <c r="AH26" s="40"/>
      <c r="AI26" s="40"/>
      <c r="AJ26" s="40"/>
      <c r="AK26" s="40"/>
      <c r="AL26" s="40"/>
      <c r="AM26" s="40"/>
      <c r="AN26" s="40"/>
      <c r="AO26" s="40"/>
      <c r="AQ26" s="40"/>
      <c r="AR26" s="40"/>
      <c r="AS26" s="40"/>
      <c r="AT26" s="40"/>
      <c r="AU26" s="40"/>
      <c r="AV26" s="40"/>
      <c r="AW26" s="40"/>
      <c r="AX26" s="40"/>
      <c r="AY26" s="169"/>
      <c r="BA26" s="40"/>
      <c r="BB26" s="40"/>
      <c r="BC26" s="40"/>
      <c r="BD26" s="40"/>
      <c r="BE26" s="40"/>
      <c r="BF26" s="40"/>
      <c r="BG26" s="40"/>
      <c r="BH26" s="40"/>
    </row>
    <row r="27" spans="3:60" x14ac:dyDescent="0.3">
      <c r="C27" s="43" t="s">
        <v>17</v>
      </c>
      <c r="D27" s="111"/>
      <c r="E27" s="44"/>
      <c r="F27" s="44">
        <f>F21+F24</f>
        <v>35543.029240000003</v>
      </c>
      <c r="G27" s="44"/>
      <c r="H27" s="44">
        <f>H21+H24</f>
        <v>67632.431960000031</v>
      </c>
      <c r="I27" s="44"/>
      <c r="J27" s="44">
        <f>J21+J24</f>
        <v>107962.57708999999</v>
      </c>
      <c r="K27" s="44"/>
      <c r="L27" s="44">
        <f>L21+L24</f>
        <v>33889.948109999976</v>
      </c>
      <c r="M27" s="170">
        <f>L27/J27-1</f>
        <v>-0.68609541358253634</v>
      </c>
      <c r="O27" s="44"/>
      <c r="P27" s="44">
        <f>P21+P24</f>
        <v>35543.029240000003</v>
      </c>
      <c r="Q27" s="44"/>
      <c r="R27" s="44">
        <f>R21+R24</f>
        <v>60844.671970000039</v>
      </c>
      <c r="S27" s="44"/>
      <c r="T27" s="44">
        <f>T21+T24</f>
        <v>99922.636740000002</v>
      </c>
      <c r="U27" s="44"/>
      <c r="V27" s="44">
        <f>V21+V24</f>
        <v>26256.761039999976</v>
      </c>
      <c r="W27" s="170">
        <f>V27/T27-1</f>
        <v>-0.73722910146656351</v>
      </c>
      <c r="Y27" s="44"/>
      <c r="Z27" s="44">
        <f>Z21+Z24</f>
        <v>0</v>
      </c>
      <c r="AA27" s="44"/>
      <c r="AB27" s="44">
        <f>AB21+AB24</f>
        <v>0</v>
      </c>
      <c r="AC27" s="44"/>
      <c r="AD27" s="44">
        <f>AD21+AD24</f>
        <v>0</v>
      </c>
      <c r="AE27" s="44"/>
      <c r="AF27" s="44">
        <f>AF21+AF24</f>
        <v>0</v>
      </c>
      <c r="AG27" s="49"/>
      <c r="AH27" s="44"/>
      <c r="AI27" s="44">
        <f>AI21+AI24</f>
        <v>0</v>
      </c>
      <c r="AJ27" s="44"/>
      <c r="AK27" s="44">
        <f>AK21+AK24</f>
        <v>0</v>
      </c>
      <c r="AL27" s="44"/>
      <c r="AM27" s="44">
        <f>AM21+AM24</f>
        <v>0</v>
      </c>
      <c r="AN27" s="44"/>
      <c r="AO27" s="44">
        <f>AO21+AO24</f>
        <v>0</v>
      </c>
      <c r="AP27" s="49"/>
      <c r="AQ27" s="44"/>
      <c r="AR27" s="44">
        <f>AR21+AR24</f>
        <v>0</v>
      </c>
      <c r="AS27" s="44"/>
      <c r="AT27" s="44">
        <f>AT21+AT24</f>
        <v>0</v>
      </c>
      <c r="AU27" s="44"/>
      <c r="AV27" s="44">
        <f>AV21+AV24</f>
        <v>0</v>
      </c>
      <c r="AW27" s="44"/>
      <c r="AX27" s="44">
        <f>AX21+AX24</f>
        <v>0</v>
      </c>
      <c r="AY27" s="170"/>
      <c r="AZ27" s="44"/>
      <c r="BA27" s="44"/>
      <c r="BB27" s="44">
        <f>BB21+BB24</f>
        <v>0</v>
      </c>
      <c r="BC27" s="44"/>
      <c r="BD27" s="44">
        <f>BD21+BD24</f>
        <v>6787.7599899999996</v>
      </c>
      <c r="BE27" s="44"/>
      <c r="BF27" s="44">
        <f>BF21+BF24</f>
        <v>8039.9403499999999</v>
      </c>
      <c r="BG27" s="44"/>
      <c r="BH27" s="44">
        <f>BH21+BH24</f>
        <v>7633.187069999999</v>
      </c>
    </row>
    <row r="28" spans="3:60" x14ac:dyDescent="0.3">
      <c r="C28" s="39" t="s">
        <v>91</v>
      </c>
      <c r="D28" s="109"/>
      <c r="E28" s="40"/>
      <c r="F28" s="40">
        <f>F27/F$135</f>
        <v>1.1652155239518449E-2</v>
      </c>
      <c r="G28" s="40"/>
      <c r="H28" s="40">
        <f>H27/H$135</f>
        <v>1.3534798179298056E-2</v>
      </c>
      <c r="I28" s="40"/>
      <c r="J28" s="40">
        <f>J27/J$135</f>
        <v>1.3789388052652654E-2</v>
      </c>
      <c r="K28" s="40"/>
      <c r="L28" s="40">
        <f>L27/L$135</f>
        <v>7.163724035007671E-3</v>
      </c>
      <c r="M28" s="169"/>
      <c r="O28" s="40"/>
      <c r="P28" s="40">
        <f>P27/P$135</f>
        <v>1.1652155239518449E-2</v>
      </c>
      <c r="Q28" s="40"/>
      <c r="R28" s="40">
        <f>R27/R$135</f>
        <v>1.217641198954076E-2</v>
      </c>
      <c r="S28" s="40"/>
      <c r="T28" s="40">
        <f>T27/T$135</f>
        <v>1.2762496509355112E-2</v>
      </c>
      <c r="U28" s="40"/>
      <c r="V28" s="40">
        <f>V27/V$135</f>
        <v>5.5502059056915147E-3</v>
      </c>
      <c r="W28" s="169"/>
      <c r="Y28" s="40"/>
      <c r="Z28" s="40"/>
      <c r="AA28" s="40"/>
      <c r="AB28" s="40"/>
      <c r="AC28" s="40"/>
      <c r="AD28" s="40"/>
      <c r="AE28" s="40"/>
      <c r="AF28" s="40"/>
      <c r="AH28" s="40"/>
      <c r="AI28" s="40"/>
      <c r="AJ28" s="40"/>
      <c r="AK28" s="40"/>
      <c r="AL28" s="40"/>
      <c r="AM28" s="40"/>
      <c r="AN28" s="40"/>
      <c r="AO28" s="40"/>
      <c r="AQ28" s="40"/>
      <c r="AR28" s="40"/>
      <c r="AS28" s="40"/>
      <c r="AT28" s="40"/>
      <c r="AU28" s="40"/>
      <c r="AV28" s="40"/>
      <c r="AW28" s="40"/>
      <c r="AX28" s="40"/>
      <c r="AY28" s="169"/>
      <c r="BA28" s="40"/>
      <c r="BB28" s="40">
        <f>BB27/BB$135</f>
        <v>0</v>
      </c>
      <c r="BC28" s="40"/>
      <c r="BD28" s="40">
        <f>BD27/BD$135</f>
        <v>1.3583861897572987E-3</v>
      </c>
      <c r="BE28" s="40"/>
      <c r="BF28" s="40">
        <f>BF27/BF$135</f>
        <v>1.0268915432975424E-3</v>
      </c>
      <c r="BG28" s="40"/>
      <c r="BH28" s="40">
        <f>BH27/BH$135</f>
        <v>1.6135181293161565E-3</v>
      </c>
    </row>
    <row r="29" spans="3:60" x14ac:dyDescent="0.3">
      <c r="E29" s="104"/>
      <c r="F29" s="104"/>
      <c r="G29" s="104"/>
      <c r="H29" s="104"/>
      <c r="I29" s="104"/>
      <c r="J29" s="104"/>
      <c r="K29" s="104"/>
      <c r="L29" s="104"/>
    </row>
    <row r="30" spans="3:60" x14ac:dyDescent="0.3">
      <c r="C30" s="46" t="s">
        <v>20</v>
      </c>
      <c r="D30" s="113"/>
      <c r="E30" s="47"/>
      <c r="F30" s="47">
        <f>VLOOKUP($C30,Segment!$W$229:$AB$300,6,0)/1000</f>
        <v>12143.810943299999</v>
      </c>
      <c r="G30" s="47"/>
      <c r="H30" s="47">
        <f>VLOOKUP($C30,Segment!$W$306:$AB$377,6,0)/1000</f>
        <v>6368.6810501890286</v>
      </c>
      <c r="I30" s="47"/>
      <c r="J30" s="47">
        <f>VLOOKUP($C30,Segment!$W$383:$AB$454,6,0)/1000</f>
        <v>6884.1814855838938</v>
      </c>
      <c r="K30" s="47"/>
      <c r="L30" s="47">
        <f>VLOOKUP($C30,Segment!$W$460:$AB$531,6,0)/1000</f>
        <v>-34922.38285610899</v>
      </c>
      <c r="M30" s="173">
        <f>L30/J30-1</f>
        <v>-6.0728445973191816</v>
      </c>
      <c r="O30" s="47"/>
      <c r="P30" s="47">
        <f>VLOOKUP($C30,Segment!$W$229:$AB$300,2,0)/1000</f>
        <v>12271.2542471</v>
      </c>
      <c r="Q30" s="47"/>
      <c r="R30" s="47">
        <f>VLOOKUP($C30,Segment!$W$306:$AB$377,2,0)/1000</f>
        <v>9373.6948727400031</v>
      </c>
      <c r="S30" s="47"/>
      <c r="T30" s="47">
        <f>VLOOKUP($C30,Segment!$W$383:$AB$454,2,0)/1000</f>
        <v>13156.926904861863</v>
      </c>
      <c r="U30" s="47"/>
      <c r="V30" s="47">
        <f>VLOOKUP($C30,Segment!$W$460:$AB$531,2,0)/1000</f>
        <v>-21848.195428814019</v>
      </c>
      <c r="W30" s="173">
        <f>V30/T30-1</f>
        <v>-2.6605849973021041</v>
      </c>
      <c r="Y30" s="47"/>
      <c r="Z30" s="47">
        <f>VLOOKUP($C30,Segment!$W$229:$AB$300,3,0)/1000</f>
        <v>0</v>
      </c>
      <c r="AA30" s="47"/>
      <c r="AB30" s="47">
        <f>VLOOKUP($C30,Segment!$W$306:$AB$377,3,0)/1000</f>
        <v>0</v>
      </c>
      <c r="AC30" s="47"/>
      <c r="AD30" s="47">
        <f>VLOOKUP($C30,Segment!$W$383:$AB$454,3,0)/1000</f>
        <v>0</v>
      </c>
      <c r="AE30" s="47"/>
      <c r="AF30" s="47">
        <f>VLOOKUP($C30,Segment!$W$460:$AB$531,3,0)/1000</f>
        <v>0</v>
      </c>
      <c r="AH30" s="47"/>
      <c r="AI30" s="47">
        <f>VLOOKUP($C30,Segment!$W$229:$AB$300,4,0)/1000</f>
        <v>0</v>
      </c>
      <c r="AJ30" s="47"/>
      <c r="AK30" s="47">
        <f>VLOOKUP($C30,Segment!$W$306:$AB$377,4,0)/1000</f>
        <v>0</v>
      </c>
      <c r="AL30" s="47"/>
      <c r="AM30" s="47">
        <f>VLOOKUP($C30,Segment!$W$383:$AB$454,4,0)/1000</f>
        <v>0</v>
      </c>
      <c r="AN30" s="47"/>
      <c r="AO30" s="47">
        <f>VLOOKUP($C30,Segment!$W$460:$AB$531,4,0)/1000</f>
        <v>0</v>
      </c>
      <c r="AQ30" s="47"/>
      <c r="AR30" s="47">
        <f>Z30+AI30</f>
        <v>0</v>
      </c>
      <c r="AS30" s="47"/>
      <c r="AT30" s="47">
        <f>AB30+AK30</f>
        <v>0</v>
      </c>
      <c r="AU30" s="47"/>
      <c r="AV30" s="47">
        <f>AD30+AM30</f>
        <v>0</v>
      </c>
      <c r="AW30" s="47"/>
      <c r="AX30" s="47">
        <f>AF30+AO30</f>
        <v>0</v>
      </c>
      <c r="AY30" s="173"/>
      <c r="BA30" s="47"/>
      <c r="BB30" s="47">
        <f>VLOOKUP($C30,Segment!$W$229:$AB$300,5,0)/1000</f>
        <v>-127.44330380000001</v>
      </c>
      <c r="BC30" s="47"/>
      <c r="BD30" s="47">
        <f>VLOOKUP($C30,Segment!$W$306:$AB$377,5,0)/1000</f>
        <v>-3005.0138225509741</v>
      </c>
      <c r="BE30" s="47"/>
      <c r="BF30" s="47">
        <f>VLOOKUP($C30,Segment!$W$383:$AB$454,5,0)/1000</f>
        <v>-6272.7454192779678</v>
      </c>
      <c r="BG30" s="47"/>
      <c r="BH30" s="47">
        <f>VLOOKUP($C30,Segment!$W$460:$AB$531,5,0)/1000</f>
        <v>-13074.187427294974</v>
      </c>
    </row>
    <row r="32" spans="3:60" x14ac:dyDescent="0.3">
      <c r="C32" s="36" t="s">
        <v>0</v>
      </c>
      <c r="E32" s="38"/>
      <c r="F32" s="38">
        <f>VLOOKUP($C32,Segment!$W$229:$AB$300,6,0)/1000</f>
        <v>111794.07530000001</v>
      </c>
      <c r="G32" s="38"/>
      <c r="H32" s="38">
        <f>VLOOKUP($C32,Segment!$W$306:$AB$377,6,0)/1000</f>
        <v>70454.502049999996</v>
      </c>
      <c r="I32" s="38"/>
      <c r="J32" s="38">
        <f>VLOOKUP($C32,Segment!$W$383:$AB$454,6,0)/1000</f>
        <v>0</v>
      </c>
      <c r="K32" s="38"/>
      <c r="L32" s="38">
        <f>VLOOKUP($C32,Segment!$W$460:$AB$531,6,0)/1000</f>
        <v>0</v>
      </c>
      <c r="O32" s="38"/>
      <c r="P32" s="38">
        <f>VLOOKUP($C32,Segment!$W$229:$AB$300,2,0)/1000</f>
        <v>111794.07530000001</v>
      </c>
      <c r="Q32" s="38"/>
      <c r="R32" s="38">
        <f>VLOOKUP($C32,Segment!$W$306:$AB$377,2,0)/1000</f>
        <v>70454.502049999996</v>
      </c>
      <c r="S32" s="38"/>
      <c r="T32" s="38">
        <f>VLOOKUP($C32,Segment!$W$383:$AB$454,2,0)/1000</f>
        <v>0</v>
      </c>
      <c r="U32" s="38"/>
      <c r="V32" s="38">
        <f>VLOOKUP($C32,Segment!$W$460:$AB$531,2,0)/1000</f>
        <v>0</v>
      </c>
      <c r="W32" s="132" t="e">
        <f>V32/T32-1</f>
        <v>#DIV/0!</v>
      </c>
      <c r="Y32" s="38"/>
      <c r="Z32" s="38">
        <f>VLOOKUP($C32,Segment!$W$229:$AB$300,3,0)/1000</f>
        <v>0</v>
      </c>
      <c r="AA32" s="38"/>
      <c r="AB32" s="38">
        <f>VLOOKUP($C32,Segment!$W$306:$AB$377,3,0)/1000</f>
        <v>0</v>
      </c>
      <c r="AC32" s="38"/>
      <c r="AD32" s="38">
        <f>VLOOKUP($C32,Segment!$W$383:$AB$454,3,0)/1000</f>
        <v>0</v>
      </c>
      <c r="AE32" s="38"/>
      <c r="AF32" s="38">
        <f>VLOOKUP($C32,Segment!$W$460:$AB$531,3,0)/1000</f>
        <v>0</v>
      </c>
      <c r="AH32" s="38"/>
      <c r="AI32" s="38">
        <f>VLOOKUP($C32,Segment!$W$229:$AB$300,4,0)/1000</f>
        <v>0</v>
      </c>
      <c r="AJ32" s="38"/>
      <c r="AK32" s="38">
        <f>VLOOKUP($C32,Segment!$W$306:$AB$377,4,0)/1000</f>
        <v>0</v>
      </c>
      <c r="AL32" s="38"/>
      <c r="AM32" s="38">
        <f>VLOOKUP($C32,Segment!$W$383:$AB$454,4,0)/1000</f>
        <v>0</v>
      </c>
      <c r="AN32" s="38"/>
      <c r="AO32" s="38">
        <f>VLOOKUP($C32,Segment!$W$460:$AB$531,4,0)/1000</f>
        <v>0</v>
      </c>
      <c r="AQ32" s="38"/>
      <c r="AR32" s="38">
        <f>Z32+AI32</f>
        <v>0</v>
      </c>
      <c r="AS32" s="38"/>
      <c r="AT32" s="38">
        <f>AB32+AK32</f>
        <v>0</v>
      </c>
      <c r="AU32" s="38"/>
      <c r="AV32" s="38">
        <f>AD32+AM32</f>
        <v>0</v>
      </c>
      <c r="AW32" s="38"/>
      <c r="AX32" s="38">
        <f>AF32+AO32</f>
        <v>0</v>
      </c>
      <c r="BA32" s="38"/>
      <c r="BB32" s="38">
        <f>VLOOKUP($C32,Segment!$W$229:$AB$300,5,0)/1000</f>
        <v>0</v>
      </c>
      <c r="BC32" s="38"/>
      <c r="BD32" s="38">
        <f>VLOOKUP($C32,Segment!$W$306:$AB$377,5,0)/1000</f>
        <v>0</v>
      </c>
      <c r="BE32" s="38"/>
      <c r="BF32" s="38">
        <f>VLOOKUP($C32,Segment!$W$383:$AB$454,5,0)/1000</f>
        <v>0</v>
      </c>
      <c r="BG32" s="38"/>
      <c r="BH32" s="38">
        <f>VLOOKUP($C32,Segment!$W$460:$AB$531,5,0)/1000</f>
        <v>0</v>
      </c>
    </row>
    <row r="33" spans="3:60" x14ac:dyDescent="0.3">
      <c r="C33" s="36" t="s">
        <v>2</v>
      </c>
      <c r="E33" s="38"/>
      <c r="F33" s="38">
        <f>VLOOKUP($C33,Segment!$W$229:$AB$300,6,0)/1000</f>
        <v>-111794.07268000001</v>
      </c>
      <c r="G33" s="38"/>
      <c r="H33" s="38">
        <f>VLOOKUP($C33,Segment!$W$306:$AB$377,6,0)/1000</f>
        <v>-70454.50198999999</v>
      </c>
      <c r="I33" s="38"/>
      <c r="J33" s="38">
        <f>VLOOKUP($C33,Segment!$W$383:$AB$454,6,0)/1000</f>
        <v>-4.6999999999999999E-4</v>
      </c>
      <c r="K33" s="38"/>
      <c r="L33" s="38">
        <f>VLOOKUP($C33,Segment!$W$460:$AB$531,6,0)/1000</f>
        <v>-4.6999999999999999E-4</v>
      </c>
      <c r="O33" s="38"/>
      <c r="P33" s="38">
        <f>VLOOKUP($C33,Segment!$W$229:$AB$300,2,0)/1000</f>
        <v>-111794.07268000001</v>
      </c>
      <c r="Q33" s="38"/>
      <c r="R33" s="38">
        <f>VLOOKUP($C33,Segment!$W$306:$AB$377,2,0)/1000</f>
        <v>-70454.50198999999</v>
      </c>
      <c r="S33" s="38"/>
      <c r="T33" s="38">
        <f>VLOOKUP($C33,Segment!$W$383:$AB$454,2,0)/1000</f>
        <v>-4.6999999999999999E-4</v>
      </c>
      <c r="U33" s="38"/>
      <c r="V33" s="38">
        <f>VLOOKUP($C33,Segment!$W$460:$AB$531,2,0)/1000</f>
        <v>-4.6999999999999999E-4</v>
      </c>
      <c r="W33" s="132">
        <f>V33/T33-1</f>
        <v>0</v>
      </c>
      <c r="Y33" s="38"/>
      <c r="Z33" s="38">
        <f>VLOOKUP($C33,Segment!$W$229:$AB$300,3,0)/1000</f>
        <v>0</v>
      </c>
      <c r="AA33" s="38"/>
      <c r="AB33" s="38">
        <f>VLOOKUP($C33,Segment!$W$306:$AB$377,3,0)/1000</f>
        <v>0</v>
      </c>
      <c r="AC33" s="38"/>
      <c r="AD33" s="38">
        <f>VLOOKUP($C33,Segment!$W$383:$AB$454,3,0)/1000</f>
        <v>0</v>
      </c>
      <c r="AE33" s="38"/>
      <c r="AF33" s="38">
        <f>VLOOKUP($C33,Segment!$W$460:$AB$531,3,0)/1000</f>
        <v>0</v>
      </c>
      <c r="AH33" s="38"/>
      <c r="AI33" s="38">
        <f>VLOOKUP($C33,Segment!$W$229:$AB$300,4,0)/1000</f>
        <v>0</v>
      </c>
      <c r="AJ33" s="38"/>
      <c r="AK33" s="38">
        <f>VLOOKUP($C33,Segment!$W$306:$AB$377,4,0)/1000</f>
        <v>0</v>
      </c>
      <c r="AL33" s="38"/>
      <c r="AM33" s="38">
        <f>VLOOKUP($C33,Segment!$W$383:$AB$454,4,0)/1000</f>
        <v>0</v>
      </c>
      <c r="AN33" s="38"/>
      <c r="AO33" s="38">
        <f>VLOOKUP($C33,Segment!$W$460:$AB$531,4,0)/1000</f>
        <v>0</v>
      </c>
      <c r="AQ33" s="38"/>
      <c r="AR33" s="38">
        <f>Z33+AI33</f>
        <v>0</v>
      </c>
      <c r="AS33" s="38"/>
      <c r="AT33" s="38">
        <f>AB33+AK33</f>
        <v>0</v>
      </c>
      <c r="AU33" s="38"/>
      <c r="AV33" s="38">
        <f>AD33+AM33</f>
        <v>0</v>
      </c>
      <c r="AW33" s="38"/>
      <c r="AX33" s="38">
        <f>AF33+AO33</f>
        <v>0</v>
      </c>
      <c r="BA33" s="38"/>
      <c r="BB33" s="38">
        <f>VLOOKUP($C33,Segment!$W$229:$AB$300,5,0)/1000</f>
        <v>0</v>
      </c>
      <c r="BC33" s="38"/>
      <c r="BD33" s="38">
        <f>VLOOKUP($C33,Segment!$W$306:$AB$377,5,0)/1000</f>
        <v>0</v>
      </c>
      <c r="BE33" s="38"/>
      <c r="BF33" s="38">
        <f>VLOOKUP($C33,Segment!$W$383:$AB$454,5,0)/1000</f>
        <v>0</v>
      </c>
      <c r="BG33" s="38"/>
      <c r="BH33" s="38">
        <f>VLOOKUP($C33,Segment!$W$460:$AB$531,5,0)/1000</f>
        <v>0</v>
      </c>
    </row>
    <row r="34" spans="3:60" x14ac:dyDescent="0.3">
      <c r="C34" s="43" t="s">
        <v>21</v>
      </c>
      <c r="D34" s="111"/>
      <c r="E34" s="44"/>
      <c r="F34" s="44">
        <f>SUM(F32:F33)</f>
        <v>2.6199999992968515E-3</v>
      </c>
      <c r="G34" s="44"/>
      <c r="H34" s="44">
        <f>SUM(H32:H33)</f>
        <v>6.0000005760230124E-5</v>
      </c>
      <c r="I34" s="44"/>
      <c r="J34" s="44">
        <f>SUM(J32:J33)</f>
        <v>-4.6999999999999999E-4</v>
      </c>
      <c r="K34" s="44"/>
      <c r="L34" s="44">
        <f>SUM(L32:L33)</f>
        <v>-4.6999999999999999E-4</v>
      </c>
      <c r="M34" s="170"/>
      <c r="O34" s="44"/>
      <c r="P34" s="44">
        <f>SUM(P32:P33)</f>
        <v>2.6199999992968515E-3</v>
      </c>
      <c r="Q34" s="44"/>
      <c r="R34" s="44">
        <f>SUM(R32:R33)</f>
        <v>6.0000005760230124E-5</v>
      </c>
      <c r="S34" s="44"/>
      <c r="T34" s="44">
        <f>SUM(T32:T33)</f>
        <v>-4.6999999999999999E-4</v>
      </c>
      <c r="U34" s="44"/>
      <c r="V34" s="44">
        <f>SUM(V32:V33)</f>
        <v>-4.6999999999999999E-4</v>
      </c>
      <c r="W34" s="170"/>
      <c r="X34" s="44"/>
      <c r="Y34" s="44"/>
      <c r="Z34" s="44">
        <f>SUM(Z32:Z33)</f>
        <v>0</v>
      </c>
      <c r="AA34" s="44"/>
      <c r="AB34" s="44">
        <f>SUM(AB32:AB33)</f>
        <v>0</v>
      </c>
      <c r="AC34" s="44"/>
      <c r="AD34" s="44">
        <f>SUM(AD32:AD33)</f>
        <v>0</v>
      </c>
      <c r="AE34" s="44"/>
      <c r="AF34" s="44">
        <f>SUM(AF32:AF33)</f>
        <v>0</v>
      </c>
      <c r="AG34" s="49"/>
      <c r="AH34" s="44"/>
      <c r="AI34" s="44">
        <f>SUM(AI32:AI33)</f>
        <v>0</v>
      </c>
      <c r="AJ34" s="44"/>
      <c r="AK34" s="44">
        <f>SUM(AK32:AK33)</f>
        <v>0</v>
      </c>
      <c r="AL34" s="44"/>
      <c r="AM34" s="44">
        <f>SUM(AM32:AM33)</f>
        <v>0</v>
      </c>
      <c r="AN34" s="44"/>
      <c r="AO34" s="44">
        <f>SUM(AO32:AO33)</f>
        <v>0</v>
      </c>
      <c r="AP34" s="49"/>
      <c r="AQ34" s="44"/>
      <c r="AR34" s="44">
        <f>SUM(AR32:AR33)</f>
        <v>0</v>
      </c>
      <c r="AS34" s="44"/>
      <c r="AT34" s="44">
        <f>SUM(AT32:AT33)</f>
        <v>0</v>
      </c>
      <c r="AU34" s="44"/>
      <c r="AV34" s="44">
        <f>SUM(AV32:AV33)</f>
        <v>0</v>
      </c>
      <c r="AW34" s="44"/>
      <c r="AX34" s="44">
        <f>SUM(AX32:AX33)</f>
        <v>0</v>
      </c>
      <c r="AY34" s="170"/>
      <c r="AZ34" s="44"/>
      <c r="BA34" s="44"/>
      <c r="BB34" s="44">
        <f>SUM(BB32:BB33)</f>
        <v>0</v>
      </c>
      <c r="BC34" s="44"/>
      <c r="BD34" s="44">
        <f>SUM(BD32:BD33)</f>
        <v>0</v>
      </c>
      <c r="BE34" s="44"/>
      <c r="BF34" s="44">
        <f>SUM(BF32:BF33)</f>
        <v>0</v>
      </c>
      <c r="BG34" s="44"/>
      <c r="BH34" s="44">
        <f>SUM(BH32:BH33)</f>
        <v>0</v>
      </c>
    </row>
    <row r="35" spans="3:60" ht="13.5" thickBot="1" x14ac:dyDescent="0.35">
      <c r="C35" s="50" t="s">
        <v>22</v>
      </c>
      <c r="D35" s="114"/>
      <c r="E35" s="51"/>
      <c r="F35" s="51">
        <f>ROUND(F18+F27+F11+F30+F34,0)</f>
        <v>487041</v>
      </c>
      <c r="G35" s="51"/>
      <c r="H35" s="51">
        <f>ROUND(H18+H27+H11+H30+H34,0)</f>
        <v>685231</v>
      </c>
      <c r="I35" s="51"/>
      <c r="J35" s="51">
        <f>ROUND(J18+J27+J11+J30+J34,0)</f>
        <v>934093</v>
      </c>
      <c r="K35" s="51"/>
      <c r="L35" s="51">
        <f>ROUND(L18+L27+L11+L30+L34,0)</f>
        <v>745530</v>
      </c>
      <c r="M35" s="174">
        <f>L35/J35-1</f>
        <v>-0.20186748000466759</v>
      </c>
      <c r="N35" s="132"/>
      <c r="O35" s="51"/>
      <c r="P35" s="51">
        <f>ROUND(P18+P27+P11+P30+P34,0)</f>
        <v>487168</v>
      </c>
      <c r="Q35" s="51"/>
      <c r="R35" s="51">
        <f>ROUND(R18+R27+R11+R30+R34,0)</f>
        <v>680994</v>
      </c>
      <c r="S35" s="51"/>
      <c r="T35" s="51">
        <f>ROUND(T18+T27+T11+T30+T34,0)</f>
        <v>932364</v>
      </c>
      <c r="U35" s="51"/>
      <c r="V35" s="51">
        <f>ROUND(V18+V27+V11+V30+V34,0)</f>
        <v>750461</v>
      </c>
      <c r="W35" s="174">
        <f>V35/T35-1</f>
        <v>-0.19509869535932323</v>
      </c>
      <c r="X35" s="144"/>
      <c r="Y35" s="51"/>
      <c r="Z35" s="51">
        <f>Z18+Z27+Z11+Z30+Z34</f>
        <v>0</v>
      </c>
      <c r="AA35" s="51"/>
      <c r="AB35" s="51">
        <f>AB18+AB27+AB11+AB30+AB34</f>
        <v>0</v>
      </c>
      <c r="AC35" s="51"/>
      <c r="AD35" s="51">
        <f>AD18+AD27+AD11+AD30+AD34</f>
        <v>0</v>
      </c>
      <c r="AE35" s="51"/>
      <c r="AF35" s="51">
        <f>AF18+AF27+AF11+AF30+AF34</f>
        <v>0</v>
      </c>
      <c r="AG35" s="53"/>
      <c r="AH35" s="51"/>
      <c r="AI35" s="51">
        <f>AI18+AI27+AI11+AI30+AI34</f>
        <v>0</v>
      </c>
      <c r="AJ35" s="51"/>
      <c r="AK35" s="51">
        <f>AK18+AK27+AK11+AK30+AK34</f>
        <v>0</v>
      </c>
      <c r="AL35" s="51"/>
      <c r="AM35" s="51">
        <f>AM18+AM27+AM11+AM30+AM34</f>
        <v>0</v>
      </c>
      <c r="AN35" s="51"/>
      <c r="AO35" s="51">
        <f>AO18+AO27+AO11+AO30+AO34</f>
        <v>0</v>
      </c>
      <c r="AP35" s="53"/>
      <c r="AQ35" s="51"/>
      <c r="AR35" s="51">
        <f>AR18+AR27+AR11+AR30+AR34</f>
        <v>0</v>
      </c>
      <c r="AS35" s="51"/>
      <c r="AT35" s="51">
        <f>AT18+AT27+AT11+AT30+AT34</f>
        <v>0</v>
      </c>
      <c r="AU35" s="51"/>
      <c r="AV35" s="51">
        <f>AV18+AV27+AV11+AV30+AV34</f>
        <v>0</v>
      </c>
      <c r="AW35" s="51"/>
      <c r="AX35" s="51">
        <f>AX18+AX27+AX11+AX30+AX34</f>
        <v>0</v>
      </c>
      <c r="AY35" s="174"/>
      <c r="AZ35" s="52"/>
      <c r="BA35" s="51"/>
      <c r="BB35" s="51">
        <f>BB18+BB27+BB11+BB30+BB34</f>
        <v>-127.44330380000001</v>
      </c>
      <c r="BC35" s="51"/>
      <c r="BD35" s="51">
        <f>BD18+BD27+BD11+BD30+BD34</f>
        <v>4237.6060974490247</v>
      </c>
      <c r="BE35" s="51"/>
      <c r="BF35" s="51">
        <f>BF18+BF27+BF11+BF30+BF34</f>
        <v>1729.0008107220319</v>
      </c>
      <c r="BG35" s="51"/>
      <c r="BH35" s="51">
        <f>BH18+BH27+BH11+BH30+BH34</f>
        <v>-4931.3091572949743</v>
      </c>
    </row>
    <row r="36" spans="3:60" ht="13.5" thickTop="1" x14ac:dyDescent="0.3">
      <c r="C36" s="39" t="s">
        <v>58</v>
      </c>
      <c r="D36" s="109"/>
      <c r="E36" s="41"/>
      <c r="F36" s="41">
        <f>(F35-F24-F17-F15-F10)/1000</f>
        <v>583.45987565000007</v>
      </c>
      <c r="G36" s="41"/>
      <c r="H36" s="41">
        <f>(H35-H24-H17-H15-H10)/1000</f>
        <v>921.85823341999992</v>
      </c>
      <c r="I36" s="41"/>
      <c r="J36" s="41">
        <f>(J35-J24-J17-J15-J10)/1000</f>
        <v>1524.7040653200002</v>
      </c>
      <c r="K36" s="41"/>
      <c r="L36" s="41">
        <f>(L35-L24-L17-L15-L10)/1000</f>
        <v>1628.4346849599999</v>
      </c>
      <c r="M36" s="169"/>
      <c r="O36" s="41"/>
      <c r="P36" s="41">
        <f>(P35-P24-P17-P15-P10)/1000</f>
        <v>583.58687565000002</v>
      </c>
      <c r="Q36" s="41"/>
      <c r="R36" s="41">
        <f>(R35-R24-R17-R15-R10)/1000</f>
        <v>917.61494758000003</v>
      </c>
      <c r="S36" s="41"/>
      <c r="T36" s="41">
        <f>(T35-T24-T17-T15-T10)/1000</f>
        <v>1522.9280260600001</v>
      </c>
      <c r="U36" s="41"/>
      <c r="V36" s="41">
        <f>(V35-V24-V17-V15-V10)/1000</f>
        <v>1633.3383303799999</v>
      </c>
      <c r="W36" s="169"/>
      <c r="Y36" s="41"/>
      <c r="Z36" s="41"/>
      <c r="AA36" s="41"/>
      <c r="AB36" s="41"/>
      <c r="AC36" s="41"/>
      <c r="AD36" s="41"/>
      <c r="AE36" s="41"/>
      <c r="AF36" s="41"/>
      <c r="AH36" s="41"/>
      <c r="AI36" s="41"/>
      <c r="AJ36" s="41"/>
      <c r="AK36" s="41"/>
      <c r="AL36" s="41"/>
      <c r="AM36" s="41"/>
      <c r="AN36" s="41"/>
      <c r="AO36" s="41"/>
      <c r="AQ36" s="41"/>
      <c r="AR36" s="41"/>
      <c r="AS36" s="41"/>
      <c r="AT36" s="41"/>
      <c r="AU36" s="41"/>
      <c r="AV36" s="41"/>
      <c r="AW36" s="41"/>
      <c r="AX36" s="41"/>
      <c r="AY36" s="169"/>
      <c r="BA36" s="41"/>
      <c r="BB36" s="41">
        <f>(BB35-BB24-BB17-BB15-BB10)/1000</f>
        <v>-0.12744330380000002</v>
      </c>
      <c r="BC36" s="41"/>
      <c r="BD36" s="41">
        <f>(BD35-BD24-BD17-BD15-BD10)/1000</f>
        <v>4.2438919374490238</v>
      </c>
      <c r="BE36" s="41"/>
      <c r="BF36" s="41">
        <f>(BF35-BF24-BF17-BF15-BF10)/1000</f>
        <v>1.7760400707220318</v>
      </c>
      <c r="BG36" s="41"/>
      <c r="BH36" s="41">
        <f>(BH35-BH24-BH17-BH15-BH10)/1000</f>
        <v>-4.9039545772949742</v>
      </c>
    </row>
    <row r="37" spans="3:60" x14ac:dyDescent="0.3">
      <c r="C37" s="39" t="s">
        <v>59</v>
      </c>
      <c r="D37" s="109"/>
      <c r="E37" s="40"/>
      <c r="F37" s="40">
        <f>(F36*1000)/F146</f>
        <v>0.17360833929520339</v>
      </c>
      <c r="G37" s="40"/>
      <c r="H37" s="40">
        <f>(H36*1000)/H146</f>
        <v>0.18047070357287684</v>
      </c>
      <c r="I37" s="40"/>
      <c r="J37" s="40">
        <f>(J36*1000)/J146</f>
        <v>0.19218874377987824</v>
      </c>
      <c r="K37" s="40"/>
      <c r="L37" s="40">
        <f>(L36*1000)/L146</f>
        <v>0.34150092819071515</v>
      </c>
      <c r="M37" s="169"/>
      <c r="O37" s="40"/>
      <c r="P37" s="40">
        <f>(P36*1000)/P146</f>
        <v>0.17364612811327068</v>
      </c>
      <c r="Q37" s="40"/>
      <c r="R37" s="40">
        <f>(R36*1000)/R146</f>
        <v>0.17964000232918928</v>
      </c>
      <c r="S37" s="40"/>
      <c r="T37" s="40">
        <f>(T36*1000)/T146</f>
        <v>0.1919648742683796</v>
      </c>
      <c r="U37" s="40"/>
      <c r="V37" s="40">
        <f>(V36*1000)/V146</f>
        <v>0.34252927736425859</v>
      </c>
      <c r="W37" s="169"/>
      <c r="Y37" s="40"/>
      <c r="Z37" s="40"/>
      <c r="AA37" s="40"/>
      <c r="AB37" s="40"/>
      <c r="AC37" s="40"/>
      <c r="AD37" s="40"/>
      <c r="AE37" s="40"/>
      <c r="AF37" s="40"/>
      <c r="AH37" s="40"/>
      <c r="AI37" s="40"/>
      <c r="AJ37" s="40"/>
      <c r="AK37" s="40"/>
      <c r="AL37" s="40"/>
      <c r="AM37" s="40"/>
      <c r="AN37" s="40"/>
      <c r="AO37" s="40"/>
      <c r="AQ37" s="40"/>
      <c r="AR37" s="40"/>
      <c r="AS37" s="40"/>
      <c r="AT37" s="40"/>
      <c r="AU37" s="40"/>
      <c r="AV37" s="40"/>
      <c r="AW37" s="40"/>
      <c r="AX37" s="40"/>
      <c r="AY37" s="169"/>
      <c r="BA37" s="40"/>
      <c r="BB37" s="40">
        <f>(BB36*1000)/BB146</f>
        <v>-3.7920723001497948E-5</v>
      </c>
      <c r="BC37" s="40"/>
      <c r="BD37" s="40">
        <f>(BD36*1000)/BD146</f>
        <v>8.3081989841028031E-4</v>
      </c>
      <c r="BE37" s="40"/>
      <c r="BF37" s="40">
        <f>(BF36*1000)/BF146</f>
        <v>2.2386961369002129E-4</v>
      </c>
      <c r="BG37" s="40"/>
      <c r="BH37" s="40">
        <f>(BH36*1000)/BH146</f>
        <v>-1.0284140072786992E-3</v>
      </c>
    </row>
    <row r="38" spans="3:60" x14ac:dyDescent="0.3">
      <c r="C38" s="39" t="s">
        <v>60</v>
      </c>
      <c r="D38" s="109"/>
      <c r="E38" s="40"/>
      <c r="F38" s="40">
        <f>(F36*1000)/AVERAGE(E130:F130)*2</f>
        <v>0.13980794709864008</v>
      </c>
      <c r="G38" s="40"/>
      <c r="H38" s="40">
        <f>(H36*1000)/AVERAGE(G130:H130)*2</f>
        <v>0.16247700416045674</v>
      </c>
      <c r="I38" s="40"/>
      <c r="J38" s="40">
        <f>(J36*1000)/AVERAGE(I130:J130)*2</f>
        <v>0.18498212507317394</v>
      </c>
      <c r="K38" s="40"/>
      <c r="L38" s="40">
        <f>(L36*1000)/AVERAGE(K130:L130)*2</f>
        <v>0.15691072947423265</v>
      </c>
      <c r="M38" s="169"/>
      <c r="O38" s="40"/>
      <c r="P38" s="40">
        <f>(P36*1000)/AVERAGE(O130:P130)*2</f>
        <v>0.1398383786844655</v>
      </c>
      <c r="Q38" s="40"/>
      <c r="R38" s="40">
        <f>(R36*1000)/AVERAGE(Q130:R130)*2</f>
        <v>0.16172912737627709</v>
      </c>
      <c r="S38" s="40"/>
      <c r="T38" s="40">
        <f>(T36*1000)/AVERAGE(S130:T130)*2</f>
        <v>0.18476665013347851</v>
      </c>
      <c r="U38" s="40"/>
      <c r="V38" s="40">
        <f>(V36*1000)/AVERAGE(U130:V130)*2</f>
        <v>0.15738322897761561</v>
      </c>
      <c r="W38" s="169"/>
      <c r="Y38" s="40"/>
      <c r="Z38" s="40"/>
      <c r="AA38" s="40"/>
      <c r="AB38" s="40"/>
      <c r="AC38" s="40"/>
      <c r="AD38" s="40"/>
      <c r="AE38" s="40"/>
      <c r="AF38" s="40"/>
      <c r="AH38" s="40"/>
      <c r="AI38" s="40"/>
      <c r="AJ38" s="40"/>
      <c r="AK38" s="40"/>
      <c r="AL38" s="40"/>
      <c r="AM38" s="40"/>
      <c r="AN38" s="40"/>
      <c r="AO38" s="40"/>
      <c r="AQ38" s="40"/>
      <c r="AR38" s="40"/>
      <c r="AS38" s="40"/>
      <c r="AT38" s="40"/>
      <c r="AU38" s="40"/>
      <c r="AV38" s="40"/>
      <c r="AW38" s="40"/>
      <c r="AX38" s="40"/>
      <c r="AY38" s="169"/>
      <c r="BA38" s="40"/>
      <c r="BB38" s="40">
        <f>(BB36*1000)/AVERAGE(BA130:BB130)*2</f>
        <v>-3.0537809743809279E-5</v>
      </c>
      <c r="BC38" s="40"/>
      <c r="BD38" s="40">
        <f>(BD36*1000)/AVERAGE(BC130:BD130)*2</f>
        <v>7.4798360852007582E-4</v>
      </c>
      <c r="BE38" s="40"/>
      <c r="BF38" s="40">
        <f>(BF36*1000)/AVERAGE(BE130:BF130)*2</f>
        <v>2.1547503805488939E-4</v>
      </c>
      <c r="BG38" s="40"/>
      <c r="BH38" s="40">
        <f>(BH36*1000)/AVERAGE(BG130:BH130)*2</f>
        <v>-4.7252929278570227E-4</v>
      </c>
    </row>
    <row r="39" spans="3:60" x14ac:dyDescent="0.3">
      <c r="C39" s="45"/>
      <c r="D39" s="112"/>
      <c r="E39" s="45"/>
      <c r="F39" s="45"/>
      <c r="G39" s="45"/>
      <c r="H39" s="45"/>
      <c r="I39" s="45"/>
      <c r="J39" s="45"/>
      <c r="K39" s="45"/>
      <c r="L39" s="45"/>
      <c r="M39" s="172"/>
      <c r="O39" s="45"/>
      <c r="P39" s="45"/>
      <c r="Q39" s="45"/>
      <c r="R39" s="45"/>
      <c r="S39" s="45"/>
      <c r="T39" s="45"/>
      <c r="U39" s="45"/>
      <c r="V39" s="45"/>
      <c r="W39" s="172"/>
      <c r="Y39" s="45"/>
      <c r="Z39" s="45"/>
      <c r="AA39" s="45"/>
      <c r="AB39" s="45"/>
      <c r="AC39" s="45"/>
      <c r="AD39" s="45"/>
      <c r="AE39" s="45"/>
      <c r="AF39" s="45"/>
      <c r="AH39" s="45"/>
      <c r="AI39" s="45"/>
      <c r="AJ39" s="45"/>
      <c r="AK39" s="45"/>
      <c r="AL39" s="45"/>
      <c r="AM39" s="45"/>
      <c r="AN39" s="45"/>
      <c r="AO39" s="45"/>
      <c r="AQ39" s="45"/>
      <c r="AR39" s="45"/>
      <c r="AS39" s="45"/>
      <c r="AT39" s="45"/>
      <c r="AU39" s="45"/>
      <c r="AV39" s="45"/>
      <c r="AW39" s="45"/>
      <c r="AX39" s="45"/>
      <c r="AY39" s="172"/>
      <c r="BA39" s="45"/>
      <c r="BB39" s="45"/>
      <c r="BC39" s="45"/>
      <c r="BD39" s="45"/>
      <c r="BE39" s="45"/>
      <c r="BF39" s="45"/>
      <c r="BG39" s="45"/>
      <c r="BH39" s="45"/>
    </row>
    <row r="40" spans="3:60" x14ac:dyDescent="0.3">
      <c r="C40" s="37" t="s">
        <v>23</v>
      </c>
      <c r="D40" s="107"/>
      <c r="E40" s="37"/>
      <c r="F40" s="37"/>
      <c r="G40" s="37"/>
      <c r="H40" s="37"/>
      <c r="I40" s="37"/>
      <c r="J40" s="37"/>
      <c r="K40" s="37"/>
      <c r="L40" s="37"/>
      <c r="M40" s="171"/>
      <c r="O40" s="37"/>
      <c r="P40" s="37"/>
      <c r="Q40" s="37"/>
      <c r="R40" s="37"/>
      <c r="S40" s="37"/>
      <c r="T40" s="37"/>
      <c r="U40" s="37"/>
      <c r="V40" s="37"/>
      <c r="W40" s="171"/>
      <c r="Y40" s="37"/>
      <c r="Z40" s="37"/>
      <c r="AA40" s="37"/>
      <c r="AB40" s="37"/>
      <c r="AC40" s="37"/>
      <c r="AD40" s="37"/>
      <c r="AE40" s="37"/>
      <c r="AF40" s="37"/>
      <c r="AH40" s="37"/>
      <c r="AI40" s="37"/>
      <c r="AJ40" s="37"/>
      <c r="AK40" s="37"/>
      <c r="AL40" s="37"/>
      <c r="AM40" s="37"/>
      <c r="AN40" s="37"/>
      <c r="AO40" s="37"/>
      <c r="AQ40" s="37"/>
      <c r="AR40" s="37"/>
      <c r="AS40" s="37"/>
      <c r="AT40" s="37"/>
      <c r="AU40" s="37"/>
      <c r="AV40" s="37"/>
      <c r="AW40" s="37"/>
      <c r="AX40" s="37"/>
      <c r="AY40" s="171"/>
      <c r="BA40" s="37"/>
      <c r="BB40" s="37"/>
      <c r="BC40" s="37"/>
      <c r="BD40" s="37"/>
      <c r="BE40" s="37"/>
      <c r="BF40" s="37"/>
      <c r="BG40" s="37"/>
      <c r="BH40" s="37"/>
    </row>
    <row r="41" spans="3:60" x14ac:dyDescent="0.3">
      <c r="C41" s="36" t="s">
        <v>24</v>
      </c>
      <c r="E41" s="38"/>
      <c r="F41" s="38">
        <f>VLOOKUP($C41,Segment!$W$229:$AB$300,6,0)/1000</f>
        <v>254282.57199999999</v>
      </c>
      <c r="G41" s="38"/>
      <c r="H41" s="38">
        <f>VLOOKUP($C41,Segment!$W$306:$AB$377,6,0)/1000</f>
        <v>504334.17700000003</v>
      </c>
      <c r="I41" s="38"/>
      <c r="J41" s="38">
        <f>VLOOKUP($C41,Segment!$W$383:$AB$454,6,0)/1000</f>
        <v>832374.554</v>
      </c>
      <c r="K41" s="38"/>
      <c r="L41" s="38">
        <f>VLOOKUP($C41,Segment!$W$460:$AB$531,6,0)/1000</f>
        <v>1216006.77</v>
      </c>
      <c r="M41" s="132">
        <f>L41/J41-1</f>
        <v>0.46088892813510962</v>
      </c>
      <c r="O41" s="38"/>
      <c r="P41" s="38">
        <f>VLOOKUP($C41,Segment!$W$229:$AB$300,2,0)/1000</f>
        <v>0</v>
      </c>
      <c r="Q41" s="38"/>
      <c r="R41" s="38">
        <f>VLOOKUP($C41,Segment!$W$306:$AB$377,2,0)/1000</f>
        <v>0</v>
      </c>
      <c r="S41" s="38"/>
      <c r="T41" s="38">
        <f>VLOOKUP($C41,Segment!$W$383:$AB$454,2,0)/1000</f>
        <v>0</v>
      </c>
      <c r="U41" s="38"/>
      <c r="V41" s="38">
        <f>VLOOKUP($C41,Segment!$W$460:$AB$531,2,0)/1000</f>
        <v>0</v>
      </c>
      <c r="W41" s="132" t="e">
        <f>V41/T41-1</f>
        <v>#DIV/0!</v>
      </c>
      <c r="Y41" s="38"/>
      <c r="Z41" s="38">
        <f>VLOOKUP($C41,Segment!$W$229:$AB$300,3,0)/1000</f>
        <v>254282.57199999999</v>
      </c>
      <c r="AA41" s="38"/>
      <c r="AB41" s="38">
        <f>VLOOKUP($C41,Segment!$W$306:$AB$377,3,0)/1000</f>
        <v>504334.17700000003</v>
      </c>
      <c r="AC41" s="38"/>
      <c r="AD41" s="38">
        <f>VLOOKUP($C41,Segment!$W$383:$AB$454,3,0)/1000</f>
        <v>832374.554</v>
      </c>
      <c r="AE41" s="38"/>
      <c r="AF41" s="38">
        <f>VLOOKUP($C41,Segment!$W$460:$AB$531,3,0)/1000</f>
        <v>1216006.77</v>
      </c>
      <c r="AH41" s="38"/>
      <c r="AI41" s="38">
        <f>VLOOKUP($C41,Segment!$W$229:$AB$300,4,0)/1000</f>
        <v>0</v>
      </c>
      <c r="AJ41" s="38"/>
      <c r="AK41" s="38">
        <f>VLOOKUP($C41,Segment!$W$306:$AB$377,4,0)/1000</f>
        <v>0</v>
      </c>
      <c r="AL41" s="38"/>
      <c r="AM41" s="38">
        <f>VLOOKUP($C41,Segment!$W$383:$AB$454,4,0)/1000</f>
        <v>0</v>
      </c>
      <c r="AN41" s="38"/>
      <c r="AO41" s="38">
        <f>VLOOKUP($C41,Segment!$W$460:$AB$531,4,0)/1000</f>
        <v>0</v>
      </c>
      <c r="AQ41" s="38"/>
      <c r="AR41" s="38">
        <f>Z41+AI41</f>
        <v>254282.57199999999</v>
      </c>
      <c r="AS41" s="38"/>
      <c r="AT41" s="38">
        <f>AB41+AK41</f>
        <v>504334.17700000003</v>
      </c>
      <c r="AU41" s="38"/>
      <c r="AV41" s="38">
        <f>AD41+AM41</f>
        <v>832374.554</v>
      </c>
      <c r="AW41" s="38"/>
      <c r="AX41" s="38">
        <f>AF41+AO41</f>
        <v>1216006.77</v>
      </c>
      <c r="AY41" s="132">
        <f>AX41/AV41-1</f>
        <v>0.46088892813510962</v>
      </c>
      <c r="BA41" s="38"/>
      <c r="BB41" s="38">
        <f>VLOOKUP($C41,Segment!$W$229:$AB$300,5,0)/1000</f>
        <v>0</v>
      </c>
      <c r="BC41" s="38"/>
      <c r="BD41" s="38">
        <f>VLOOKUP($C41,Segment!$W$306:$AB$377,5,0)/1000</f>
        <v>0</v>
      </c>
      <c r="BE41" s="38"/>
      <c r="BF41" s="38">
        <f>VLOOKUP($C41,Segment!$W$383:$AB$454,5,0)/1000</f>
        <v>0</v>
      </c>
      <c r="BG41" s="38"/>
      <c r="BH41" s="38">
        <f>VLOOKUP($C41,Segment!$W$460:$AB$531,5,0)/1000</f>
        <v>0</v>
      </c>
    </row>
    <row r="42" spans="3:60" x14ac:dyDescent="0.3">
      <c r="C42" s="36" t="s">
        <v>25</v>
      </c>
      <c r="E42" s="38"/>
      <c r="F42" s="38">
        <f>VLOOKUP($C42,Segment!$W$229:$AB$300,6,0)/1000</f>
        <v>-35435.089999999997</v>
      </c>
      <c r="G42" s="38"/>
      <c r="H42" s="38">
        <f>VLOOKUP($C42,Segment!$W$306:$AB$377,6,0)/1000</f>
        <v>-99840.453999999998</v>
      </c>
      <c r="I42" s="38"/>
      <c r="J42" s="38">
        <f>VLOOKUP($C42,Segment!$W$383:$AB$454,6,0)/1000</f>
        <v>-164337.75899999999</v>
      </c>
      <c r="K42" s="38"/>
      <c r="L42" s="38">
        <f>VLOOKUP($C42,Segment!$W$460:$AB$531,6,0)/1000</f>
        <v>-151255.60999999999</v>
      </c>
      <c r="M42" s="132">
        <f>L42/J42-1</f>
        <v>-7.9605253714090218E-2</v>
      </c>
      <c r="O42" s="38"/>
      <c r="P42" s="38">
        <f>VLOOKUP($C42,Segment!$W$229:$AB$300,2,0)/1000</f>
        <v>0</v>
      </c>
      <c r="Q42" s="38"/>
      <c r="R42" s="38">
        <f>VLOOKUP($C42,Segment!$W$306:$AB$377,2,0)/1000</f>
        <v>0</v>
      </c>
      <c r="S42" s="38"/>
      <c r="T42" s="38">
        <f>VLOOKUP($C42,Segment!$W$383:$AB$454,2,0)/1000</f>
        <v>0</v>
      </c>
      <c r="U42" s="38"/>
      <c r="V42" s="38">
        <f>VLOOKUP($C42,Segment!$W$460:$AB$531,2,0)/1000</f>
        <v>0</v>
      </c>
      <c r="W42" s="132" t="e">
        <f>V42/T42-1</f>
        <v>#DIV/0!</v>
      </c>
      <c r="Y42" s="38"/>
      <c r="Z42" s="38">
        <f>VLOOKUP($C42,Segment!$W$229:$AB$300,3,0)/1000</f>
        <v>-35435.089999999997</v>
      </c>
      <c r="AA42" s="38"/>
      <c r="AB42" s="38">
        <f>VLOOKUP($C42,Segment!$W$306:$AB$377,3,0)/1000</f>
        <v>-99840.453999999998</v>
      </c>
      <c r="AC42" s="38"/>
      <c r="AD42" s="38">
        <f>VLOOKUP($C42,Segment!$W$383:$AB$454,3,0)/1000</f>
        <v>-164337.75899999999</v>
      </c>
      <c r="AE42" s="38"/>
      <c r="AF42" s="38">
        <f>VLOOKUP($C42,Segment!$W$460:$AB$531,3,0)/1000</f>
        <v>-151255.60999999999</v>
      </c>
      <c r="AH42" s="38"/>
      <c r="AI42" s="38">
        <f>VLOOKUP($C42,Segment!$W$229:$AB$300,4,0)/1000</f>
        <v>0</v>
      </c>
      <c r="AJ42" s="38"/>
      <c r="AK42" s="38">
        <f>VLOOKUP($C42,Segment!$W$306:$AB$377,4,0)/1000</f>
        <v>0</v>
      </c>
      <c r="AL42" s="38"/>
      <c r="AM42" s="38">
        <f>VLOOKUP($C42,Segment!$W$383:$AB$454,4,0)/1000</f>
        <v>0</v>
      </c>
      <c r="AN42" s="38"/>
      <c r="AO42" s="38">
        <f>VLOOKUP($C42,Segment!$W$460:$AB$531,4,0)/1000</f>
        <v>0</v>
      </c>
      <c r="AQ42" s="38"/>
      <c r="AR42" s="38">
        <f>Z42+AI42</f>
        <v>-35435.089999999997</v>
      </c>
      <c r="AS42" s="38"/>
      <c r="AT42" s="38">
        <f>AB42+AK42</f>
        <v>-99840.453999999998</v>
      </c>
      <c r="AU42" s="38"/>
      <c r="AV42" s="38">
        <f>AD42+AM42</f>
        <v>-164337.75899999999</v>
      </c>
      <c r="AW42" s="38"/>
      <c r="AX42" s="38">
        <f>AF42+AO42</f>
        <v>-151255.60999999999</v>
      </c>
      <c r="AY42" s="132">
        <f>AX42/AV42-1</f>
        <v>-7.9605253714090218E-2</v>
      </c>
      <c r="BA42" s="38"/>
      <c r="BB42" s="38">
        <f>VLOOKUP($C42,Segment!$W$229:$AB$300,5,0)/1000</f>
        <v>0</v>
      </c>
      <c r="BC42" s="38"/>
      <c r="BD42" s="38">
        <f>VLOOKUP($C42,Segment!$W$306:$AB$377,5,0)/1000</f>
        <v>0</v>
      </c>
      <c r="BE42" s="38"/>
      <c r="BF42" s="38">
        <f>VLOOKUP($C42,Segment!$W$383:$AB$454,5,0)/1000</f>
        <v>0</v>
      </c>
      <c r="BG42" s="38"/>
      <c r="BH42" s="38">
        <f>VLOOKUP($C42,Segment!$W$460:$AB$531,5,0)/1000</f>
        <v>0</v>
      </c>
    </row>
    <row r="43" spans="3:60" x14ac:dyDescent="0.3">
      <c r="C43" s="36" t="s">
        <v>26</v>
      </c>
      <c r="E43" s="38"/>
      <c r="F43" s="38">
        <f>VLOOKUP($C43,Segment!$W$229:$AB$300,6,0)/1000</f>
        <v>-75839.642000000007</v>
      </c>
      <c r="G43" s="38"/>
      <c r="H43" s="38">
        <f>VLOOKUP($C43,Segment!$W$306:$AB$377,6,0)/1000</f>
        <v>-137079.99299999999</v>
      </c>
      <c r="I43" s="38"/>
      <c r="J43" s="38">
        <f>VLOOKUP($C43,Segment!$W$383:$AB$454,6,0)/1000</f>
        <v>-247229.32</v>
      </c>
      <c r="K43" s="38"/>
      <c r="L43" s="38">
        <f>VLOOKUP($C43,Segment!$W$460:$AB$531,6,0)/1000</f>
        <v>-363874.58799999999</v>
      </c>
      <c r="M43" s="132">
        <f>L43/J43-1</f>
        <v>0.47181001023664981</v>
      </c>
      <c r="O43" s="38"/>
      <c r="P43" s="38">
        <f>VLOOKUP($C43,Segment!$W$229:$AB$300,2,0)/1000</f>
        <v>0</v>
      </c>
      <c r="Q43" s="38"/>
      <c r="R43" s="38">
        <f>VLOOKUP($C43,Segment!$W$306:$AB$377,2,0)/1000</f>
        <v>0</v>
      </c>
      <c r="S43" s="38"/>
      <c r="T43" s="38">
        <f>VLOOKUP($C43,Segment!$W$383:$AB$454,2,0)/1000</f>
        <v>0</v>
      </c>
      <c r="U43" s="38"/>
      <c r="V43" s="38">
        <f>VLOOKUP($C43,Segment!$W$460:$AB$531,2,0)/1000</f>
        <v>0</v>
      </c>
      <c r="W43" s="132" t="e">
        <f>V43/T43-1</f>
        <v>#DIV/0!</v>
      </c>
      <c r="Y43" s="38"/>
      <c r="Z43" s="38">
        <f>VLOOKUP($C43,Segment!$W$229:$AB$300,3,0)/1000</f>
        <v>-75839.642000000007</v>
      </c>
      <c r="AA43" s="38"/>
      <c r="AB43" s="38">
        <f>VLOOKUP($C43,Segment!$W$306:$AB$377,3,0)/1000</f>
        <v>-137079.99299999999</v>
      </c>
      <c r="AC43" s="38"/>
      <c r="AD43" s="38">
        <f>VLOOKUP($C43,Segment!$W$383:$AB$454,3,0)/1000</f>
        <v>-247229.32</v>
      </c>
      <c r="AE43" s="38"/>
      <c r="AF43" s="38">
        <f>VLOOKUP($C43,Segment!$W$460:$AB$531,3,0)/1000</f>
        <v>-363874.58799999999</v>
      </c>
      <c r="AH43" s="38"/>
      <c r="AI43" s="38">
        <f>VLOOKUP($C43,Segment!$W$229:$AB$300,4,0)/1000</f>
        <v>0</v>
      </c>
      <c r="AJ43" s="38"/>
      <c r="AK43" s="38">
        <f>VLOOKUP($C43,Segment!$W$306:$AB$377,4,0)/1000</f>
        <v>0</v>
      </c>
      <c r="AL43" s="38"/>
      <c r="AM43" s="38">
        <f>VLOOKUP($C43,Segment!$W$383:$AB$454,4,0)/1000</f>
        <v>0</v>
      </c>
      <c r="AN43" s="38"/>
      <c r="AO43" s="38">
        <f>VLOOKUP($C43,Segment!$W$460:$AB$531,4,0)/1000</f>
        <v>0</v>
      </c>
      <c r="AQ43" s="38"/>
      <c r="AR43" s="38">
        <f>Z43+AI43</f>
        <v>-75839.642000000007</v>
      </c>
      <c r="AS43" s="38"/>
      <c r="AT43" s="38">
        <f>AB43+AK43</f>
        <v>-137079.99299999999</v>
      </c>
      <c r="AU43" s="38"/>
      <c r="AV43" s="38">
        <f>AD43+AM43</f>
        <v>-247229.32</v>
      </c>
      <c r="AW43" s="38"/>
      <c r="AX43" s="38">
        <f>AF43+AO43</f>
        <v>-363874.58799999999</v>
      </c>
      <c r="AY43" s="132">
        <f>AX43/AV43-1</f>
        <v>0.47181001023664981</v>
      </c>
      <c r="BA43" s="38"/>
      <c r="BB43" s="38">
        <f>VLOOKUP($C43,Segment!$W$229:$AB$300,5,0)/1000</f>
        <v>0</v>
      </c>
      <c r="BC43" s="38"/>
      <c r="BD43" s="38">
        <f>VLOOKUP($C43,Segment!$W$306:$AB$377,5,0)/1000</f>
        <v>0</v>
      </c>
      <c r="BE43" s="38"/>
      <c r="BF43" s="38">
        <f>VLOOKUP($C43,Segment!$W$383:$AB$454,5,0)/1000</f>
        <v>0</v>
      </c>
      <c r="BG43" s="38"/>
      <c r="BH43" s="38">
        <f>VLOOKUP($C43,Segment!$W$460:$AB$531,5,0)/1000</f>
        <v>0</v>
      </c>
    </row>
    <row r="44" spans="3:60" ht="13.5" thickBot="1" x14ac:dyDescent="0.35">
      <c r="C44" s="54" t="s">
        <v>101</v>
      </c>
      <c r="D44" s="115"/>
      <c r="E44" s="55"/>
      <c r="F44" s="55">
        <f>SUM(F41:F43)</f>
        <v>143007.83999999997</v>
      </c>
      <c r="G44" s="55"/>
      <c r="H44" s="55">
        <f>SUM(H41:H43)</f>
        <v>267413.73</v>
      </c>
      <c r="I44" s="55"/>
      <c r="J44" s="55">
        <f>SUM(J41:J43)</f>
        <v>420807.47500000003</v>
      </c>
      <c r="K44" s="55"/>
      <c r="L44" s="55">
        <f>SUM(L41:L43)</f>
        <v>700876.57200000016</v>
      </c>
      <c r="M44" s="175">
        <f>L44/J44-1</f>
        <v>0.66555162072631924</v>
      </c>
      <c r="O44" s="55"/>
      <c r="P44" s="55">
        <f>SUM(P41:P43)</f>
        <v>0</v>
      </c>
      <c r="Q44" s="55"/>
      <c r="R44" s="55">
        <f>SUM(R41:R43)</f>
        <v>0</v>
      </c>
      <c r="S44" s="55"/>
      <c r="T44" s="55">
        <f>SUM(T41:T43)</f>
        <v>0</v>
      </c>
      <c r="U44" s="55"/>
      <c r="V44" s="55">
        <f>SUM(V41:V43)</f>
        <v>0</v>
      </c>
      <c r="W44" s="175" t="e">
        <f>V44/T44-1</f>
        <v>#DIV/0!</v>
      </c>
      <c r="X44" s="55"/>
      <c r="Y44" s="55"/>
      <c r="Z44" s="55">
        <f>SUM(Z41:Z43)</f>
        <v>143007.83999999997</v>
      </c>
      <c r="AA44" s="55"/>
      <c r="AB44" s="55">
        <f>SUM(AB41:AB43)</f>
        <v>267413.73</v>
      </c>
      <c r="AC44" s="55"/>
      <c r="AD44" s="55">
        <f>SUM(AD41:AD43)</f>
        <v>420807.47500000003</v>
      </c>
      <c r="AE44" s="55"/>
      <c r="AF44" s="55">
        <f>SUM(AF41:AF43)</f>
        <v>700876.57200000016</v>
      </c>
      <c r="AG44" s="42"/>
      <c r="AH44" s="55"/>
      <c r="AI44" s="55">
        <f>SUM(AI41:AI43)</f>
        <v>0</v>
      </c>
      <c r="AJ44" s="55"/>
      <c r="AK44" s="55">
        <f>SUM(AK41:AK43)</f>
        <v>0</v>
      </c>
      <c r="AL44" s="55"/>
      <c r="AM44" s="55">
        <f>SUM(AM41:AM43)</f>
        <v>0</v>
      </c>
      <c r="AN44" s="55"/>
      <c r="AO44" s="55">
        <f>SUM(AO41:AO43)</f>
        <v>0</v>
      </c>
      <c r="AP44" s="42"/>
      <c r="AQ44" s="55"/>
      <c r="AR44" s="55">
        <f>SUM(AR41:AR43)</f>
        <v>143007.83999999997</v>
      </c>
      <c r="AS44" s="55"/>
      <c r="AT44" s="55">
        <f>SUM(AT41:AT43)</f>
        <v>267413.73</v>
      </c>
      <c r="AU44" s="55"/>
      <c r="AV44" s="55">
        <f>SUM(AV41:AV43)</f>
        <v>420807.47500000003</v>
      </c>
      <c r="AW44" s="55"/>
      <c r="AX44" s="55">
        <f>SUM(AX41:AX43)</f>
        <v>700876.57200000016</v>
      </c>
      <c r="AY44" s="175">
        <f>AX44/AV44-1</f>
        <v>0.66555162072631924</v>
      </c>
      <c r="AZ44" s="55"/>
      <c r="BA44" s="55"/>
      <c r="BB44" s="55">
        <f>SUM(BB41:BB43)</f>
        <v>0</v>
      </c>
      <c r="BC44" s="55"/>
      <c r="BD44" s="55">
        <f>SUM(BD41:BD43)</f>
        <v>0</v>
      </c>
      <c r="BE44" s="55"/>
      <c r="BF44" s="55">
        <f>SUM(BF41:BF43)</f>
        <v>0</v>
      </c>
      <c r="BG44" s="55"/>
      <c r="BH44" s="55">
        <f>SUM(BH41:BH43)</f>
        <v>0</v>
      </c>
    </row>
    <row r="45" spans="3:60" ht="13.5" thickTop="1" x14ac:dyDescent="0.3">
      <c r="C45" s="39" t="s">
        <v>61</v>
      </c>
      <c r="D45" s="109"/>
      <c r="E45" s="40"/>
      <c r="F45" s="40">
        <f>F44/F41</f>
        <v>0.56239733173691497</v>
      </c>
      <c r="G45" s="40"/>
      <c r="H45" s="40">
        <f>H44/H41</f>
        <v>0.53023122801372224</v>
      </c>
      <c r="I45" s="40"/>
      <c r="J45" s="40">
        <f>J44/J41</f>
        <v>0.50555062378805016</v>
      </c>
      <c r="K45" s="40"/>
      <c r="L45" s="40">
        <f>L44/L41</f>
        <v>0.57637555093546078</v>
      </c>
      <c r="M45" s="169"/>
      <c r="O45" s="40"/>
      <c r="P45" s="40"/>
      <c r="Q45" s="40"/>
      <c r="R45" s="40"/>
      <c r="S45" s="40"/>
      <c r="T45" s="40"/>
      <c r="U45" s="40"/>
      <c r="V45" s="40"/>
      <c r="W45" s="169"/>
      <c r="Y45" s="40"/>
      <c r="Z45" s="40">
        <f>Z44/Z41</f>
        <v>0.56239733173691497</v>
      </c>
      <c r="AA45" s="40"/>
      <c r="AB45" s="40">
        <f>AB44/AB41</f>
        <v>0.53023122801372224</v>
      </c>
      <c r="AC45" s="40"/>
      <c r="AD45" s="40">
        <f>AD44/AD41</f>
        <v>0.50555062378805016</v>
      </c>
      <c r="AE45" s="40"/>
      <c r="AF45" s="40">
        <f>AF44/AF41</f>
        <v>0.57637555093546078</v>
      </c>
      <c r="AH45" s="40"/>
      <c r="AI45" s="40"/>
      <c r="AJ45" s="40"/>
      <c r="AK45" s="40"/>
      <c r="AL45" s="40"/>
      <c r="AM45" s="40"/>
      <c r="AN45" s="40"/>
      <c r="AO45" s="40"/>
      <c r="AQ45" s="40"/>
      <c r="AR45" s="40">
        <f>AR44/AR41</f>
        <v>0.56239733173691497</v>
      </c>
      <c r="AS45" s="40"/>
      <c r="AT45" s="40">
        <f>AT44/AT41</f>
        <v>0.53023122801372224</v>
      </c>
      <c r="AU45" s="40"/>
      <c r="AV45" s="40">
        <f>AV44/AV41</f>
        <v>0.50555062378805016</v>
      </c>
      <c r="AW45" s="40"/>
      <c r="AX45" s="40">
        <f>AX44/AX41</f>
        <v>0.57637555093546078</v>
      </c>
      <c r="AY45" s="169"/>
      <c r="BA45" s="40"/>
      <c r="BB45" s="40"/>
      <c r="BC45" s="40"/>
      <c r="BD45" s="40"/>
      <c r="BE45" s="40"/>
      <c r="BF45" s="40"/>
      <c r="BG45" s="40"/>
      <c r="BH45" s="40"/>
    </row>
    <row r="46" spans="3:60" x14ac:dyDescent="0.3">
      <c r="C46" s="36" t="s">
        <v>27</v>
      </c>
      <c r="D46" s="110">
        <v>14</v>
      </c>
      <c r="E46" s="38"/>
      <c r="F46" s="38">
        <f>VLOOKUP($C46,Segment!$W$229:$AB$300,6,0)/1000</f>
        <v>-53860.874000000003</v>
      </c>
      <c r="G46" s="38"/>
      <c r="H46" s="38">
        <f>VLOOKUP($C46,Segment!$W$306:$AB$377,6,0)/1000</f>
        <v>-123118.402</v>
      </c>
      <c r="I46" s="38"/>
      <c r="J46" s="38">
        <f>VLOOKUP($C46,Segment!$W$383:$AB$454,6,0)/1000</f>
        <v>-179060.201</v>
      </c>
      <c r="K46" s="38"/>
      <c r="L46" s="38">
        <f>VLOOKUP($C46,Segment!$W$460:$AB$531,6,0)/1000</f>
        <v>-337472.848</v>
      </c>
      <c r="M46" s="132">
        <f>L46/J46-1</f>
        <v>0.8846893174212398</v>
      </c>
      <c r="O46" s="38"/>
      <c r="P46" s="38">
        <f>VLOOKUP($C46,Segment!$W$229:$AB$300,2,0)/1000</f>
        <v>0</v>
      </c>
      <c r="Q46" s="38"/>
      <c r="R46" s="38">
        <f>VLOOKUP($C46,Segment!$W$306:$AB$377,2,0)/1000</f>
        <v>0</v>
      </c>
      <c r="S46" s="38"/>
      <c r="T46" s="38">
        <f>VLOOKUP($C46,Segment!$W$383:$AB$454,2,0)/1000</f>
        <v>0</v>
      </c>
      <c r="U46" s="38"/>
      <c r="V46" s="38">
        <f>VLOOKUP($C46,Segment!$W$460:$AB$531,2,0)/1000</f>
        <v>0</v>
      </c>
      <c r="W46" s="132" t="e">
        <f>V46/T46-1</f>
        <v>#DIV/0!</v>
      </c>
      <c r="Y46" s="38"/>
      <c r="Z46" s="38">
        <f>VLOOKUP($C46,Segment!$W$229:$AB$300,3,0)/1000</f>
        <v>-53860.874000000003</v>
      </c>
      <c r="AA46" s="38"/>
      <c r="AB46" s="38">
        <f>VLOOKUP($C46,Segment!$W$306:$AB$377,3,0)/1000</f>
        <v>-123118.402</v>
      </c>
      <c r="AC46" s="38"/>
      <c r="AD46" s="38">
        <f>VLOOKUP($C46,Segment!$W$383:$AB$454,3,0)/1000</f>
        <v>-179060.201</v>
      </c>
      <c r="AE46" s="38"/>
      <c r="AF46" s="38">
        <f>VLOOKUP($C46,Segment!$W$460:$AB$531,3,0)/1000</f>
        <v>-337472.848</v>
      </c>
      <c r="AH46" s="38"/>
      <c r="AI46" s="38">
        <f>VLOOKUP($C46,Segment!$W$229:$AB$300,4,0)/1000</f>
        <v>0</v>
      </c>
      <c r="AJ46" s="38"/>
      <c r="AK46" s="38">
        <f>VLOOKUP($C46,Segment!$W$306:$AB$377,4,0)/1000</f>
        <v>0</v>
      </c>
      <c r="AL46" s="38"/>
      <c r="AM46" s="38">
        <f>VLOOKUP($C46,Segment!$W$383:$AB$454,4,0)/1000</f>
        <v>0</v>
      </c>
      <c r="AN46" s="38"/>
      <c r="AO46" s="38">
        <f>VLOOKUP($C46,Segment!$W$460:$AB$531,4,0)/1000</f>
        <v>0</v>
      </c>
      <c r="AQ46" s="38"/>
      <c r="AR46" s="38">
        <f>Z46+AI46</f>
        <v>-53860.874000000003</v>
      </c>
      <c r="AS46" s="38"/>
      <c r="AT46" s="38">
        <f>AB46+AK46</f>
        <v>-123118.402</v>
      </c>
      <c r="AU46" s="38"/>
      <c r="AV46" s="38">
        <f>AD46+AM46</f>
        <v>-179060.201</v>
      </c>
      <c r="AW46" s="38"/>
      <c r="AX46" s="38">
        <f>AF46+AO46</f>
        <v>-337472.848</v>
      </c>
      <c r="AY46" s="132">
        <f>AX46/AV46-1</f>
        <v>0.8846893174212398</v>
      </c>
      <c r="BA46" s="38"/>
      <c r="BB46" s="38">
        <f>VLOOKUP($C46,Segment!$W$229:$AB$300,5,0)/1000</f>
        <v>0</v>
      </c>
      <c r="BC46" s="38"/>
      <c r="BD46" s="38">
        <f>VLOOKUP($C46,Segment!$W$306:$AB$377,5,0)/1000</f>
        <v>0</v>
      </c>
      <c r="BE46" s="38"/>
      <c r="BF46" s="38">
        <f>VLOOKUP($C46,Segment!$W$383:$AB$454,5,0)/1000</f>
        <v>0</v>
      </c>
      <c r="BG46" s="38"/>
      <c r="BH46" s="38">
        <f>VLOOKUP($C46,Segment!$W$460:$AB$531,5,0)/1000</f>
        <v>0</v>
      </c>
    </row>
    <row r="47" spans="3:60" x14ac:dyDescent="0.3">
      <c r="C47" s="39" t="s">
        <v>62</v>
      </c>
      <c r="D47" s="109"/>
      <c r="E47" s="40"/>
      <c r="F47" s="40">
        <f>-F46/F44</f>
        <v>0.37662881979057944</v>
      </c>
      <c r="G47" s="40"/>
      <c r="H47" s="40">
        <f>-H46/H44</f>
        <v>0.46040419091420626</v>
      </c>
      <c r="I47" s="40"/>
      <c r="J47" s="40">
        <f>-J46/J44</f>
        <v>0.42551573258055836</v>
      </c>
      <c r="K47" s="40"/>
      <c r="L47" s="40">
        <f>-L46/L44</f>
        <v>0.48150111086891906</v>
      </c>
      <c r="M47" s="169"/>
      <c r="O47" s="40"/>
      <c r="P47" s="40"/>
      <c r="Q47" s="40"/>
      <c r="R47" s="40"/>
      <c r="S47" s="40"/>
      <c r="T47" s="40"/>
      <c r="U47" s="40"/>
      <c r="V47" s="40"/>
      <c r="W47" s="169"/>
      <c r="Y47" s="40"/>
      <c r="Z47" s="40">
        <f>-Z46/Z44</f>
        <v>0.37662881979057944</v>
      </c>
      <c r="AA47" s="40"/>
      <c r="AB47" s="40">
        <f>-AB46/AB44</f>
        <v>0.46040419091420626</v>
      </c>
      <c r="AC47" s="40"/>
      <c r="AD47" s="40">
        <f>-AD46/AD44</f>
        <v>0.42551573258055836</v>
      </c>
      <c r="AE47" s="40"/>
      <c r="AF47" s="40">
        <f>-AF46/AF44</f>
        <v>0.48150111086891906</v>
      </c>
      <c r="AH47" s="40"/>
      <c r="AI47" s="40"/>
      <c r="AJ47" s="40"/>
      <c r="AK47" s="40"/>
      <c r="AL47" s="40"/>
      <c r="AM47" s="40"/>
      <c r="AN47" s="40"/>
      <c r="AO47" s="40"/>
      <c r="AQ47" s="40"/>
      <c r="AR47" s="40">
        <f>-AR46/AR44</f>
        <v>0.37662881979057944</v>
      </c>
      <c r="AS47" s="40"/>
      <c r="AT47" s="40">
        <f>-AT46/AT44</f>
        <v>0.46040419091420626</v>
      </c>
      <c r="AU47" s="40"/>
      <c r="AV47" s="40">
        <f>-AV46/AV44</f>
        <v>0.42551573258055836</v>
      </c>
      <c r="AW47" s="40"/>
      <c r="AX47" s="40">
        <f>-AX46/AX44</f>
        <v>0.48150111086891906</v>
      </c>
      <c r="AY47" s="169"/>
      <c r="BA47" s="40"/>
      <c r="BB47" s="40"/>
      <c r="BC47" s="40"/>
      <c r="BD47" s="40"/>
      <c r="BE47" s="40"/>
      <c r="BF47" s="40"/>
      <c r="BG47" s="40"/>
      <c r="BH47" s="40"/>
    </row>
    <row r="48" spans="3:60" x14ac:dyDescent="0.3">
      <c r="C48" s="36" t="s">
        <v>28</v>
      </c>
      <c r="D48" s="110">
        <v>15</v>
      </c>
      <c r="E48" s="38"/>
      <c r="F48" s="38">
        <f>VLOOKUP($C48,Segment!$W$229:$AB$300,6,0)/1000</f>
        <v>-51881.25</v>
      </c>
      <c r="G48" s="38"/>
      <c r="H48" s="38">
        <f>VLOOKUP($C48,Segment!$W$306:$AB$377,6,0)/1000</f>
        <v>-87773.422000000006</v>
      </c>
      <c r="I48" s="38"/>
      <c r="J48" s="38">
        <f>VLOOKUP($C48,Segment!$W$383:$AB$454,6,0)/1000</f>
        <v>-149651.671</v>
      </c>
      <c r="K48" s="38"/>
      <c r="L48" s="38">
        <f>VLOOKUP($C48,Segment!$W$460:$AB$531,6,0)/1000</f>
        <v>-235048.75</v>
      </c>
      <c r="M48" s="132">
        <f>L48/J48-1</f>
        <v>0.57063899406776408</v>
      </c>
      <c r="O48" s="38"/>
      <c r="P48" s="38">
        <f>VLOOKUP($C48,Segment!$W$229:$AB$300,2,0)/1000</f>
        <v>0</v>
      </c>
      <c r="Q48" s="38"/>
      <c r="R48" s="38">
        <f>VLOOKUP($C48,Segment!$W$306:$AB$377,2,0)/1000</f>
        <v>0</v>
      </c>
      <c r="S48" s="38"/>
      <c r="T48" s="38">
        <f>VLOOKUP($C48,Segment!$W$383:$AB$454,2,0)/1000</f>
        <v>0</v>
      </c>
      <c r="U48" s="38"/>
      <c r="V48" s="38">
        <f>VLOOKUP($C48,Segment!$W$460:$AB$531,2,0)/1000</f>
        <v>0</v>
      </c>
      <c r="W48" s="132" t="e">
        <f>V48/T48-1</f>
        <v>#DIV/0!</v>
      </c>
      <c r="Y48" s="38"/>
      <c r="Z48" s="38">
        <f>VLOOKUP($C48,Segment!$W$229:$AB$300,3,0)/1000</f>
        <v>-51881.25</v>
      </c>
      <c r="AA48" s="38"/>
      <c r="AB48" s="38">
        <f>VLOOKUP($C48,Segment!$W$306:$AB$377,3,0)/1000</f>
        <v>-87773.422000000006</v>
      </c>
      <c r="AC48" s="38"/>
      <c r="AD48" s="38">
        <f>VLOOKUP($C48,Segment!$W$383:$AB$454,3,0)/1000</f>
        <v>-149651.671</v>
      </c>
      <c r="AE48" s="38"/>
      <c r="AF48" s="38">
        <f>VLOOKUP($C48,Segment!$W$460:$AB$531,3,0)/1000</f>
        <v>-235048.75</v>
      </c>
      <c r="AH48" s="38"/>
      <c r="AI48" s="38">
        <f>VLOOKUP($C48,Segment!$W$229:$AB$300,4,0)/1000</f>
        <v>0</v>
      </c>
      <c r="AJ48" s="38"/>
      <c r="AK48" s="38">
        <f>VLOOKUP($C48,Segment!$W$306:$AB$377,4,0)/1000</f>
        <v>0</v>
      </c>
      <c r="AL48" s="38"/>
      <c r="AM48" s="38">
        <f>VLOOKUP($C48,Segment!$W$383:$AB$454,4,0)/1000</f>
        <v>0</v>
      </c>
      <c r="AN48" s="38"/>
      <c r="AO48" s="38">
        <f>VLOOKUP($C48,Segment!$W$460:$AB$531,4,0)/1000</f>
        <v>0</v>
      </c>
      <c r="AQ48" s="38"/>
      <c r="AR48" s="38">
        <f>Z48+AI48</f>
        <v>-51881.25</v>
      </c>
      <c r="AS48" s="38"/>
      <c r="AT48" s="38">
        <f>AB48+AK48</f>
        <v>-87773.422000000006</v>
      </c>
      <c r="AU48" s="38"/>
      <c r="AV48" s="38">
        <f>AD48+AM48</f>
        <v>-149651.671</v>
      </c>
      <c r="AW48" s="38"/>
      <c r="AX48" s="38">
        <f>AF48+AO48</f>
        <v>-235048.75</v>
      </c>
      <c r="AY48" s="132">
        <f>AX48/AV48-1</f>
        <v>0.57063899406776408</v>
      </c>
      <c r="BA48" s="38"/>
      <c r="BB48" s="38">
        <f>VLOOKUP($C48,Segment!$W$229:$AB$300,5,0)/1000</f>
        <v>0</v>
      </c>
      <c r="BC48" s="38"/>
      <c r="BD48" s="38">
        <f>VLOOKUP($C48,Segment!$W$306:$AB$377,5,0)/1000</f>
        <v>0</v>
      </c>
      <c r="BE48" s="38"/>
      <c r="BF48" s="38">
        <f>VLOOKUP($C48,Segment!$W$383:$AB$454,5,0)/1000</f>
        <v>0</v>
      </c>
      <c r="BG48" s="38"/>
      <c r="BH48" s="38">
        <f>VLOOKUP($C48,Segment!$W$460:$AB$531,5,0)/1000</f>
        <v>0</v>
      </c>
    </row>
    <row r="49" spans="3:60" x14ac:dyDescent="0.3">
      <c r="C49" s="39" t="s">
        <v>63</v>
      </c>
      <c r="D49" s="109"/>
      <c r="E49" s="40"/>
      <c r="F49" s="40">
        <f>-F48/F44</f>
        <v>0.36278605424709592</v>
      </c>
      <c r="G49" s="40"/>
      <c r="H49" s="40">
        <f>-H48/H44</f>
        <v>0.32823079802222577</v>
      </c>
      <c r="I49" s="40"/>
      <c r="J49" s="40">
        <f>-J48/J44</f>
        <v>0.35562978295478231</v>
      </c>
      <c r="K49" s="40"/>
      <c r="L49" s="40">
        <f>-L48/L44</f>
        <v>0.33536397047667321</v>
      </c>
      <c r="M49" s="169"/>
      <c r="O49" s="40"/>
      <c r="P49" s="40"/>
      <c r="Q49" s="40"/>
      <c r="R49" s="40"/>
      <c r="S49" s="40"/>
      <c r="T49" s="40"/>
      <c r="U49" s="40"/>
      <c r="V49" s="40"/>
      <c r="W49" s="169"/>
      <c r="Y49" s="40"/>
      <c r="Z49" s="40">
        <f>-Z48/Z44</f>
        <v>0.36278605424709592</v>
      </c>
      <c r="AA49" s="40"/>
      <c r="AB49" s="40">
        <f>-AB48/AB44</f>
        <v>0.32823079802222577</v>
      </c>
      <c r="AC49" s="40"/>
      <c r="AD49" s="40">
        <f>-AD48/AD44</f>
        <v>0.35562978295478231</v>
      </c>
      <c r="AE49" s="40"/>
      <c r="AF49" s="40">
        <f>-AF48/AF44</f>
        <v>0.33536397047667321</v>
      </c>
      <c r="AH49" s="40"/>
      <c r="AI49" s="40"/>
      <c r="AJ49" s="40"/>
      <c r="AK49" s="40"/>
      <c r="AL49" s="40"/>
      <c r="AM49" s="40"/>
      <c r="AN49" s="40"/>
      <c r="AO49" s="40"/>
      <c r="AQ49" s="40"/>
      <c r="AR49" s="40">
        <f>-AR48/AR44</f>
        <v>0.36278605424709592</v>
      </c>
      <c r="AS49" s="40"/>
      <c r="AT49" s="40">
        <f>-AT48/AT44</f>
        <v>0.32823079802222577</v>
      </c>
      <c r="AU49" s="40"/>
      <c r="AV49" s="40">
        <f>-AV48/AV44</f>
        <v>0.35562978295478231</v>
      </c>
      <c r="AW49" s="40"/>
      <c r="AX49" s="40">
        <f>-AX48/AX44</f>
        <v>0.33536397047667321</v>
      </c>
      <c r="AY49" s="169"/>
      <c r="BA49" s="40"/>
      <c r="BB49" s="40"/>
      <c r="BC49" s="40"/>
      <c r="BD49" s="40"/>
      <c r="BE49" s="40"/>
      <c r="BF49" s="40"/>
      <c r="BG49" s="40"/>
      <c r="BH49" s="40"/>
    </row>
    <row r="50" spans="3:60" x14ac:dyDescent="0.3">
      <c r="C50" s="36" t="s">
        <v>29</v>
      </c>
      <c r="E50" s="38"/>
      <c r="F50" s="38">
        <f>VLOOKUP($C50,Segment!$W$229:$AB$300,6,0)/1000</f>
        <v>3031.92</v>
      </c>
      <c r="G50" s="38"/>
      <c r="H50" s="38">
        <f>VLOOKUP($C50,Segment!$W$306:$AB$377,6,0)/1000</f>
        <v>4774.9049999999997</v>
      </c>
      <c r="I50" s="38"/>
      <c r="J50" s="38">
        <f>VLOOKUP($C50,Segment!$W$383:$AB$454,6,0)/1000</f>
        <v>5007.4769999999999</v>
      </c>
      <c r="K50" s="38"/>
      <c r="L50" s="38">
        <f>VLOOKUP($C50,Segment!$W$460:$AB$531,6,0)/1000</f>
        <v>5364.2269999999999</v>
      </c>
      <c r="M50" s="132">
        <f>L50/J50-1</f>
        <v>7.1243462526138446E-2</v>
      </c>
      <c r="O50" s="38"/>
      <c r="P50" s="38">
        <f>VLOOKUP($C50,Segment!$W$229:$AB$300,2,0)/1000</f>
        <v>0</v>
      </c>
      <c r="Q50" s="38"/>
      <c r="R50" s="38">
        <f>VLOOKUP($C50,Segment!$W$306:$AB$377,2,0)/1000</f>
        <v>0</v>
      </c>
      <c r="S50" s="38"/>
      <c r="T50" s="38">
        <f>VLOOKUP($C50,Segment!$W$383:$AB$454,2,0)/1000</f>
        <v>0</v>
      </c>
      <c r="U50" s="38"/>
      <c r="V50" s="38">
        <f>VLOOKUP($C50,Segment!$W$460:$AB$531,2,0)/1000</f>
        <v>0</v>
      </c>
      <c r="W50" s="132" t="e">
        <f>V50/T50-1</f>
        <v>#DIV/0!</v>
      </c>
      <c r="Y50" s="38"/>
      <c r="Z50" s="38">
        <f>VLOOKUP($C50,Segment!$W$229:$AB$300,3,0)/1000</f>
        <v>3031.92</v>
      </c>
      <c r="AA50" s="38"/>
      <c r="AB50" s="38">
        <f>VLOOKUP($C50,Segment!$W$306:$AB$377,3,0)/1000</f>
        <v>4774.9049999999997</v>
      </c>
      <c r="AC50" s="38"/>
      <c r="AD50" s="38">
        <f>VLOOKUP($C50,Segment!$W$383:$AB$454,3,0)/1000</f>
        <v>5007.4769999999999</v>
      </c>
      <c r="AE50" s="38"/>
      <c r="AF50" s="38">
        <f>VLOOKUP($C50,Segment!$W$460:$AB$531,3,0)/1000</f>
        <v>5364.2269999999999</v>
      </c>
      <c r="AH50" s="38"/>
      <c r="AI50" s="38">
        <f>VLOOKUP($C50,Segment!$W$229:$AB$300,4,0)/1000</f>
        <v>0</v>
      </c>
      <c r="AJ50" s="38"/>
      <c r="AK50" s="38">
        <f>VLOOKUP($C50,Segment!$W$306:$AB$377,4,0)/1000</f>
        <v>0</v>
      </c>
      <c r="AL50" s="38"/>
      <c r="AM50" s="38">
        <f>VLOOKUP($C50,Segment!$W$383:$AB$454,4,0)/1000</f>
        <v>0</v>
      </c>
      <c r="AN50" s="38"/>
      <c r="AO50" s="38">
        <f>VLOOKUP($C50,Segment!$W$460:$AB$531,4,0)/1000</f>
        <v>0</v>
      </c>
      <c r="AQ50" s="38"/>
      <c r="AR50" s="38">
        <f>Z50+AI50</f>
        <v>3031.92</v>
      </c>
      <c r="AS50" s="38"/>
      <c r="AT50" s="38">
        <f>AB50+AK50</f>
        <v>4774.9049999999997</v>
      </c>
      <c r="AU50" s="38"/>
      <c r="AV50" s="38">
        <f>AD50+AM50</f>
        <v>5007.4769999999999</v>
      </c>
      <c r="AW50" s="38"/>
      <c r="AX50" s="38">
        <f>AF50+AO50</f>
        <v>5364.2269999999999</v>
      </c>
      <c r="AY50" s="132">
        <f>AX50/AV50-1</f>
        <v>7.1243462526138446E-2</v>
      </c>
      <c r="BA50" s="38"/>
      <c r="BB50" s="38">
        <f>VLOOKUP($C50,Segment!$W$229:$AB$300,5,0)/1000</f>
        <v>0</v>
      </c>
      <c r="BC50" s="38"/>
      <c r="BD50" s="38">
        <f>VLOOKUP($C50,Segment!$W$306:$AB$377,5,0)/1000</f>
        <v>0</v>
      </c>
      <c r="BE50" s="38"/>
      <c r="BF50" s="38">
        <f>VLOOKUP($C50,Segment!$W$383:$AB$454,5,0)/1000</f>
        <v>0</v>
      </c>
      <c r="BG50" s="38"/>
      <c r="BH50" s="38">
        <f>VLOOKUP($C50,Segment!$W$460:$AB$531,5,0)/1000</f>
        <v>0</v>
      </c>
    </row>
    <row r="51" spans="3:60" x14ac:dyDescent="0.3">
      <c r="C51" s="36" t="s">
        <v>30</v>
      </c>
      <c r="E51" s="38"/>
      <c r="F51" s="38">
        <f>VLOOKUP($C51,Segment!$W$229:$AB$300,6,0)/1000</f>
        <v>-547.01300000000003</v>
      </c>
      <c r="G51" s="38"/>
      <c r="H51" s="38">
        <f>VLOOKUP($C51,Segment!$W$306:$AB$377,6,0)/1000</f>
        <v>-2561.317</v>
      </c>
      <c r="I51" s="38"/>
      <c r="J51" s="38">
        <f>VLOOKUP($C51,Segment!$W$383:$AB$454,6,0)/1000</f>
        <v>-7861.2709999999997</v>
      </c>
      <c r="K51" s="38"/>
      <c r="L51" s="38">
        <f>VLOOKUP($C51,Segment!$W$460:$AB$531,6,0)/1000</f>
        <v>-10840.567999999999</v>
      </c>
      <c r="M51" s="132">
        <f>L51/J51-1</f>
        <v>0.37898413628025285</v>
      </c>
      <c r="O51" s="38"/>
      <c r="P51" s="38">
        <f>VLOOKUP($C51,Segment!$W$229:$AB$300,2,0)/1000</f>
        <v>0</v>
      </c>
      <c r="Q51" s="38"/>
      <c r="R51" s="38">
        <f>VLOOKUP($C51,Segment!$W$306:$AB$377,2,0)/1000</f>
        <v>0</v>
      </c>
      <c r="S51" s="38"/>
      <c r="T51" s="38">
        <f>VLOOKUP($C51,Segment!$W$383:$AB$454,2,0)/1000</f>
        <v>0</v>
      </c>
      <c r="U51" s="38"/>
      <c r="V51" s="38">
        <f>VLOOKUP($C51,Segment!$W$460:$AB$531,2,0)/1000</f>
        <v>0</v>
      </c>
      <c r="W51" s="132" t="e">
        <f>V51/T51-1</f>
        <v>#DIV/0!</v>
      </c>
      <c r="Y51" s="38"/>
      <c r="Z51" s="38">
        <f>VLOOKUP($C51,Segment!$W$229:$AB$300,3,0)/1000</f>
        <v>-547.01300000000003</v>
      </c>
      <c r="AA51" s="38"/>
      <c r="AB51" s="38">
        <f>VLOOKUP($C51,Segment!$W$306:$AB$377,3,0)/1000</f>
        <v>-2561.317</v>
      </c>
      <c r="AC51" s="38"/>
      <c r="AD51" s="38">
        <f>VLOOKUP($C51,Segment!$W$383:$AB$454,3,0)/1000</f>
        <v>-7861.2709999999997</v>
      </c>
      <c r="AE51" s="38"/>
      <c r="AF51" s="38">
        <f>VLOOKUP($C51,Segment!$W$460:$AB$531,3,0)/1000</f>
        <v>-10840.567999999999</v>
      </c>
      <c r="AH51" s="38"/>
      <c r="AI51" s="38">
        <f>VLOOKUP($C51,Segment!$W$229:$AB$300,4,0)/1000</f>
        <v>0</v>
      </c>
      <c r="AJ51" s="38"/>
      <c r="AK51" s="38">
        <f>VLOOKUP($C51,Segment!$W$306:$AB$377,4,0)/1000</f>
        <v>0</v>
      </c>
      <c r="AL51" s="38"/>
      <c r="AM51" s="38">
        <f>VLOOKUP($C51,Segment!$W$383:$AB$454,4,0)/1000</f>
        <v>0</v>
      </c>
      <c r="AN51" s="38"/>
      <c r="AO51" s="38">
        <f>VLOOKUP($C51,Segment!$W$460:$AB$531,4,0)/1000</f>
        <v>0</v>
      </c>
      <c r="AQ51" s="38"/>
      <c r="AR51" s="38">
        <f>Z51+AI51</f>
        <v>-547.01300000000003</v>
      </c>
      <c r="AS51" s="38"/>
      <c r="AT51" s="38">
        <f>AB51+AK51</f>
        <v>-2561.317</v>
      </c>
      <c r="AU51" s="38"/>
      <c r="AV51" s="38">
        <f>AD51+AM51</f>
        <v>-7861.2709999999997</v>
      </c>
      <c r="AW51" s="38"/>
      <c r="AX51" s="38">
        <f>AF51+AO51</f>
        <v>-10840.567999999999</v>
      </c>
      <c r="AY51" s="132">
        <f>AX51/AV51-1</f>
        <v>0.37898413628025285</v>
      </c>
      <c r="BA51" s="38"/>
      <c r="BB51" s="38">
        <f>VLOOKUP($C51,Segment!$W$229:$AB$300,5,0)/1000</f>
        <v>0</v>
      </c>
      <c r="BC51" s="38"/>
      <c r="BD51" s="38">
        <f>VLOOKUP($C51,Segment!$W$306:$AB$377,5,0)/1000</f>
        <v>0</v>
      </c>
      <c r="BE51" s="38"/>
      <c r="BF51" s="38">
        <f>VLOOKUP($C51,Segment!$W$383:$AB$454,5,0)/1000</f>
        <v>0</v>
      </c>
      <c r="BG51" s="38"/>
      <c r="BH51" s="38">
        <f>VLOOKUP($C51,Segment!$W$460:$AB$531,5,0)/1000</f>
        <v>0</v>
      </c>
    </row>
    <row r="52" spans="3:60" x14ac:dyDescent="0.3">
      <c r="C52" s="39" t="s">
        <v>71</v>
      </c>
      <c r="D52" s="109"/>
      <c r="E52" s="40"/>
      <c r="F52" s="40"/>
      <c r="G52" s="40"/>
      <c r="H52" s="40"/>
      <c r="I52" s="40"/>
      <c r="J52" s="40"/>
      <c r="K52" s="40"/>
      <c r="L52" s="40"/>
      <c r="M52" s="169"/>
      <c r="O52" s="40"/>
      <c r="P52" s="40"/>
      <c r="Q52" s="40"/>
      <c r="R52" s="40"/>
      <c r="S52" s="40"/>
      <c r="T52" s="40"/>
      <c r="U52" s="40"/>
      <c r="V52" s="40"/>
      <c r="W52" s="169"/>
      <c r="Y52" s="40"/>
      <c r="Z52" s="40">
        <f>-(Z50+Z51+Z72+Z73)/Z44</f>
        <v>0.18571838439067398</v>
      </c>
      <c r="AA52" s="40"/>
      <c r="AB52" s="40">
        <f>-(AB50+AB51+AB72+AB73)/AB44</f>
        <v>0.13691640664823007</v>
      </c>
      <c r="AC52" s="40"/>
      <c r="AD52" s="40">
        <f>-(AD50+AD51+AD72+AD73)/AD44</f>
        <v>0.12779298894345922</v>
      </c>
      <c r="AE52" s="40"/>
      <c r="AF52" s="40">
        <f>-(AF50+AF51+AF72+AF73)/AF44</f>
        <v>0.10909467523191799</v>
      </c>
      <c r="AH52" s="40"/>
      <c r="AI52" s="40"/>
      <c r="AJ52" s="40"/>
      <c r="AK52" s="40"/>
      <c r="AL52" s="40"/>
      <c r="AM52" s="40"/>
      <c r="AN52" s="40"/>
      <c r="AO52" s="40"/>
      <c r="AQ52" s="40"/>
      <c r="AR52" s="40"/>
      <c r="AS52" s="40"/>
      <c r="AT52" s="40"/>
      <c r="AU52" s="40"/>
      <c r="AV52" s="40"/>
      <c r="AW52" s="40"/>
      <c r="AX52" s="40"/>
      <c r="AY52" s="169"/>
      <c r="BA52" s="40"/>
      <c r="BB52" s="40"/>
      <c r="BC52" s="40"/>
      <c r="BD52" s="40"/>
      <c r="BE52" s="40"/>
      <c r="BF52" s="40"/>
      <c r="BG52" s="40"/>
      <c r="BH52" s="40"/>
    </row>
    <row r="53" spans="3:60" x14ac:dyDescent="0.3">
      <c r="C53" s="43" t="s">
        <v>90</v>
      </c>
      <c r="D53" s="111"/>
      <c r="E53" s="44"/>
      <c r="F53" s="44">
        <f>F44+F46+F48+F50+F51</f>
        <v>39750.622999999956</v>
      </c>
      <c r="G53" s="44"/>
      <c r="H53" s="44">
        <f>H44+H46+H48+H50+H51</f>
        <v>58735.49399999997</v>
      </c>
      <c r="I53" s="44"/>
      <c r="J53" s="44">
        <f>J44+J46+J48+J50+J51</f>
        <v>89241.809000000037</v>
      </c>
      <c r="K53" s="44"/>
      <c r="L53" s="44">
        <f>L44+L46+L48+L50+L51</f>
        <v>122878.63300000018</v>
      </c>
      <c r="M53" s="170">
        <f>L53/J53-1</f>
        <v>0.37691777404467586</v>
      </c>
      <c r="O53" s="44"/>
      <c r="P53" s="44">
        <f>P44+P46+P48+P50+P51</f>
        <v>0</v>
      </c>
      <c r="Q53" s="44"/>
      <c r="R53" s="44">
        <f>R44+R46+R48+R50+R51</f>
        <v>0</v>
      </c>
      <c r="S53" s="44"/>
      <c r="T53" s="44">
        <f>T44+T46+T48+T50+T51</f>
        <v>0</v>
      </c>
      <c r="U53" s="44"/>
      <c r="V53" s="44">
        <f>V44+V46+V48+V50+V51</f>
        <v>0</v>
      </c>
      <c r="W53" s="170" t="e">
        <f>V53/T53-1</f>
        <v>#DIV/0!</v>
      </c>
      <c r="X53" s="44"/>
      <c r="Y53" s="44"/>
      <c r="Z53" s="44">
        <f>Z44+Z46+Z48+Z50+Z51</f>
        <v>39750.622999999956</v>
      </c>
      <c r="AA53" s="44"/>
      <c r="AB53" s="44">
        <f>AB44+AB46+AB48+AB50+AB51</f>
        <v>58735.49399999997</v>
      </c>
      <c r="AC53" s="44"/>
      <c r="AD53" s="44">
        <f>AD44+AD46+AD48+AD50+AD51</f>
        <v>89241.809000000037</v>
      </c>
      <c r="AE53" s="44"/>
      <c r="AF53" s="44">
        <f>AF44+AF46+AF48+AF50+AF51</f>
        <v>122878.63300000018</v>
      </c>
      <c r="AG53" s="49"/>
      <c r="AH53" s="44"/>
      <c r="AI53" s="44">
        <f>AI44+AI46+AI48+AI50+AI51</f>
        <v>0</v>
      </c>
      <c r="AJ53" s="44"/>
      <c r="AK53" s="44">
        <f>AK44+AK46+AK48+AK50+AK51</f>
        <v>0</v>
      </c>
      <c r="AL53" s="44"/>
      <c r="AM53" s="44">
        <f>AM44+AM46+AM48+AM50+AM51</f>
        <v>0</v>
      </c>
      <c r="AN53" s="44"/>
      <c r="AO53" s="44">
        <f>AO44+AO46+AO48+AO50+AO51</f>
        <v>0</v>
      </c>
      <c r="AP53" s="49"/>
      <c r="AQ53" s="44"/>
      <c r="AR53" s="44">
        <f>AR44+AR46+AR48+AR50+AR51</f>
        <v>39750.622999999956</v>
      </c>
      <c r="AS53" s="44"/>
      <c r="AT53" s="44">
        <f>AT44+AT46+AT48+AT50+AT51</f>
        <v>58735.49399999997</v>
      </c>
      <c r="AU53" s="44"/>
      <c r="AV53" s="44">
        <f>AV44+AV46+AV48+AV50+AV51</f>
        <v>89241.809000000037</v>
      </c>
      <c r="AW53" s="44"/>
      <c r="AX53" s="44">
        <f>AX44+AX46+AX48+AX50+AX51</f>
        <v>122878.63300000018</v>
      </c>
      <c r="AY53" s="170">
        <f>AX53/AV53-1</f>
        <v>0.37691777404467586</v>
      </c>
      <c r="AZ53" s="146"/>
      <c r="BA53" s="44"/>
      <c r="BB53" s="44">
        <f>BB44+BB46+BB48+BB50+BB51</f>
        <v>0</v>
      </c>
      <c r="BC53" s="44"/>
      <c r="BD53" s="44">
        <f>BD44+BD46+BD48+BD50+BD51</f>
        <v>0</v>
      </c>
      <c r="BE53" s="44"/>
      <c r="BF53" s="44">
        <f>BF44+BF46+BF48+BF50+BF51</f>
        <v>0</v>
      </c>
      <c r="BG53" s="44"/>
      <c r="BH53" s="44">
        <f>BH44+BH46+BH48+BH50+BH51</f>
        <v>0</v>
      </c>
    </row>
    <row r="54" spans="3:60" x14ac:dyDescent="0.3">
      <c r="C54" s="39" t="s">
        <v>72</v>
      </c>
      <c r="D54" s="109"/>
      <c r="E54" s="40"/>
      <c r="F54" s="40"/>
      <c r="G54" s="40"/>
      <c r="H54" s="40"/>
      <c r="I54" s="40"/>
      <c r="J54" s="40"/>
      <c r="K54" s="40"/>
      <c r="L54" s="40"/>
      <c r="M54" s="169"/>
      <c r="O54" s="40"/>
      <c r="P54" s="40"/>
      <c r="Q54" s="40"/>
      <c r="R54" s="40"/>
      <c r="S54" s="40"/>
      <c r="T54" s="40"/>
      <c r="U54" s="40"/>
      <c r="V54" s="40"/>
      <c r="W54" s="169"/>
      <c r="Y54" s="40"/>
      <c r="Z54" s="40">
        <f>Z47+Z49+Z52</f>
        <v>0.92513325842834937</v>
      </c>
      <c r="AA54" s="40"/>
      <c r="AB54" s="40">
        <f>AB47+AB49+AB52</f>
        <v>0.92555139558466215</v>
      </c>
      <c r="AC54" s="40"/>
      <c r="AD54" s="40">
        <f>AD47+AD49+AD52</f>
        <v>0.90893850447879987</v>
      </c>
      <c r="AE54" s="40"/>
      <c r="AF54" s="40">
        <f>AF47+AF49+AF52</f>
        <v>0.92595975657751017</v>
      </c>
      <c r="AH54" s="40"/>
      <c r="AI54" s="40"/>
      <c r="AJ54" s="40"/>
      <c r="AK54" s="40"/>
      <c r="AL54" s="40"/>
      <c r="AM54" s="40"/>
      <c r="AN54" s="40"/>
      <c r="AO54" s="40"/>
      <c r="AQ54" s="40"/>
      <c r="AR54" s="40"/>
      <c r="AS54" s="40"/>
      <c r="AT54" s="40"/>
      <c r="AU54" s="40"/>
      <c r="AV54" s="40"/>
      <c r="AW54" s="40"/>
      <c r="AX54" s="40"/>
      <c r="AY54" s="169"/>
      <c r="BA54" s="40"/>
      <c r="BB54" s="40"/>
      <c r="BC54" s="40"/>
      <c r="BD54" s="40"/>
      <c r="BE54" s="40"/>
      <c r="BF54" s="40"/>
      <c r="BG54" s="40"/>
      <c r="BH54" s="40"/>
    </row>
    <row r="55" spans="3:60" x14ac:dyDescent="0.3">
      <c r="C55" s="45"/>
      <c r="D55" s="112"/>
      <c r="E55" s="45"/>
      <c r="F55" s="45"/>
      <c r="G55" s="45"/>
      <c r="H55" s="45"/>
      <c r="I55" s="45"/>
      <c r="J55" s="45"/>
      <c r="K55" s="45"/>
      <c r="L55" s="45"/>
      <c r="M55" s="172"/>
      <c r="O55" s="45"/>
      <c r="P55" s="45"/>
      <c r="Q55" s="45"/>
      <c r="R55" s="45"/>
      <c r="S55" s="45"/>
      <c r="T55" s="45"/>
      <c r="U55" s="45"/>
      <c r="V55" s="45"/>
      <c r="W55" s="172"/>
      <c r="Y55" s="45"/>
      <c r="Z55" s="45"/>
      <c r="AA55" s="45"/>
      <c r="AB55" s="45"/>
      <c r="AC55" s="45"/>
      <c r="AD55" s="45"/>
      <c r="AE55" s="45"/>
      <c r="AF55" s="45"/>
      <c r="AH55" s="45"/>
      <c r="AI55" s="45"/>
      <c r="AJ55" s="45"/>
      <c r="AK55" s="45"/>
      <c r="AL55" s="45"/>
      <c r="AM55" s="45"/>
      <c r="AN55" s="45"/>
      <c r="AO55" s="45"/>
      <c r="AQ55" s="45"/>
      <c r="AR55" s="45"/>
      <c r="AS55" s="45"/>
      <c r="AT55" s="45"/>
      <c r="AU55" s="45"/>
      <c r="AV55" s="45"/>
      <c r="AW55" s="45"/>
      <c r="AX55" s="45"/>
      <c r="AY55" s="172"/>
      <c r="BA55" s="45"/>
      <c r="BB55" s="45"/>
      <c r="BC55" s="45"/>
      <c r="BD55" s="45"/>
      <c r="BE55" s="45"/>
      <c r="BF55" s="45"/>
      <c r="BG55" s="45"/>
      <c r="BH55" s="45"/>
    </row>
    <row r="56" spans="3:60" x14ac:dyDescent="0.3">
      <c r="C56" s="46" t="s">
        <v>89</v>
      </c>
      <c r="D56" s="113"/>
      <c r="E56" s="47"/>
      <c r="F56" s="47">
        <f>VLOOKUP($C56,Segment!$W$229:$AB$300,6,0)/1000</f>
        <v>20513.179350000002</v>
      </c>
      <c r="G56" s="47"/>
      <c r="H56" s="47">
        <f>VLOOKUP($C56,Segment!$W$306:$AB$377,6,0)/1000</f>
        <v>29414.278850000002</v>
      </c>
      <c r="I56" s="47"/>
      <c r="J56" s="47">
        <f>VLOOKUP($C56,Segment!$W$383:$AB$454,6,0)/1000</f>
        <v>53106.095950000003</v>
      </c>
      <c r="K56" s="47"/>
      <c r="L56" s="47">
        <f>VLOOKUP($C56,Segment!$W$460:$AB$531,6,0)/1000</f>
        <v>104342.35385</v>
      </c>
      <c r="M56" s="173">
        <f>L56/J56-1</f>
        <v>0.96479051949590722</v>
      </c>
      <c r="O56" s="47"/>
      <c r="P56" s="47">
        <f>VLOOKUP($C56,Segment!$W$229:$AB$300,2,0)/1000</f>
        <v>0</v>
      </c>
      <c r="Q56" s="47"/>
      <c r="R56" s="47">
        <f>VLOOKUP($C56,Segment!$W$306:$AB$377,2,0)/1000</f>
        <v>0</v>
      </c>
      <c r="S56" s="47"/>
      <c r="T56" s="47">
        <f>VLOOKUP($C56,Segment!$W$383:$AB$454,2,0)/1000</f>
        <v>0</v>
      </c>
      <c r="U56" s="47"/>
      <c r="V56" s="47">
        <f>VLOOKUP($C56,Segment!$W$460:$AB$531,2,0)/1000</f>
        <v>0</v>
      </c>
      <c r="W56" s="173" t="e">
        <f>V56/T56-1</f>
        <v>#DIV/0!</v>
      </c>
      <c r="Y56" s="47"/>
      <c r="Z56" s="47">
        <f>VLOOKUP($C56,Segment!$W$229:$AB$300,3,0)/1000</f>
        <v>19852.957999999999</v>
      </c>
      <c r="AA56" s="47"/>
      <c r="AB56" s="47">
        <f>VLOOKUP($C56,Segment!$W$306:$AB$377,3,0)/1000</f>
        <v>28322.126</v>
      </c>
      <c r="AC56" s="47"/>
      <c r="AD56" s="47">
        <f>VLOOKUP($C56,Segment!$W$383:$AB$454,3,0)/1000</f>
        <v>52445.546999999999</v>
      </c>
      <c r="AE56" s="47"/>
      <c r="AF56" s="47">
        <f>VLOOKUP($C56,Segment!$W$460:$AB$531,3,0)/1000</f>
        <v>102512.696</v>
      </c>
      <c r="AH56" s="47"/>
      <c r="AI56" s="47">
        <f>VLOOKUP($C56,Segment!$W$229:$AB$300,4,0)/1000</f>
        <v>660.22135000000003</v>
      </c>
      <c r="AJ56" s="47"/>
      <c r="AK56" s="47">
        <f>VLOOKUP($C56,Segment!$W$306:$AB$377,4,0)/1000</f>
        <v>1092.1528499999999</v>
      </c>
      <c r="AL56" s="47"/>
      <c r="AM56" s="47">
        <f>VLOOKUP($C56,Segment!$W$383:$AB$454,4,0)/1000</f>
        <v>660.5489500000001</v>
      </c>
      <c r="AN56" s="47"/>
      <c r="AO56" s="47">
        <f>VLOOKUP($C56,Segment!$W$460:$AB$531,4,0)/1000</f>
        <v>1829.6578500000001</v>
      </c>
      <c r="AQ56" s="47"/>
      <c r="AR56" s="47">
        <f>Z56+AI56</f>
        <v>20513.179349999999</v>
      </c>
      <c r="AS56" s="47"/>
      <c r="AT56" s="47">
        <f>AB56+AK56</f>
        <v>29414.278849999999</v>
      </c>
      <c r="AU56" s="47"/>
      <c r="AV56" s="47">
        <f>AD56+AM56</f>
        <v>53106.095949999995</v>
      </c>
      <c r="AW56" s="47"/>
      <c r="AX56" s="47">
        <f>AF56+AO56</f>
        <v>104342.35385</v>
      </c>
      <c r="AY56" s="173">
        <f>AX56/AV56-1</f>
        <v>0.96479051949590744</v>
      </c>
      <c r="BA56" s="47"/>
      <c r="BB56" s="47">
        <f>VLOOKUP($C56,Segment!$W$229:$AB$300,5,0)/1000</f>
        <v>0</v>
      </c>
      <c r="BC56" s="47"/>
      <c r="BD56" s="47">
        <f>VLOOKUP($C56,Segment!$W$306:$AB$377,5,0)/1000</f>
        <v>0</v>
      </c>
      <c r="BE56" s="47"/>
      <c r="BF56" s="47">
        <f>VLOOKUP($C56,Segment!$W$383:$AB$454,5,0)/1000</f>
        <v>0</v>
      </c>
      <c r="BG56" s="47"/>
      <c r="BH56" s="47">
        <f>VLOOKUP($C56,Segment!$W$460:$AB$531,5,0)/1000</f>
        <v>0</v>
      </c>
    </row>
    <row r="58" spans="3:60" x14ac:dyDescent="0.3">
      <c r="C58" s="36" t="s">
        <v>31</v>
      </c>
      <c r="D58" s="110">
        <v>16</v>
      </c>
      <c r="E58" s="38"/>
      <c r="F58" s="38">
        <f>VLOOKUP($C58,Segment!$W$229:$AB$300,6,0)/1000</f>
        <v>16743.338810000001</v>
      </c>
      <c r="G58" s="38"/>
      <c r="H58" s="38">
        <f>VLOOKUP($C58,Segment!$W$306:$AB$377,6,0)/1000</f>
        <v>20462.864670000006</v>
      </c>
      <c r="I58" s="38"/>
      <c r="J58" s="38">
        <f>VLOOKUP($C58,Segment!$W$383:$AB$454,6,0)/1000</f>
        <v>25065.343489999992</v>
      </c>
      <c r="K58" s="38"/>
      <c r="L58" s="38">
        <f>VLOOKUP($C58,Segment!$W$460:$AB$531,6,0)/1000</f>
        <v>53987.554099999987</v>
      </c>
      <c r="M58" s="132">
        <f>L58/J58-1</f>
        <v>1.1538725021477854</v>
      </c>
      <c r="O58" s="38"/>
      <c r="P58" s="38">
        <f>VLOOKUP($C58,Segment!$W$229:$AB$300,2,0)/1000</f>
        <v>0</v>
      </c>
      <c r="Q58" s="38"/>
      <c r="R58" s="38">
        <f>VLOOKUP($C58,Segment!$W$306:$AB$377,2,0)/1000</f>
        <v>0</v>
      </c>
      <c r="S58" s="38"/>
      <c r="T58" s="38">
        <f>VLOOKUP($C58,Segment!$W$383:$AB$454,2,0)/1000</f>
        <v>0</v>
      </c>
      <c r="U58" s="38"/>
      <c r="V58" s="38">
        <f>VLOOKUP($C58,Segment!$W$460:$AB$531,2,0)/1000</f>
        <v>0</v>
      </c>
      <c r="W58" s="132" t="e">
        <f>V58/T58-1</f>
        <v>#DIV/0!</v>
      </c>
      <c r="Y58" s="38"/>
      <c r="Z58" s="38">
        <f>VLOOKUP($C58,Segment!$W$229:$AB$300,3,0)/1000</f>
        <v>152.77600000000001</v>
      </c>
      <c r="AA58" s="38"/>
      <c r="AB58" s="38">
        <f>VLOOKUP($C58,Segment!$W$306:$AB$377,3,0)/1000</f>
        <v>585.24400000000003</v>
      </c>
      <c r="AC58" s="38"/>
      <c r="AD58" s="38">
        <f>VLOOKUP($C58,Segment!$W$383:$AB$454,3,0)/1000</f>
        <v>604.61300000000006</v>
      </c>
      <c r="AE58" s="38"/>
      <c r="AF58" s="38">
        <f>VLOOKUP($C58,Segment!$W$460:$AB$531,3,0)/1000</f>
        <v>377.99400000000003</v>
      </c>
      <c r="AH58" s="38"/>
      <c r="AI58" s="38">
        <f>VLOOKUP($C58,Segment!$W$229:$AB$300,4,0)/1000</f>
        <v>16590.562810000003</v>
      </c>
      <c r="AJ58" s="38"/>
      <c r="AK58" s="38">
        <f>VLOOKUP($C58,Segment!$W$306:$AB$377,4,0)/1000</f>
        <v>19877.620670000004</v>
      </c>
      <c r="AL58" s="38"/>
      <c r="AM58" s="38">
        <f>VLOOKUP($C58,Segment!$W$383:$AB$454,4,0)/1000</f>
        <v>24460.730489999991</v>
      </c>
      <c r="AN58" s="38"/>
      <c r="AO58" s="38">
        <f>VLOOKUP($C58,Segment!$W$460:$AB$531,4,0)/1000</f>
        <v>53609.560099999988</v>
      </c>
      <c r="AQ58" s="38"/>
      <c r="AR58" s="38">
        <f>Z58+AI58</f>
        <v>16743.338810000005</v>
      </c>
      <c r="AS58" s="38"/>
      <c r="AT58" s="38">
        <f>AB58+AK58</f>
        <v>20462.864670000003</v>
      </c>
      <c r="AU58" s="38"/>
      <c r="AV58" s="38">
        <f>AD58+AM58</f>
        <v>25065.343489999992</v>
      </c>
      <c r="AW58" s="38"/>
      <c r="AX58" s="38">
        <f>AF58+AO58</f>
        <v>53987.554099999987</v>
      </c>
      <c r="AY58" s="132">
        <f>AX58/AV58-1</f>
        <v>1.1538725021477854</v>
      </c>
      <c r="BA58" s="38"/>
      <c r="BB58" s="38">
        <f>VLOOKUP($C58,Segment!$W$229:$AB$300,5,0)/1000</f>
        <v>0</v>
      </c>
      <c r="BC58" s="38"/>
      <c r="BD58" s="38">
        <f>VLOOKUP($C58,Segment!$W$306:$AB$377,5,0)/1000</f>
        <v>0</v>
      </c>
      <c r="BE58" s="38"/>
      <c r="BF58" s="38">
        <f>VLOOKUP($C58,Segment!$W$383:$AB$454,5,0)/1000</f>
        <v>0</v>
      </c>
      <c r="BG58" s="38"/>
      <c r="BH58" s="38">
        <f>VLOOKUP($C58,Segment!$W$460:$AB$531,5,0)/1000</f>
        <v>0</v>
      </c>
    </row>
    <row r="59" spans="3:60" x14ac:dyDescent="0.3">
      <c r="C59" s="36" t="s">
        <v>32</v>
      </c>
      <c r="D59" s="110">
        <v>17</v>
      </c>
      <c r="E59" s="38"/>
      <c r="F59" s="38">
        <f>VLOOKUP($C59,Segment!$W$229:$AB$300,6,0)/1000</f>
        <v>-868.92028399999992</v>
      </c>
      <c r="G59" s="38"/>
      <c r="H59" s="38">
        <f>VLOOKUP($C59,Segment!$W$306:$AB$377,6,0)/1000</f>
        <v>-3971.6298999999995</v>
      </c>
      <c r="I59" s="38"/>
      <c r="J59" s="38">
        <f>VLOOKUP($C59,Segment!$W$383:$AB$454,6,0)/1000</f>
        <v>-12833.757367</v>
      </c>
      <c r="K59" s="38"/>
      <c r="L59" s="38">
        <f>VLOOKUP($C59,Segment!$W$460:$AB$531,6,0)/1000</f>
        <v>-20072.72104</v>
      </c>
      <c r="M59" s="132">
        <f>L59/J59-1</f>
        <v>0.56405645408365457</v>
      </c>
      <c r="O59" s="38"/>
      <c r="P59" s="38">
        <f>VLOOKUP($C59,Segment!$W$229:$AB$300,2,0)/1000</f>
        <v>0</v>
      </c>
      <c r="Q59" s="38"/>
      <c r="R59" s="38">
        <f>VLOOKUP($C59,Segment!$W$306:$AB$377,2,0)/1000</f>
        <v>0</v>
      </c>
      <c r="S59" s="38"/>
      <c r="T59" s="38">
        <f>VLOOKUP($C59,Segment!$W$383:$AB$454,2,0)/1000</f>
        <v>0</v>
      </c>
      <c r="U59" s="38"/>
      <c r="V59" s="38">
        <f>VLOOKUP($C59,Segment!$W$460:$AB$531,2,0)/1000</f>
        <v>0</v>
      </c>
      <c r="W59" s="132" t="e">
        <f>V59/T59-1</f>
        <v>#DIV/0!</v>
      </c>
      <c r="Y59" s="38"/>
      <c r="Z59" s="38">
        <f>VLOOKUP($C59,Segment!$W$229:$AB$300,3,0)/1000</f>
        <v>0</v>
      </c>
      <c r="AA59" s="38"/>
      <c r="AB59" s="38">
        <f>VLOOKUP($C59,Segment!$W$306:$AB$377,3,0)/1000</f>
        <v>0</v>
      </c>
      <c r="AC59" s="38"/>
      <c r="AD59" s="38">
        <f>VLOOKUP($C59,Segment!$W$383:$AB$454,3,0)/1000</f>
        <v>0</v>
      </c>
      <c r="AE59" s="38"/>
      <c r="AF59" s="38">
        <f>VLOOKUP($C59,Segment!$W$460:$AB$531,3,0)/1000</f>
        <v>0</v>
      </c>
      <c r="AH59" s="38"/>
      <c r="AI59" s="38">
        <f>VLOOKUP($C59,Segment!$W$229:$AB$300,4,0)/1000</f>
        <v>-868.92028399999992</v>
      </c>
      <c r="AJ59" s="38"/>
      <c r="AK59" s="38">
        <f>VLOOKUP($C59,Segment!$W$306:$AB$377,4,0)/1000</f>
        <v>-3971.6298999999995</v>
      </c>
      <c r="AL59" s="38"/>
      <c r="AM59" s="38">
        <f>VLOOKUP($C59,Segment!$W$383:$AB$454,4,0)/1000</f>
        <v>-12833.757367</v>
      </c>
      <c r="AN59" s="38"/>
      <c r="AO59" s="38">
        <f>VLOOKUP($C59,Segment!$W$460:$AB$531,4,0)/1000</f>
        <v>-20072.72104</v>
      </c>
      <c r="AQ59" s="38"/>
      <c r="AR59" s="38">
        <f>Z59+AI59</f>
        <v>-868.92028399999992</v>
      </c>
      <c r="AS59" s="38"/>
      <c r="AT59" s="38">
        <f>AB59+AK59</f>
        <v>-3971.6298999999995</v>
      </c>
      <c r="AU59" s="38"/>
      <c r="AV59" s="38">
        <f>AD59+AM59</f>
        <v>-12833.757367</v>
      </c>
      <c r="AW59" s="38"/>
      <c r="AX59" s="38">
        <f>AF59+AO59</f>
        <v>-20072.72104</v>
      </c>
      <c r="AY59" s="132">
        <f>AX59/AV59-1</f>
        <v>0.56405645408365457</v>
      </c>
      <c r="BA59" s="38"/>
      <c r="BB59" s="38">
        <f>VLOOKUP($C59,Segment!$W$229:$AB$300,5,0)/1000</f>
        <v>0</v>
      </c>
      <c r="BC59" s="38"/>
      <c r="BD59" s="38">
        <f>VLOOKUP($C59,Segment!$W$306:$AB$377,5,0)/1000</f>
        <v>0</v>
      </c>
      <c r="BE59" s="38"/>
      <c r="BF59" s="38">
        <f>VLOOKUP($C59,Segment!$W$383:$AB$454,5,0)/1000</f>
        <v>0</v>
      </c>
      <c r="BG59" s="38"/>
      <c r="BH59" s="38">
        <f>VLOOKUP($C59,Segment!$W$460:$AB$531,5,0)/1000</f>
        <v>0</v>
      </c>
    </row>
    <row r="60" spans="3:60" x14ac:dyDescent="0.3">
      <c r="C60" s="56" t="s">
        <v>33</v>
      </c>
      <c r="D60" s="116"/>
      <c r="E60" s="57"/>
      <c r="F60" s="57">
        <f>SUM(F58:F59)</f>
        <v>15874.418526000001</v>
      </c>
      <c r="G60" s="57"/>
      <c r="H60" s="57">
        <f>SUM(H58:H59)</f>
        <v>16491.234770000006</v>
      </c>
      <c r="I60" s="57"/>
      <c r="J60" s="57">
        <f>SUM(J58:J59)</f>
        <v>12231.586122999992</v>
      </c>
      <c r="K60" s="57"/>
      <c r="L60" s="57">
        <f>SUM(L58:L59)</f>
        <v>33914.83305999999</v>
      </c>
      <c r="M60" s="176">
        <f>L60/J60-1</f>
        <v>1.7727256889625558</v>
      </c>
      <c r="O60" s="57"/>
      <c r="P60" s="57">
        <f>SUM(P58:P59)</f>
        <v>0</v>
      </c>
      <c r="Q60" s="57"/>
      <c r="R60" s="57">
        <f>SUM(R58:R59)</f>
        <v>0</v>
      </c>
      <c r="S60" s="57"/>
      <c r="T60" s="57">
        <f>SUM(T58:T59)</f>
        <v>0</v>
      </c>
      <c r="U60" s="57"/>
      <c r="V60" s="57">
        <f>SUM(V58:V59)</f>
        <v>0</v>
      </c>
      <c r="W60" s="176" t="e">
        <f>V60/T60-1</f>
        <v>#DIV/0!</v>
      </c>
      <c r="X60" s="57"/>
      <c r="Y60" s="57"/>
      <c r="Z60" s="57">
        <f>SUM(Z58:Z59)</f>
        <v>152.77600000000001</v>
      </c>
      <c r="AA60" s="57"/>
      <c r="AB60" s="57">
        <f>SUM(AB58:AB59)</f>
        <v>585.24400000000003</v>
      </c>
      <c r="AC60" s="57"/>
      <c r="AD60" s="57">
        <f>SUM(AD58:AD59)</f>
        <v>604.61300000000006</v>
      </c>
      <c r="AE60" s="57"/>
      <c r="AF60" s="57">
        <f>SUM(AF58:AF59)</f>
        <v>377.99400000000003</v>
      </c>
      <c r="AG60" s="42"/>
      <c r="AH60" s="57"/>
      <c r="AI60" s="57">
        <f>SUM(AI58:AI59)</f>
        <v>15721.642526000003</v>
      </c>
      <c r="AJ60" s="57"/>
      <c r="AK60" s="57">
        <f>SUM(AK58:AK59)</f>
        <v>15905.990770000004</v>
      </c>
      <c r="AL60" s="57"/>
      <c r="AM60" s="57">
        <f>SUM(AM58:AM59)</f>
        <v>11626.973122999991</v>
      </c>
      <c r="AN60" s="57"/>
      <c r="AO60" s="57">
        <f>SUM(AO58:AO59)</f>
        <v>33536.839059999984</v>
      </c>
      <c r="AP60" s="42"/>
      <c r="AQ60" s="57"/>
      <c r="AR60" s="57">
        <f>SUM(AR58:AR59)</f>
        <v>15874.418526000005</v>
      </c>
      <c r="AS60" s="57"/>
      <c r="AT60" s="57">
        <f>SUM(AT58:AT59)</f>
        <v>16491.234770000003</v>
      </c>
      <c r="AU60" s="57"/>
      <c r="AV60" s="57">
        <f>SUM(AV58:AV59)</f>
        <v>12231.586122999992</v>
      </c>
      <c r="AW60" s="57"/>
      <c r="AX60" s="57">
        <f>SUM(AX58:AX59)</f>
        <v>33914.83305999999</v>
      </c>
      <c r="AY60" s="176">
        <f>AX60/AV60-1</f>
        <v>1.7727256889625558</v>
      </c>
      <c r="AZ60" s="57"/>
      <c r="BA60" s="57"/>
      <c r="BB60" s="57">
        <f>SUM(BB58:BB59)</f>
        <v>0</v>
      </c>
      <c r="BC60" s="57"/>
      <c r="BD60" s="57">
        <f>SUM(BD58:BD59)</f>
        <v>0</v>
      </c>
      <c r="BE60" s="57"/>
      <c r="BF60" s="57">
        <f>SUM(BF58:BF59)</f>
        <v>0</v>
      </c>
      <c r="BG60" s="57"/>
      <c r="BH60" s="57">
        <f>SUM(BH58:BH59)</f>
        <v>0</v>
      </c>
    </row>
    <row r="61" spans="3:60" x14ac:dyDescent="0.3">
      <c r="C61" s="39" t="s">
        <v>64</v>
      </c>
      <c r="D61" s="109"/>
      <c r="E61" s="40"/>
      <c r="F61" s="40"/>
      <c r="G61" s="40"/>
      <c r="H61" s="40"/>
      <c r="I61" s="40"/>
      <c r="J61" s="40"/>
      <c r="K61" s="40"/>
      <c r="L61" s="40"/>
      <c r="M61" s="169"/>
      <c r="O61" s="40"/>
      <c r="P61" s="40"/>
      <c r="Q61" s="40"/>
      <c r="R61" s="40"/>
      <c r="S61" s="40"/>
      <c r="T61" s="40"/>
      <c r="U61" s="40"/>
      <c r="V61" s="40"/>
      <c r="W61" s="169"/>
      <c r="Y61" s="40"/>
      <c r="Z61" s="40"/>
      <c r="AA61" s="40"/>
      <c r="AB61" s="40"/>
      <c r="AC61" s="40"/>
      <c r="AD61" s="40"/>
      <c r="AE61" s="40"/>
      <c r="AF61" s="40"/>
      <c r="AH61" s="40"/>
      <c r="AI61" s="40">
        <f>AI60/AI183</f>
        <v>0.19644122440982481</v>
      </c>
      <c r="AJ61" s="40"/>
      <c r="AK61" s="40">
        <f>AK60/AK183</f>
        <v>0.15388562209660858</v>
      </c>
      <c r="AL61" s="40"/>
      <c r="AM61" s="40">
        <f>AM60/AM183</f>
        <v>6.2381079225834239E-2</v>
      </c>
      <c r="AN61" s="40"/>
      <c r="AO61" s="40">
        <f>AO60/AO183</f>
        <v>0.13126107378450894</v>
      </c>
      <c r="AQ61" s="40"/>
      <c r="AR61" s="40"/>
      <c r="AS61" s="40"/>
      <c r="AT61" s="40"/>
      <c r="AU61" s="40"/>
      <c r="AV61" s="40"/>
      <c r="AW61" s="40"/>
      <c r="AX61" s="40"/>
      <c r="AY61" s="169"/>
      <c r="BA61" s="40"/>
      <c r="BB61" s="40"/>
      <c r="BC61" s="40"/>
      <c r="BD61" s="40"/>
      <c r="BE61" s="40"/>
      <c r="BF61" s="40"/>
      <c r="BG61" s="40"/>
      <c r="BH61" s="40"/>
    </row>
    <row r="62" spans="3:60" ht="13.5" thickBot="1" x14ac:dyDescent="0.35">
      <c r="C62" s="50" t="s">
        <v>34</v>
      </c>
      <c r="D62" s="114"/>
      <c r="E62" s="51"/>
      <c r="F62" s="51">
        <f>F53+F56+F60</f>
        <v>76138.220875999948</v>
      </c>
      <c r="G62" s="51"/>
      <c r="H62" s="51">
        <f>H53+H56+H60</f>
        <v>104641.00761999999</v>
      </c>
      <c r="I62" s="51"/>
      <c r="J62" s="51">
        <f>J53+J56+J60</f>
        <v>154579.49107300004</v>
      </c>
      <c r="K62" s="51"/>
      <c r="L62" s="51">
        <f>L53+L56+L60</f>
        <v>261135.81991000014</v>
      </c>
      <c r="M62" s="174">
        <f>L62/J62-1</f>
        <v>0.68933031217368246</v>
      </c>
      <c r="N62" s="132"/>
      <c r="O62" s="51"/>
      <c r="P62" s="51">
        <f>P53+P56+P60</f>
        <v>0</v>
      </c>
      <c r="Q62" s="51"/>
      <c r="R62" s="51">
        <f>R53+R56+R60</f>
        <v>0</v>
      </c>
      <c r="S62" s="51"/>
      <c r="T62" s="51">
        <f>T53+T56+T60</f>
        <v>0</v>
      </c>
      <c r="U62" s="51"/>
      <c r="V62" s="51">
        <f>V53+V56+V60</f>
        <v>0</v>
      </c>
      <c r="W62" s="174" t="e">
        <f>V62/T62-1</f>
        <v>#DIV/0!</v>
      </c>
      <c r="X62" s="52"/>
      <c r="Y62" s="51"/>
      <c r="Z62" s="51">
        <f>Z53+Z56+Z60</f>
        <v>59756.356999999953</v>
      </c>
      <c r="AA62" s="51"/>
      <c r="AB62" s="51">
        <f>AB53+AB56+AB60</f>
        <v>87642.863999999972</v>
      </c>
      <c r="AC62" s="51"/>
      <c r="AD62" s="51">
        <f>AD53+AD56+AD60</f>
        <v>142291.96900000004</v>
      </c>
      <c r="AE62" s="51"/>
      <c r="AF62" s="51">
        <f>AF53+AF56+AF60</f>
        <v>225769.32300000018</v>
      </c>
      <c r="AG62" s="53"/>
      <c r="AH62" s="51"/>
      <c r="AI62" s="51">
        <f>AI53+AI56+AI60</f>
        <v>16381.863876000003</v>
      </c>
      <c r="AJ62" s="51"/>
      <c r="AK62" s="51">
        <f>AK53+AK56+AK60</f>
        <v>16998.143620000003</v>
      </c>
      <c r="AL62" s="51"/>
      <c r="AM62" s="51">
        <f>AM53+AM56+AM60</f>
        <v>12287.522072999991</v>
      </c>
      <c r="AN62" s="51"/>
      <c r="AO62" s="51">
        <f>AO53+AO56+AO60</f>
        <v>35366.496909999987</v>
      </c>
      <c r="AP62" s="53"/>
      <c r="AQ62" s="51"/>
      <c r="AR62" s="51">
        <f>AR53+AR56+AR60</f>
        <v>76138.220875999963</v>
      </c>
      <c r="AS62" s="51"/>
      <c r="AT62" s="51">
        <f>AT53+AT56+AT60</f>
        <v>104641.00761999996</v>
      </c>
      <c r="AU62" s="51"/>
      <c r="AV62" s="51">
        <f>AV53+AV56+AV60</f>
        <v>154579.49107300001</v>
      </c>
      <c r="AW62" s="51"/>
      <c r="AX62" s="51">
        <f>AX53+AX56+AX60</f>
        <v>261135.81991000014</v>
      </c>
      <c r="AY62" s="174">
        <f>AX62/AV62-1</f>
        <v>0.6893303121736829</v>
      </c>
      <c r="AZ62" s="144"/>
      <c r="BA62" s="51"/>
      <c r="BB62" s="51">
        <f>BB53+BB56+BB60</f>
        <v>0</v>
      </c>
      <c r="BC62" s="51"/>
      <c r="BD62" s="51">
        <f>BD53+BD56+BD60</f>
        <v>0</v>
      </c>
      <c r="BE62" s="51"/>
      <c r="BF62" s="51">
        <f>BF53+BF56+BF60</f>
        <v>0</v>
      </c>
      <c r="BG62" s="51"/>
      <c r="BH62" s="51">
        <f>BH53+BH56+BH60</f>
        <v>0</v>
      </c>
    </row>
    <row r="63" spans="3:60" ht="13.5" thickTop="1" x14ac:dyDescent="0.3">
      <c r="C63" s="39" t="s">
        <v>79</v>
      </c>
      <c r="D63" s="109"/>
      <c r="E63" s="41"/>
      <c r="F63" s="41">
        <f>(F41+F50+F56+F58)/1000</f>
        <v>294.57101016000001</v>
      </c>
      <c r="G63" s="41"/>
      <c r="H63" s="41">
        <f>(H41+H50+H56+H58)/1000</f>
        <v>558.98622552000006</v>
      </c>
      <c r="I63" s="41"/>
      <c r="J63" s="41">
        <f>(J41+J50+J56+J58)/1000</f>
        <v>915.55347043999996</v>
      </c>
      <c r="K63" s="41"/>
      <c r="L63" s="41">
        <f>(L41+L50+L56+L58)/1000</f>
        <v>1379.7009049500002</v>
      </c>
      <c r="M63" s="169"/>
      <c r="O63" s="41"/>
      <c r="P63" s="41"/>
      <c r="Q63" s="41"/>
      <c r="R63" s="41"/>
      <c r="S63" s="41"/>
      <c r="T63" s="41"/>
      <c r="U63" s="41"/>
      <c r="V63" s="41"/>
      <c r="W63" s="169"/>
      <c r="Y63" s="41"/>
      <c r="Z63" s="41">
        <f>(Z41+Z50+Z56+Z58)/1000</f>
        <v>277.32022600000005</v>
      </c>
      <c r="AA63" s="41"/>
      <c r="AB63" s="41">
        <f>(AB41+AB50+AB56+AB58)/1000</f>
        <v>538.01645200000007</v>
      </c>
      <c r="AC63" s="41"/>
      <c r="AD63" s="41">
        <f>(AD41+AD50+AD56+AD58)/1000</f>
        <v>890.43219099999999</v>
      </c>
      <c r="AE63" s="41"/>
      <c r="AF63" s="41">
        <f>(AF41+AF50+AF56+AF58)/1000</f>
        <v>1324.2616869999999</v>
      </c>
      <c r="AH63" s="41"/>
      <c r="AI63" s="41">
        <f>(AI41+AI50+AI56+AI58)/1000</f>
        <v>17.250784160000002</v>
      </c>
      <c r="AJ63" s="41"/>
      <c r="AK63" s="41">
        <f>(AK41+AK50+AK56+AK58)/1000</f>
        <v>20.969773520000004</v>
      </c>
      <c r="AL63" s="41"/>
      <c r="AM63" s="41">
        <f>(AM41+AM50+AM56+AM58)/1000</f>
        <v>25.121279439999991</v>
      </c>
      <c r="AN63" s="41"/>
      <c r="AO63" s="41">
        <f>(AO41+AO50+AO56+AO58)/1000</f>
        <v>55.439217949999993</v>
      </c>
      <c r="AQ63" s="41"/>
      <c r="AR63" s="41">
        <f>(AR41+AR50+AR56+AR58)/1000</f>
        <v>294.57101016000001</v>
      </c>
      <c r="AS63" s="41"/>
      <c r="AT63" s="41">
        <f>(AT41+AT50+AT56+AT58)/1000</f>
        <v>558.98622552000006</v>
      </c>
      <c r="AU63" s="41"/>
      <c r="AV63" s="41">
        <f>(AV41+AV50+AV56+AV58)/1000</f>
        <v>915.55347043999996</v>
      </c>
      <c r="AW63" s="41"/>
      <c r="AX63" s="41">
        <f>(AX41+AX50+AX56+AX58)/1000</f>
        <v>1379.7009049500002</v>
      </c>
      <c r="AY63" s="169"/>
      <c r="BA63" s="41"/>
      <c r="BB63" s="41">
        <f>(BB41+BB50+BB56+BB58)/1000</f>
        <v>0</v>
      </c>
      <c r="BC63" s="41"/>
      <c r="BD63" s="41">
        <f>(BD41+BD50+BD56+BD58)/1000</f>
        <v>0</v>
      </c>
      <c r="BE63" s="41"/>
      <c r="BF63" s="41">
        <f>(BF41+BF50+BF56+BF58)/1000</f>
        <v>0</v>
      </c>
      <c r="BG63" s="41"/>
      <c r="BH63" s="41">
        <f>(BH41+BH50+BH56+BH58)/1000</f>
        <v>0</v>
      </c>
    </row>
    <row r="65" spans="3:60" x14ac:dyDescent="0.3">
      <c r="C65" s="36" t="s">
        <v>35</v>
      </c>
      <c r="D65" s="110">
        <v>18</v>
      </c>
      <c r="E65" s="38"/>
      <c r="F65" s="38">
        <f>VLOOKUP($C65,Segment!$W$229:$AB$300,6,0)/1000</f>
        <v>8344.8757799999985</v>
      </c>
      <c r="G65" s="38"/>
      <c r="H65" s="38">
        <f>VLOOKUP($C65,Segment!$W$306:$AB$377,6,0)/1000</f>
        <v>10757.59597</v>
      </c>
      <c r="I65" s="38"/>
      <c r="J65" s="38">
        <f>VLOOKUP($C65,Segment!$W$383:$AB$454,6,0)/1000</f>
        <v>17923.644239999998</v>
      </c>
      <c r="K65" s="38"/>
      <c r="L65" s="38">
        <f>VLOOKUP($C65,Segment!$W$460:$AB$531,6,0)/1000</f>
        <v>20383.443329999998</v>
      </c>
      <c r="M65" s="132">
        <f>L65/J65-1</f>
        <v>0.13723766534656456</v>
      </c>
      <c r="O65" s="38"/>
      <c r="P65" s="38">
        <f>VLOOKUP($C65,Segment!$W$229:$AB$300,2,0)/1000</f>
        <v>7296.0497799999994</v>
      </c>
      <c r="Q65" s="38"/>
      <c r="R65" s="38">
        <f>VLOOKUP($C65,Segment!$W$306:$AB$377,2,0)/1000</f>
        <v>7512.8261600000005</v>
      </c>
      <c r="S65" s="38"/>
      <c r="T65" s="38">
        <f>VLOOKUP($C65,Segment!$W$383:$AB$454,2,0)/1000</f>
        <v>14400.2966</v>
      </c>
      <c r="U65" s="38"/>
      <c r="V65" s="38">
        <f>VLOOKUP($C65,Segment!$W$460:$AB$531,2,0)/1000</f>
        <v>11346.425309999999</v>
      </c>
      <c r="W65" s="132">
        <f>V65/T65-1</f>
        <v>-0.21207002708541445</v>
      </c>
      <c r="Y65" s="38"/>
      <c r="Z65" s="38">
        <f>VLOOKUP($C65,Segment!$W$229:$AB$300,3,0)/1000</f>
        <v>1048.826</v>
      </c>
      <c r="AA65" s="38"/>
      <c r="AB65" s="38">
        <f>VLOOKUP($C65,Segment!$W$306:$AB$377,3,0)/1000</f>
        <v>1376.356</v>
      </c>
      <c r="AC65" s="38"/>
      <c r="AD65" s="38">
        <f>VLOOKUP($C65,Segment!$W$383:$AB$454,3,0)/1000</f>
        <v>1164.1400000000001</v>
      </c>
      <c r="AE65" s="38"/>
      <c r="AF65" s="38">
        <f>VLOOKUP($C65,Segment!$W$460:$AB$531,3,0)/1000</f>
        <v>694.24900000000002</v>
      </c>
      <c r="AH65" s="38"/>
      <c r="AI65" s="38">
        <f>VLOOKUP($C65,Segment!$W$229:$AB$300,4,0)/1000</f>
        <v>0</v>
      </c>
      <c r="AJ65" s="38"/>
      <c r="AK65" s="38">
        <f>VLOOKUP($C65,Segment!$W$306:$AB$377,4,0)/1000</f>
        <v>0</v>
      </c>
      <c r="AL65" s="38"/>
      <c r="AM65" s="38">
        <f>VLOOKUP($C65,Segment!$W$383:$AB$454,4,0)/1000</f>
        <v>0</v>
      </c>
      <c r="AN65" s="38"/>
      <c r="AO65" s="38">
        <f>VLOOKUP($C65,Segment!$W$460:$AB$531,4,0)/1000</f>
        <v>0</v>
      </c>
      <c r="AQ65" s="38"/>
      <c r="AR65" s="38">
        <f>Z65+AI65</f>
        <v>1048.826</v>
      </c>
      <c r="AS65" s="38"/>
      <c r="AT65" s="38">
        <f>AB65+AK65</f>
        <v>1376.356</v>
      </c>
      <c r="AU65" s="38"/>
      <c r="AV65" s="38">
        <f>AD65+AM65</f>
        <v>1164.1400000000001</v>
      </c>
      <c r="AW65" s="38"/>
      <c r="AX65" s="38">
        <f>AF65+AO65</f>
        <v>694.24900000000002</v>
      </c>
      <c r="AY65" s="132">
        <f>AX65/AV65-1</f>
        <v>-0.40363787860566602</v>
      </c>
      <c r="BA65" s="38"/>
      <c r="BB65" s="38">
        <f>VLOOKUP($C65,Segment!$W$229:$AB$300,5,0)/1000</f>
        <v>0</v>
      </c>
      <c r="BC65" s="38"/>
      <c r="BD65" s="38">
        <f>VLOOKUP($C65,Segment!$W$306:$AB$377,5,0)/1000</f>
        <v>1868.4138099999998</v>
      </c>
      <c r="BE65" s="38"/>
      <c r="BF65" s="38">
        <f>VLOOKUP($C65,Segment!$W$383:$AB$454,5,0)/1000</f>
        <v>2359.2076400000001</v>
      </c>
      <c r="BG65" s="38"/>
      <c r="BH65" s="38">
        <f>VLOOKUP($C65,Segment!$W$460:$AB$531,5,0)/1000</f>
        <v>8342.7690199999997</v>
      </c>
    </row>
    <row r="66" spans="3:60" x14ac:dyDescent="0.3">
      <c r="C66" s="36" t="s">
        <v>36</v>
      </c>
      <c r="D66" s="110">
        <v>19</v>
      </c>
      <c r="E66" s="38"/>
      <c r="F66" s="38">
        <f>VLOOKUP($C66,Segment!$W$229:$AB$300,6,0)/1000</f>
        <v>-5345.8540499999999</v>
      </c>
      <c r="G66" s="38"/>
      <c r="H66" s="38">
        <f>VLOOKUP($C66,Segment!$W$306:$AB$377,6,0)/1000</f>
        <v>-13454.070350000002</v>
      </c>
      <c r="I66" s="38"/>
      <c r="J66" s="38">
        <f>VLOOKUP($C66,Segment!$W$383:$AB$454,6,0)/1000</f>
        <v>-14852.965190000001</v>
      </c>
      <c r="K66" s="38"/>
      <c r="L66" s="38">
        <f>VLOOKUP($C66,Segment!$W$460:$AB$531,6,0)/1000</f>
        <v>-22374.603340000005</v>
      </c>
      <c r="M66" s="132">
        <f>L66/J66-1</f>
        <v>0.50640650225613326</v>
      </c>
      <c r="O66" s="38"/>
      <c r="P66" s="38">
        <f>VLOOKUP($C66,Segment!$W$229:$AB$300,2,0)/1000</f>
        <v>-5345.8540499999999</v>
      </c>
      <c r="Q66" s="38"/>
      <c r="R66" s="38">
        <f>VLOOKUP($C66,Segment!$W$306:$AB$377,2,0)/1000</f>
        <v>-12518.686760000002</v>
      </c>
      <c r="S66" s="38"/>
      <c r="T66" s="38">
        <f>VLOOKUP($C66,Segment!$W$383:$AB$454,2,0)/1000</f>
        <v>-13197.504100000002</v>
      </c>
      <c r="U66" s="38"/>
      <c r="V66" s="38">
        <f>VLOOKUP($C66,Segment!$W$460:$AB$531,2,0)/1000</f>
        <v>-19454.757260000002</v>
      </c>
      <c r="W66" s="132">
        <f>V66/T66-1</f>
        <v>0.47412397924543925</v>
      </c>
      <c r="Y66" s="38"/>
      <c r="Z66" s="38">
        <f>VLOOKUP($C66,Segment!$W$229:$AB$300,3,0)/1000</f>
        <v>0</v>
      </c>
      <c r="AA66" s="38"/>
      <c r="AB66" s="38">
        <f>VLOOKUP($C66,Segment!$W$306:$AB$377,3,0)/1000</f>
        <v>0</v>
      </c>
      <c r="AC66" s="38"/>
      <c r="AD66" s="38">
        <f>VLOOKUP($C66,Segment!$W$383:$AB$454,3,0)/1000</f>
        <v>0</v>
      </c>
      <c r="AE66" s="38"/>
      <c r="AF66" s="38">
        <f>VLOOKUP($C66,Segment!$W$460:$AB$531,3,0)/1000</f>
        <v>0</v>
      </c>
      <c r="AH66" s="38"/>
      <c r="AI66" s="38">
        <f>VLOOKUP($C66,Segment!$W$229:$AB$300,4,0)/1000</f>
        <v>0</v>
      </c>
      <c r="AJ66" s="38"/>
      <c r="AK66" s="38">
        <f>VLOOKUP($C66,Segment!$W$306:$AB$377,4,0)/1000</f>
        <v>0</v>
      </c>
      <c r="AL66" s="38"/>
      <c r="AM66" s="38">
        <f>VLOOKUP($C66,Segment!$W$383:$AB$454,4,0)/1000</f>
        <v>0</v>
      </c>
      <c r="AN66" s="38"/>
      <c r="AO66" s="38">
        <f>VLOOKUP($C66,Segment!$W$460:$AB$531,4,0)/1000</f>
        <v>0</v>
      </c>
      <c r="AQ66" s="38"/>
      <c r="AR66" s="38">
        <f>Z66+AI66</f>
        <v>0</v>
      </c>
      <c r="AS66" s="38"/>
      <c r="AT66" s="38">
        <f>AB66+AK66</f>
        <v>0</v>
      </c>
      <c r="AU66" s="38"/>
      <c r="AV66" s="38">
        <f>AD66+AM66</f>
        <v>0</v>
      </c>
      <c r="AW66" s="38"/>
      <c r="AX66" s="38">
        <f>AF66+AO66</f>
        <v>0</v>
      </c>
      <c r="BA66" s="38"/>
      <c r="BB66" s="38">
        <f>VLOOKUP($C66,Segment!$W$229:$AB$300,5,0)/1000</f>
        <v>0</v>
      </c>
      <c r="BC66" s="38"/>
      <c r="BD66" s="38">
        <f>VLOOKUP($C66,Segment!$W$306:$AB$377,5,0)/1000</f>
        <v>-935.38358999999991</v>
      </c>
      <c r="BE66" s="38"/>
      <c r="BF66" s="38">
        <f>VLOOKUP($C66,Segment!$W$383:$AB$454,5,0)/1000</f>
        <v>-1655.4610899999998</v>
      </c>
      <c r="BG66" s="38"/>
      <c r="BH66" s="38">
        <f>VLOOKUP($C66,Segment!$W$460:$AB$531,5,0)/1000</f>
        <v>-2919.8460800000003</v>
      </c>
    </row>
    <row r="67" spans="3:60" ht="13.5" thickBot="1" x14ac:dyDescent="0.35">
      <c r="C67" s="50" t="s">
        <v>37</v>
      </c>
      <c r="D67" s="114"/>
      <c r="E67" s="58"/>
      <c r="F67" s="58">
        <f>SUM(F65:F66)</f>
        <v>2999.0217299999986</v>
      </c>
      <c r="G67" s="58"/>
      <c r="H67" s="58">
        <f>SUM(H65:H66)</f>
        <v>-2696.4743800000015</v>
      </c>
      <c r="I67" s="58"/>
      <c r="J67" s="58">
        <f>SUM(J65:J66)</f>
        <v>3070.679049999997</v>
      </c>
      <c r="K67" s="58"/>
      <c r="L67" s="58">
        <f>SUM(L65:L66)</f>
        <v>-1991.1600100000069</v>
      </c>
      <c r="M67" s="174">
        <f>L67/J67-1</f>
        <v>-1.6484428940888527</v>
      </c>
      <c r="O67" s="58"/>
      <c r="P67" s="58">
        <f>SUM(P65:P66)</f>
        <v>1950.1957299999995</v>
      </c>
      <c r="Q67" s="58"/>
      <c r="R67" s="58">
        <f>SUM(R65:R66)</f>
        <v>-5005.8606000000018</v>
      </c>
      <c r="S67" s="58"/>
      <c r="T67" s="58">
        <f>SUM(T65:T66)</f>
        <v>1202.7924999999977</v>
      </c>
      <c r="U67" s="58"/>
      <c r="V67" s="58">
        <f>SUM(V65:V66)</f>
        <v>-8108.3319500000034</v>
      </c>
      <c r="W67" s="174">
        <f>V67/T67-1</f>
        <v>-7.741255827584574</v>
      </c>
      <c r="X67" s="58"/>
      <c r="Y67" s="58"/>
      <c r="Z67" s="58">
        <f>SUM(Z65:Z66)</f>
        <v>1048.826</v>
      </c>
      <c r="AA67" s="58"/>
      <c r="AB67" s="58">
        <f>SUM(AB65:AB66)</f>
        <v>1376.356</v>
      </c>
      <c r="AC67" s="58"/>
      <c r="AD67" s="58">
        <f>SUM(AD65:AD66)</f>
        <v>1164.1400000000001</v>
      </c>
      <c r="AE67" s="58"/>
      <c r="AF67" s="58">
        <f>SUM(AF65:AF66)</f>
        <v>694.24900000000002</v>
      </c>
      <c r="AG67" s="49"/>
      <c r="AH67" s="58"/>
      <c r="AI67" s="58">
        <f>SUM(AI65:AI66)</f>
        <v>0</v>
      </c>
      <c r="AJ67" s="58"/>
      <c r="AK67" s="58">
        <f>SUM(AK65:AK66)</f>
        <v>0</v>
      </c>
      <c r="AL67" s="58"/>
      <c r="AM67" s="58">
        <f>SUM(AM65:AM66)</f>
        <v>0</v>
      </c>
      <c r="AN67" s="58"/>
      <c r="AO67" s="58">
        <f>SUM(AO65:AO66)</f>
        <v>0</v>
      </c>
      <c r="AP67" s="49"/>
      <c r="AQ67" s="58"/>
      <c r="AR67" s="58">
        <f>SUM(AR65:AR66)</f>
        <v>1048.826</v>
      </c>
      <c r="AS67" s="58"/>
      <c r="AT67" s="58">
        <f>SUM(AT65:AT66)</f>
        <v>1376.356</v>
      </c>
      <c r="AU67" s="58"/>
      <c r="AV67" s="58">
        <f>SUM(AV65:AV66)</f>
        <v>1164.1400000000001</v>
      </c>
      <c r="AW67" s="58"/>
      <c r="AX67" s="58">
        <f>SUM(AX65:AX66)</f>
        <v>694.24900000000002</v>
      </c>
      <c r="AY67" s="174">
        <f>AX67/AV67-1</f>
        <v>-0.40363787860566602</v>
      </c>
      <c r="AZ67" s="58"/>
      <c r="BA67" s="58"/>
      <c r="BB67" s="58">
        <f>SUM(BB65:BB66)</f>
        <v>0</v>
      </c>
      <c r="BC67" s="58"/>
      <c r="BD67" s="58">
        <f>SUM(BD65:BD66)</f>
        <v>933.03021999999987</v>
      </c>
      <c r="BE67" s="58"/>
      <c r="BF67" s="58">
        <f>SUM(BF65:BF66)</f>
        <v>703.7465500000003</v>
      </c>
      <c r="BG67" s="58"/>
      <c r="BH67" s="58">
        <f>SUM(BH65:BH66)</f>
        <v>5422.9229399999995</v>
      </c>
    </row>
    <row r="68" spans="3:60" ht="13.5" thickTop="1" x14ac:dyDescent="0.3">
      <c r="C68" s="45"/>
      <c r="D68" s="112"/>
      <c r="E68" s="45"/>
      <c r="F68" s="45"/>
      <c r="G68" s="45"/>
      <c r="H68" s="45"/>
      <c r="I68" s="45"/>
      <c r="J68" s="45"/>
      <c r="K68" s="45"/>
      <c r="L68" s="45"/>
      <c r="M68" s="172"/>
      <c r="O68" s="45"/>
      <c r="P68" s="45"/>
      <c r="Q68" s="45"/>
      <c r="R68" s="45"/>
      <c r="S68" s="45"/>
      <c r="T68" s="45"/>
      <c r="U68" s="45"/>
      <c r="V68" s="45"/>
      <c r="W68" s="172"/>
      <c r="Y68" s="45"/>
      <c r="Z68" s="45"/>
      <c r="AA68" s="45"/>
      <c r="AB68" s="45"/>
      <c r="AC68" s="45"/>
      <c r="AD68" s="45"/>
      <c r="AE68" s="45"/>
      <c r="AF68" s="45"/>
      <c r="AH68" s="45"/>
      <c r="AI68" s="45"/>
      <c r="AJ68" s="45"/>
      <c r="AK68" s="45"/>
      <c r="AL68" s="45"/>
      <c r="AM68" s="45"/>
      <c r="AN68" s="45"/>
      <c r="AO68" s="45"/>
      <c r="AQ68" s="45"/>
      <c r="AR68" s="45"/>
      <c r="AS68" s="45"/>
      <c r="AT68" s="45"/>
      <c r="AU68" s="45"/>
      <c r="AV68" s="45"/>
      <c r="AW68" s="45"/>
      <c r="AX68" s="45"/>
      <c r="AY68" s="172"/>
      <c r="BA68" s="45"/>
      <c r="BB68" s="45"/>
      <c r="BC68" s="45"/>
      <c r="BD68" s="45"/>
      <c r="BE68" s="45"/>
      <c r="BF68" s="45"/>
      <c r="BG68" s="45"/>
      <c r="BH68" s="45"/>
    </row>
    <row r="69" spans="3:60" ht="13.5" thickBot="1" x14ac:dyDescent="0.35">
      <c r="C69" s="50" t="s">
        <v>100</v>
      </c>
      <c r="D69" s="114"/>
      <c r="E69" s="58"/>
      <c r="F69" s="58">
        <f>F35+F62+F67</f>
        <v>566178.24260599993</v>
      </c>
      <c r="G69" s="58"/>
      <c r="H69" s="58">
        <f>H35+H62+H67</f>
        <v>787175.53324000002</v>
      </c>
      <c r="I69" s="58"/>
      <c r="J69" s="58">
        <f>J35+J62+J67</f>
        <v>1091743.1701229999</v>
      </c>
      <c r="K69" s="58"/>
      <c r="L69" s="58">
        <f>L35+L62+L67</f>
        <v>1004674.6599000001</v>
      </c>
      <c r="M69" s="174">
        <f>L69/J69-1</f>
        <v>-7.9751824976555974E-2</v>
      </c>
      <c r="O69" s="58"/>
      <c r="P69" s="58">
        <f>P35+P62+P67</f>
        <v>489118.19572999998</v>
      </c>
      <c r="Q69" s="58"/>
      <c r="R69" s="58">
        <f>R35+R62+R67</f>
        <v>675988.13939999999</v>
      </c>
      <c r="S69" s="58"/>
      <c r="T69" s="58">
        <f>T35+T62+T67</f>
        <v>933566.79249999998</v>
      </c>
      <c r="U69" s="58"/>
      <c r="V69" s="58">
        <f>V35+V62+V67</f>
        <v>742352.66804999998</v>
      </c>
      <c r="W69" s="174">
        <f>V69/T69-1</f>
        <v>-0.20482104332133255</v>
      </c>
      <c r="X69" s="58"/>
      <c r="Y69" s="58"/>
      <c r="Z69" s="58">
        <f>Z35+Z62+Z67</f>
        <v>60805.182999999954</v>
      </c>
      <c r="AA69" s="58"/>
      <c r="AB69" s="58">
        <f>AB35+AB62+AB67</f>
        <v>89019.219999999972</v>
      </c>
      <c r="AC69" s="58"/>
      <c r="AD69" s="58">
        <f>AD35+AD62+AD67</f>
        <v>143456.10900000005</v>
      </c>
      <c r="AE69" s="58"/>
      <c r="AF69" s="58">
        <f>AF35+AF62+AF67</f>
        <v>226463.57200000019</v>
      </c>
      <c r="AG69" s="49"/>
      <c r="AH69" s="58"/>
      <c r="AI69" s="58">
        <f>AI35+AI62+AI67</f>
        <v>16381.863876000003</v>
      </c>
      <c r="AJ69" s="58"/>
      <c r="AK69" s="58">
        <f>AK35+AK62+AK67</f>
        <v>16998.143620000003</v>
      </c>
      <c r="AL69" s="58"/>
      <c r="AM69" s="58">
        <f>AM35+AM62+AM67</f>
        <v>12287.522072999991</v>
      </c>
      <c r="AN69" s="58"/>
      <c r="AO69" s="58">
        <f>AO35+AO62+AO67</f>
        <v>35366.496909999987</v>
      </c>
      <c r="AP69" s="49"/>
      <c r="AQ69" s="58"/>
      <c r="AR69" s="58">
        <f>AR35+AR62+AR67</f>
        <v>77187.046875999964</v>
      </c>
      <c r="AS69" s="58"/>
      <c r="AT69" s="58">
        <f>AT35+AT62+AT67</f>
        <v>106017.36361999996</v>
      </c>
      <c r="AU69" s="58"/>
      <c r="AV69" s="58">
        <f>AV35+AV62+AV67</f>
        <v>155743.63107300003</v>
      </c>
      <c r="AW69" s="58"/>
      <c r="AX69" s="58">
        <f>AX35+AX62+AX67</f>
        <v>261830.06891000015</v>
      </c>
      <c r="AY69" s="174">
        <f>AX69/AV69-1</f>
        <v>0.68116068121768247</v>
      </c>
      <c r="AZ69" s="58"/>
      <c r="BA69" s="58"/>
      <c r="BB69" s="58">
        <f>BB35+BB62+BB67</f>
        <v>-127.44330380000001</v>
      </c>
      <c r="BC69" s="58"/>
      <c r="BD69" s="58">
        <f>BD35+BD62+BD67</f>
        <v>5170.6363174490243</v>
      </c>
      <c r="BE69" s="58"/>
      <c r="BF69" s="58">
        <f>BF35+BF62+BF67</f>
        <v>2432.7473607220322</v>
      </c>
      <c r="BG69" s="58"/>
      <c r="BH69" s="58">
        <f>BH35+BH62+BH67</f>
        <v>491.61378270502519</v>
      </c>
    </row>
    <row r="70" spans="3:60" ht="13.5" thickTop="1" x14ac:dyDescent="0.3">
      <c r="C70" s="36" t="s">
        <v>212</v>
      </c>
      <c r="D70" s="112"/>
      <c r="E70" s="45"/>
      <c r="F70" s="38"/>
      <c r="G70" s="38"/>
      <c r="H70" s="38"/>
      <c r="I70" s="38"/>
      <c r="J70" s="38">
        <f>VLOOKUP($C70,Segment!$W$383:$AB$454,6,0)/1000</f>
        <v>0</v>
      </c>
      <c r="K70" s="38"/>
      <c r="L70" s="38">
        <f>VLOOKUP($C70,Segment!$W$460:$AB$531,6,0)/1000</f>
        <v>0</v>
      </c>
      <c r="M70" s="172"/>
      <c r="O70" s="45"/>
      <c r="P70" s="38"/>
      <c r="Q70" s="38"/>
      <c r="R70" s="38"/>
      <c r="S70" s="38"/>
      <c r="T70" s="38">
        <f>VLOOKUP($C70,Segment!$W$383:$AB$454,2,0)/1000</f>
        <v>0</v>
      </c>
      <c r="U70" s="38"/>
      <c r="V70" s="38">
        <f>VLOOKUP($C70,Segment!$W$460:$AB$531,2,0)/1000</f>
        <v>0</v>
      </c>
      <c r="W70" s="172"/>
      <c r="Y70" s="45"/>
      <c r="Z70" s="38"/>
      <c r="AA70" s="38"/>
      <c r="AB70" s="38"/>
      <c r="AC70" s="38"/>
      <c r="AD70" s="38">
        <f>VLOOKUP($C70,Segment!$W$383:$AB$454,3,0)/1000</f>
        <v>0</v>
      </c>
      <c r="AE70" s="38"/>
      <c r="AF70" s="38">
        <f>VLOOKUP($C70,Segment!$W$460:$AB$531,3,0)/1000</f>
        <v>0</v>
      </c>
      <c r="AH70" s="45"/>
      <c r="AI70" s="45"/>
      <c r="AJ70" s="45"/>
      <c r="AK70" s="45"/>
      <c r="AL70" s="45"/>
      <c r="AM70" s="38">
        <f>VLOOKUP($C70,Segment!$W$383:$AB$454,4,0)/1000</f>
        <v>0</v>
      </c>
      <c r="AN70" s="38"/>
      <c r="AO70" s="38">
        <f>VLOOKUP($C70,Segment!$W$460:$AB$531,4,0)/1000</f>
        <v>0</v>
      </c>
      <c r="AQ70" s="45"/>
      <c r="AR70" s="38">
        <f>Z70+AI70</f>
        <v>0</v>
      </c>
      <c r="AS70" s="38"/>
      <c r="AT70" s="38">
        <f>AB70+AK70</f>
        <v>0</v>
      </c>
      <c r="AU70" s="45"/>
      <c r="AV70" s="38">
        <f>AD70+AM70</f>
        <v>0</v>
      </c>
      <c r="AW70" s="38"/>
      <c r="AX70" s="38">
        <f>AF70+AO70</f>
        <v>0</v>
      </c>
      <c r="AY70" s="172"/>
      <c r="BA70" s="45"/>
      <c r="BB70" s="45"/>
      <c r="BC70" s="45"/>
      <c r="BD70" s="45"/>
      <c r="BE70" s="45"/>
      <c r="BF70" s="38">
        <f>VLOOKUP($C70,Segment!$W$383:$AB$454,5,0)/1000</f>
        <v>0</v>
      </c>
      <c r="BG70" s="38"/>
      <c r="BH70" s="38">
        <f>VLOOKUP($C70,Segment!$W$460:$AB$531,5,0)/1000</f>
        <v>0</v>
      </c>
    </row>
    <row r="71" spans="3:60" x14ac:dyDescent="0.3">
      <c r="C71" s="36" t="s">
        <v>38</v>
      </c>
      <c r="D71" s="110">
        <v>20</v>
      </c>
      <c r="E71" s="38"/>
      <c r="F71" s="38">
        <f>VLOOKUP($C71,Segment!$W$229:$AB$300,6,0)/1000</f>
        <v>-29398.052350000002</v>
      </c>
      <c r="G71" s="38"/>
      <c r="H71" s="38">
        <f>VLOOKUP($C71,Segment!$W$306:$AB$377,6,0)/1000</f>
        <v>-45211.643420000008</v>
      </c>
      <c r="I71" s="38"/>
      <c r="J71" s="38">
        <f>VLOOKUP($C71,Segment!$W$383:$AB$454,6,0)/1000</f>
        <v>-56650.846020000005</v>
      </c>
      <c r="K71" s="38"/>
      <c r="L71" s="38">
        <f>VLOOKUP($C71,Segment!$W$460:$AB$531,6,0)/1000</f>
        <v>-63403.084260000025</v>
      </c>
      <c r="M71" s="132">
        <f>L71/J71-1</f>
        <v>0.11919042193326135</v>
      </c>
      <c r="O71" s="38"/>
      <c r="P71" s="38">
        <f>VLOOKUP($C71,Segment!$W$229:$AB$300,2,0)/1000</f>
        <v>-24172.551200000002</v>
      </c>
      <c r="Q71" s="38"/>
      <c r="R71" s="38">
        <f>VLOOKUP($C71,Segment!$W$306:$AB$377,2,0)/1000</f>
        <v>-38113.585900000005</v>
      </c>
      <c r="S71" s="38"/>
      <c r="T71" s="38">
        <f>VLOOKUP($C71,Segment!$W$383:$AB$454,2,0)/1000</f>
        <v>-49556.403250000003</v>
      </c>
      <c r="U71" s="38"/>
      <c r="V71" s="38">
        <f>VLOOKUP($C71,Segment!$W$460:$AB$531,2,0)/1000</f>
        <v>-54040.581090000029</v>
      </c>
      <c r="W71" s="132">
        <f>V71/T71-1</f>
        <v>9.0486345778131527E-2</v>
      </c>
      <c r="Y71" s="38"/>
      <c r="Z71" s="38">
        <f>VLOOKUP($C71,Segment!$W$229:$AB$300,3,0)/1000</f>
        <v>-4808.8519999999999</v>
      </c>
      <c r="AA71" s="38"/>
      <c r="AB71" s="38">
        <f>VLOOKUP($C71,Segment!$W$306:$AB$377,3,0)/1000</f>
        <v>-5876.6660000000002</v>
      </c>
      <c r="AC71" s="38"/>
      <c r="AD71" s="38">
        <f>VLOOKUP($C71,Segment!$W$383:$AB$454,3,0)/1000</f>
        <v>-5786.6670000000004</v>
      </c>
      <c r="AE71" s="38"/>
      <c r="AF71" s="38">
        <f>VLOOKUP($C71,Segment!$W$460:$AB$531,3,0)/1000</f>
        <v>-7115.6030000000001</v>
      </c>
      <c r="AH71" s="38"/>
      <c r="AI71" s="38">
        <f>VLOOKUP($C71,Segment!$W$229:$AB$300,4,0)/1000</f>
        <v>-416.64915000000002</v>
      </c>
      <c r="AJ71" s="38"/>
      <c r="AK71" s="38">
        <f>VLOOKUP($C71,Segment!$W$306:$AB$377,4,0)/1000</f>
        <v>-945.94556</v>
      </c>
      <c r="AL71" s="38"/>
      <c r="AM71" s="38">
        <f>VLOOKUP($C71,Segment!$W$383:$AB$454,4,0)/1000</f>
        <v>-908.82582000000002</v>
      </c>
      <c r="AN71" s="38"/>
      <c r="AO71" s="38">
        <f>VLOOKUP($C71,Segment!$W$460:$AB$531,4,0)/1000</f>
        <v>-1038.3536000000001</v>
      </c>
      <c r="AQ71" s="38"/>
      <c r="AR71" s="38">
        <f>Z71+AI71</f>
        <v>-5225.5011500000001</v>
      </c>
      <c r="AS71" s="38"/>
      <c r="AT71" s="38">
        <f>AB71+AK71</f>
        <v>-6822.6115600000003</v>
      </c>
      <c r="AU71" s="38"/>
      <c r="AV71" s="38">
        <f>AD71+AM71</f>
        <v>-6695.4928200000004</v>
      </c>
      <c r="AW71" s="38"/>
      <c r="AX71" s="38">
        <f>AF71+AO71</f>
        <v>-8153.9566000000004</v>
      </c>
      <c r="AY71" s="132">
        <f>AX71/AV71-1</f>
        <v>0.21782769681171876</v>
      </c>
      <c r="BA71" s="38"/>
      <c r="BB71" s="38">
        <f>VLOOKUP($C71,Segment!$W$229:$AB$300,5,0)/1000</f>
        <v>0</v>
      </c>
      <c r="BC71" s="38"/>
      <c r="BD71" s="38">
        <f>VLOOKUP($C71,Segment!$W$306:$AB$377,5,0)/1000</f>
        <v>-275.44596000000001</v>
      </c>
      <c r="BE71" s="38"/>
      <c r="BF71" s="38">
        <f>VLOOKUP($C71,Segment!$W$383:$AB$454,5,0)/1000</f>
        <v>-398.94995</v>
      </c>
      <c r="BG71" s="38"/>
      <c r="BH71" s="38">
        <f>VLOOKUP($C71,Segment!$W$460:$AB$531,5,0)/1000</f>
        <v>-1208.54657</v>
      </c>
    </row>
    <row r="72" spans="3:60" x14ac:dyDescent="0.3">
      <c r="C72" s="36" t="s">
        <v>78</v>
      </c>
      <c r="E72" s="38"/>
      <c r="F72" s="38">
        <f>VLOOKUP($C72,Segment!$W$229:$AB$300,6,0)/1000</f>
        <v>-175854.10257400002</v>
      </c>
      <c r="G72" s="38"/>
      <c r="H72" s="38">
        <f>VLOOKUP($C72,Segment!$W$306:$AB$377,6,0)/1000</f>
        <v>-240605.46781999999</v>
      </c>
      <c r="I72" s="38"/>
      <c r="J72" s="38">
        <f>VLOOKUP($C72,Segment!$W$383:$AB$454,6,0)/1000</f>
        <v>-299061.22108000005</v>
      </c>
      <c r="K72" s="38"/>
      <c r="L72" s="38">
        <f>VLOOKUP($C72,Segment!$W$460:$AB$531,6,0)/1000</f>
        <v>-408882.25604000012</v>
      </c>
      <c r="M72" s="132">
        <f>L72/J72-1</f>
        <v>0.36721924214514767</v>
      </c>
      <c r="O72" s="38"/>
      <c r="P72" s="38">
        <f>VLOOKUP($C72,Segment!$W$229:$AB$300,2,0)/1000</f>
        <v>-146593.18748000002</v>
      </c>
      <c r="Q72" s="38"/>
      <c r="R72" s="38">
        <f>VLOOKUP($C72,Segment!$W$306:$AB$377,2,0)/1000</f>
        <v>-196191.28165000002</v>
      </c>
      <c r="S72" s="38"/>
      <c r="T72" s="38">
        <f>VLOOKUP($C72,Segment!$W$383:$AB$454,2,0)/1000</f>
        <v>-240795.77266000002</v>
      </c>
      <c r="U72" s="38"/>
      <c r="V72" s="38">
        <f>VLOOKUP($C72,Segment!$W$460:$AB$531,2,0)/1000</f>
        <v>-331876.11630000011</v>
      </c>
      <c r="W72" s="132">
        <f>V72/T72-1</f>
        <v>0.37824727001584102</v>
      </c>
      <c r="X72" s="197"/>
      <c r="Y72" s="38"/>
      <c r="Z72" s="38">
        <f>VLOOKUP($C72,Segment!$W$229:$AB$300,3,0)/1000</f>
        <v>-24928.870999999999</v>
      </c>
      <c r="AA72" s="38"/>
      <c r="AB72" s="38">
        <f>VLOOKUP($C72,Segment!$W$306:$AB$377,3,0)/1000</f>
        <v>-31806.331999999999</v>
      </c>
      <c r="AC72" s="38"/>
      <c r="AD72" s="38">
        <f>VLOOKUP($C72,Segment!$W$383:$AB$454,3,0)/1000</f>
        <v>-39196.983</v>
      </c>
      <c r="AE72" s="38"/>
      <c r="AF72" s="38">
        <f>VLOOKUP($C72,Segment!$W$460:$AB$531,3,0)/1000</f>
        <v>-51676.139000000003</v>
      </c>
      <c r="AH72" s="38"/>
      <c r="AI72" s="38">
        <f>VLOOKUP($C72,Segment!$W$229:$AB$300,4,0)/1000</f>
        <v>-4332.0440939999999</v>
      </c>
      <c r="AJ72" s="38"/>
      <c r="AK72" s="38">
        <f>VLOOKUP($C72,Segment!$W$306:$AB$377,4,0)/1000</f>
        <v>-5965.6224199999997</v>
      </c>
      <c r="AL72" s="38"/>
      <c r="AM72" s="38">
        <f>VLOOKUP($C72,Segment!$W$383:$AB$454,4,0)/1000</f>
        <v>-9288.9640400000008</v>
      </c>
      <c r="AN72" s="38"/>
      <c r="AO72" s="38">
        <f>VLOOKUP($C72,Segment!$W$460:$AB$531,4,0)/1000</f>
        <v>-13253.38227</v>
      </c>
      <c r="AQ72" s="38"/>
      <c r="AR72" s="38">
        <f>Z72+AI72</f>
        <v>-29260.915094</v>
      </c>
      <c r="AS72" s="38"/>
      <c r="AT72" s="38">
        <f>AB72+AK72</f>
        <v>-37771.954419999995</v>
      </c>
      <c r="AU72" s="38"/>
      <c r="AV72" s="38">
        <f>AD72+AM72</f>
        <v>-48485.947039999999</v>
      </c>
      <c r="AW72" s="38"/>
      <c r="AX72" s="38">
        <f>AF72+AO72</f>
        <v>-64929.521270000005</v>
      </c>
      <c r="AY72" s="132">
        <f>AX72/AV72-1</f>
        <v>0.33914103433793641</v>
      </c>
      <c r="BA72" s="38"/>
      <c r="BB72" s="38">
        <f>VLOOKUP($C72,Segment!$W$229:$AB$300,5,0)/1000</f>
        <v>0</v>
      </c>
      <c r="BC72" s="38"/>
      <c r="BD72" s="38">
        <f>VLOOKUP($C72,Segment!$W$306:$AB$377,5,0)/1000</f>
        <v>-6642.2317500000008</v>
      </c>
      <c r="BE72" s="38"/>
      <c r="BF72" s="38">
        <f>VLOOKUP($C72,Segment!$W$383:$AB$454,5,0)/1000</f>
        <v>-9779.5013800000015</v>
      </c>
      <c r="BG72" s="38"/>
      <c r="BH72" s="38">
        <f>VLOOKUP($C72,Segment!$W$460:$AB$531,5,0)/1000</f>
        <v>-12076.618470000003</v>
      </c>
    </row>
    <row r="73" spans="3:60" x14ac:dyDescent="0.3">
      <c r="C73" s="36" t="s">
        <v>39</v>
      </c>
      <c r="D73" s="110">
        <v>21</v>
      </c>
      <c r="E73" s="38"/>
      <c r="F73" s="38">
        <f>VLOOKUP($C73,Segment!$W$229:$AB$300,6,0)/1000</f>
        <v>-40346.634587000022</v>
      </c>
      <c r="G73" s="38"/>
      <c r="H73" s="38">
        <f>VLOOKUP($C73,Segment!$W$306:$AB$377,6,0)/1000</f>
        <v>-54999.576960000006</v>
      </c>
      <c r="I73" s="38"/>
      <c r="J73" s="38">
        <f>VLOOKUP($C73,Segment!$W$383:$AB$454,6,0)/1000</f>
        <v>-81892.93354100002</v>
      </c>
      <c r="K73" s="38"/>
      <c r="L73" s="38">
        <f>VLOOKUP($C73,Segment!$W$460:$AB$531,6,0)/1000</f>
        <v>-102698.25187000004</v>
      </c>
      <c r="M73" s="132">
        <f>L73/J73-1</f>
        <v>0.25405511109922263</v>
      </c>
      <c r="O73" s="38"/>
      <c r="P73" s="38">
        <f>VLOOKUP($C73,Segment!$W$229:$AB$300,2,0)/1000</f>
        <v>-35037.843850000019</v>
      </c>
      <c r="Q73" s="38"/>
      <c r="R73" s="38">
        <f>VLOOKUP($C73,Segment!$W$306:$AB$377,2,0)/1000</f>
        <v>-43642.752090000002</v>
      </c>
      <c r="S73" s="38"/>
      <c r="T73" s="38">
        <f>VLOOKUP($C73,Segment!$W$383:$AB$454,2,0)/1000</f>
        <v>-62770.686870000027</v>
      </c>
      <c r="U73" s="38"/>
      <c r="V73" s="38">
        <f>VLOOKUP($C73,Segment!$W$460:$AB$531,2,0)/1000</f>
        <v>-76467.025600000023</v>
      </c>
      <c r="W73" s="132">
        <f>V73/T73-1</f>
        <v>0.2181964132137908</v>
      </c>
      <c r="Y73" s="38"/>
      <c r="Z73" s="38">
        <f>VLOOKUP($C73,Segment!$W$229:$AB$300,3,0)/1000</f>
        <v>-4115.2209999999995</v>
      </c>
      <c r="AA73" s="38"/>
      <c r="AB73" s="38">
        <f>VLOOKUP($C73,Segment!$W$306:$AB$377,3,0)/1000</f>
        <v>-7020.5829999999996</v>
      </c>
      <c r="AC73" s="38"/>
      <c r="AD73" s="38">
        <f>VLOOKUP($C73,Segment!$W$383:$AB$454,3,0)/1000</f>
        <v>-11725.468000000001</v>
      </c>
      <c r="AE73" s="38"/>
      <c r="AF73" s="38">
        <f>VLOOKUP($C73,Segment!$W$460:$AB$531,3,0)/1000</f>
        <v>-19309.421999999999</v>
      </c>
      <c r="AH73" s="38"/>
      <c r="AI73" s="38">
        <f>VLOOKUP($C73,Segment!$W$229:$AB$300,4,0)/1000</f>
        <v>-1193.569737</v>
      </c>
      <c r="AJ73" s="38"/>
      <c r="AK73" s="38">
        <f>VLOOKUP($C73,Segment!$W$306:$AB$377,4,0)/1000</f>
        <v>-1717.4220999999998</v>
      </c>
      <c r="AL73" s="38"/>
      <c r="AM73" s="38">
        <f>VLOOKUP($C73,Segment!$W$383:$AB$454,4,0)/1000</f>
        <v>-3020.5988210000005</v>
      </c>
      <c r="AN73" s="38"/>
      <c r="AO73" s="38">
        <f>VLOOKUP($C73,Segment!$W$460:$AB$531,4,0)/1000</f>
        <v>-3151.0088400000009</v>
      </c>
      <c r="AQ73" s="38"/>
      <c r="AR73" s="38">
        <f>Z73+AI73</f>
        <v>-5308.7907369999994</v>
      </c>
      <c r="AS73" s="38"/>
      <c r="AT73" s="38">
        <f>AB73+AK73</f>
        <v>-8738.0050999999985</v>
      </c>
      <c r="AU73" s="38"/>
      <c r="AV73" s="38">
        <f>AD73+AM73</f>
        <v>-14746.066821</v>
      </c>
      <c r="AW73" s="38"/>
      <c r="AX73" s="38">
        <f>AF73+AO73</f>
        <v>-22460.430840000001</v>
      </c>
      <c r="AY73" s="132">
        <f>AX73/AV73-1</f>
        <v>0.52314723055600898</v>
      </c>
      <c r="BA73" s="38"/>
      <c r="BB73" s="38">
        <f>VLOOKUP($C73,Segment!$W$229:$AB$300,5,0)/1000</f>
        <v>0</v>
      </c>
      <c r="BC73" s="38"/>
      <c r="BD73" s="38">
        <f>VLOOKUP($C73,Segment!$W$306:$AB$377,5,0)/1000</f>
        <v>-2618.8197700000001</v>
      </c>
      <c r="BE73" s="38"/>
      <c r="BF73" s="38">
        <f>VLOOKUP($C73,Segment!$W$383:$AB$454,5,0)/1000</f>
        <v>-4376.1798500000004</v>
      </c>
      <c r="BG73" s="38"/>
      <c r="BH73" s="38">
        <f>VLOOKUP($C73,Segment!$W$460:$AB$531,5,0)/1000</f>
        <v>-3770.7954300000001</v>
      </c>
    </row>
    <row r="74" spans="3:60" x14ac:dyDescent="0.3">
      <c r="C74" s="39" t="s">
        <v>93</v>
      </c>
      <c r="D74" s="109"/>
      <c r="E74" s="40"/>
      <c r="F74" s="40">
        <f>-SUM(F72:F73)/F69</f>
        <v>0.38185984711435272</v>
      </c>
      <c r="G74" s="40"/>
      <c r="H74" s="40">
        <f>-SUM(H72:H73)/H69</f>
        <v>0.37552621022568505</v>
      </c>
      <c r="I74" s="40"/>
      <c r="J74" s="40">
        <f>-SUM(J72:J73)/J69</f>
        <v>0.348941184196353</v>
      </c>
      <c r="K74" s="40"/>
      <c r="L74" s="40">
        <f>-SUM(L72:L73)/L69</f>
        <v>0.50920017029285891</v>
      </c>
      <c r="M74" s="169"/>
      <c r="O74" s="40"/>
      <c r="P74" s="40">
        <f>-SUM(P72:P73)/P69</f>
        <v>0.37134384473045218</v>
      </c>
      <c r="Q74" s="40"/>
      <c r="R74" s="40">
        <f>-SUM(R72:R73)/R69</f>
        <v>0.35479029847013915</v>
      </c>
      <c r="S74" s="40"/>
      <c r="T74" s="40">
        <f>-SUM(T72:T73)/T69</f>
        <v>0.32516844211765389</v>
      </c>
      <c r="U74" s="40"/>
      <c r="V74" s="40">
        <f>-SUM(V72:V73)/V69</f>
        <v>0.55006624138986304</v>
      </c>
      <c r="W74" s="169"/>
      <c r="Y74" s="40"/>
      <c r="Z74" s="40">
        <f>-SUM(Z72:Z73)/Z69</f>
        <v>0.47765816279181361</v>
      </c>
      <c r="AA74" s="40"/>
      <c r="AB74" s="40">
        <f>-SUM(AB72:AB73)/AB69</f>
        <v>0.43616328024442375</v>
      </c>
      <c r="AC74" s="40"/>
      <c r="AD74" s="40">
        <f>-SUM(AD72:AD73)/AD69</f>
        <v>0.35496885671142792</v>
      </c>
      <c r="AE74" s="40"/>
      <c r="AF74" s="40">
        <f>-SUM(AF72:AF73)/AF69</f>
        <v>0.31345244788420074</v>
      </c>
      <c r="AH74" s="40"/>
      <c r="AI74" s="40">
        <f>-SUM(AI72:AI73)/AI69</f>
        <v>0.33730068036368038</v>
      </c>
      <c r="AJ74" s="40"/>
      <c r="AK74" s="40">
        <f>-SUM(AK72:AK73)/AK69</f>
        <v>0.45199315241460458</v>
      </c>
      <c r="AL74" s="40"/>
      <c r="AM74" s="40">
        <f>-SUM(AM72:AM73)/AM69</f>
        <v>1.0017937536851667</v>
      </c>
      <c r="AN74" s="40"/>
      <c r="AO74" s="40">
        <f>-SUM(AO72:AO73)/AO69</f>
        <v>0.46383986380515985</v>
      </c>
      <c r="AQ74" s="40"/>
      <c r="AR74" s="40">
        <f>-SUM(AR72:AR73)/AR69</f>
        <v>0.44786926343400341</v>
      </c>
      <c r="AS74" s="40"/>
      <c r="AT74" s="40">
        <f>-SUM(AT72:AT73)/AT69</f>
        <v>0.43870134034559205</v>
      </c>
      <c r="AU74" s="40"/>
      <c r="AV74" s="40">
        <f>-SUM(AV72:AV73)/AV69</f>
        <v>0.40600063980376794</v>
      </c>
      <c r="AW74" s="40"/>
      <c r="AX74" s="40">
        <f>-SUM(AX72:AX73)/AX69</f>
        <v>0.33376591341783168</v>
      </c>
      <c r="AY74" s="169"/>
      <c r="BA74" s="40"/>
      <c r="BB74" s="40"/>
      <c r="BC74" s="40"/>
      <c r="BD74" s="40"/>
      <c r="BE74" s="40"/>
      <c r="BF74" s="40"/>
      <c r="BG74" s="40"/>
      <c r="BH74" s="40"/>
    </row>
    <row r="75" spans="3:60" x14ac:dyDescent="0.3">
      <c r="C75" s="36" t="s">
        <v>40</v>
      </c>
      <c r="E75" s="38"/>
      <c r="F75" s="38">
        <f>VLOOKUP($C75,Segment!$W$229:$AB$300,6,0)/1000</f>
        <v>-9311.1596200000004</v>
      </c>
      <c r="G75" s="38"/>
      <c r="H75" s="38">
        <f>VLOOKUP($C75,Segment!$W$306:$AB$377,6,0)/1000</f>
        <v>-19539.473530000003</v>
      </c>
      <c r="I75" s="38"/>
      <c r="J75" s="38">
        <f>VLOOKUP($C75,Segment!$W$383:$AB$454,6,0)/1000</f>
        <v>-36791.085100000004</v>
      </c>
      <c r="K75" s="38"/>
      <c r="L75" s="38">
        <f>VLOOKUP($C75,Segment!$W$460:$AB$531,6,0)/1000</f>
        <v>-34232.978189999994</v>
      </c>
      <c r="M75" s="132">
        <f>L75/J75-1</f>
        <v>-6.9530618709585434E-2</v>
      </c>
      <c r="O75" s="38"/>
      <c r="P75" s="38">
        <f>VLOOKUP($C75,Segment!$W$229:$AB$300,2,0)/1000</f>
        <v>-8745.7736200000018</v>
      </c>
      <c r="Q75" s="38"/>
      <c r="R75" s="38">
        <f>VLOOKUP($C75,Segment!$W$306:$AB$377,2,0)/1000</f>
        <v>-10881.000629999999</v>
      </c>
      <c r="S75" s="38"/>
      <c r="T75" s="38">
        <f>VLOOKUP($C75,Segment!$W$383:$AB$454,2,0)/1000</f>
        <v>-25309.334290000003</v>
      </c>
      <c r="U75" s="38"/>
      <c r="V75" s="38">
        <f>VLOOKUP($C75,Segment!$W$460:$AB$531,2,0)/1000</f>
        <v>-22768.297200000001</v>
      </c>
      <c r="W75" s="132">
        <f t="shared" ref="W75:W83" si="5">V75/T75-1</f>
        <v>-0.10039920690462389</v>
      </c>
      <c r="Y75" s="38"/>
      <c r="Z75" s="38">
        <f>VLOOKUP($C75,Segment!$W$229:$AB$300,3,0)/1000</f>
        <v>-404.26600000000002</v>
      </c>
      <c r="AA75" s="38"/>
      <c r="AB75" s="38">
        <f>VLOOKUP($C75,Segment!$W$306:$AB$377,3,0)/1000</f>
        <v>-5174.8339999999998</v>
      </c>
      <c r="AC75" s="38"/>
      <c r="AD75" s="38">
        <f>VLOOKUP($C75,Segment!$W$383:$AB$454,3,0)/1000</f>
        <v>-7197.8459999999995</v>
      </c>
      <c r="AE75" s="38"/>
      <c r="AF75" s="38">
        <f>VLOOKUP($C75,Segment!$W$460:$AB$531,3,0)/1000</f>
        <v>-10700.96</v>
      </c>
      <c r="AH75" s="38"/>
      <c r="AI75" s="38">
        <f>VLOOKUP($C75,Segment!$W$229:$AB$300,4,0)/1000</f>
        <v>-161.12</v>
      </c>
      <c r="AJ75" s="38"/>
      <c r="AK75" s="38">
        <f>VLOOKUP($C75,Segment!$W$306:$AB$377,4,0)/1000</f>
        <v>-53.6</v>
      </c>
      <c r="AL75" s="38"/>
      <c r="AM75" s="38">
        <f>VLOOKUP($C75,Segment!$W$383:$AB$454,4,0)/1000</f>
        <v>-1014.171</v>
      </c>
      <c r="AN75" s="38"/>
      <c r="AO75" s="38">
        <f>VLOOKUP($C75,Segment!$W$460:$AB$531,4,0)/1000</f>
        <v>-69.508600000000001</v>
      </c>
      <c r="AQ75" s="38"/>
      <c r="AR75" s="38">
        <f t="shared" ref="AR75:AR80" si="6">Z75+AI75</f>
        <v>-565.38599999999997</v>
      </c>
      <c r="AS75" s="38"/>
      <c r="AT75" s="38">
        <f t="shared" ref="AT75:AT80" si="7">AB75+AK75</f>
        <v>-5228.4340000000002</v>
      </c>
      <c r="AU75" s="38"/>
      <c r="AV75" s="38">
        <f t="shared" ref="AV75:AV80" si="8">AD75+AM75</f>
        <v>-8212.0169999999998</v>
      </c>
      <c r="AW75" s="38"/>
      <c r="AX75" s="38">
        <f t="shared" ref="AX75:AX80" si="9">AF75+AO75</f>
        <v>-10770.468599999998</v>
      </c>
      <c r="AY75" s="132">
        <f t="shared" ref="AY75:AY83" si="10">AX75/AV75-1</f>
        <v>0.31154972036711559</v>
      </c>
      <c r="BA75" s="38"/>
      <c r="BB75" s="38">
        <f>VLOOKUP($C75,Segment!$W$229:$AB$300,5,0)/1000</f>
        <v>0</v>
      </c>
      <c r="BC75" s="38"/>
      <c r="BD75" s="38">
        <f>VLOOKUP($C75,Segment!$W$306:$AB$377,5,0)/1000</f>
        <v>-3430.0389000000005</v>
      </c>
      <c r="BE75" s="38"/>
      <c r="BF75" s="38">
        <f>VLOOKUP($C75,Segment!$W$383:$AB$454,5,0)/1000</f>
        <v>-3269.7338100000002</v>
      </c>
      <c r="BG75" s="38"/>
      <c r="BH75" s="38">
        <f>VLOOKUP($C75,Segment!$W$460:$AB$531,5,0)/1000</f>
        <v>-694.21239000000003</v>
      </c>
    </row>
    <row r="76" spans="3:60" x14ac:dyDescent="0.3">
      <c r="C76" s="36" t="s">
        <v>41</v>
      </c>
      <c r="E76" s="38"/>
      <c r="F76" s="38">
        <f>VLOOKUP($C76,Segment!$W$229:$AB$300,6,0)/1000</f>
        <v>4924.8639999999996</v>
      </c>
      <c r="G76" s="38"/>
      <c r="H76" s="38">
        <f>VLOOKUP($C76,Segment!$W$306:$AB$377,6,0)/1000</f>
        <v>0</v>
      </c>
      <c r="I76" s="38"/>
      <c r="J76" s="38">
        <f>VLOOKUP($C76,Segment!$W$383:$AB$454,6,0)/1000</f>
        <v>0</v>
      </c>
      <c r="K76" s="38"/>
      <c r="L76" s="38">
        <f>VLOOKUP($C76,Segment!$W$460:$AB$531,6,0)/1000</f>
        <v>14800</v>
      </c>
      <c r="O76" s="38"/>
      <c r="P76" s="38">
        <f>VLOOKUP($C76,Segment!$W$229:$AB$300,2,0)/1000</f>
        <v>4924.8639999999996</v>
      </c>
      <c r="Q76" s="38"/>
      <c r="R76" s="38">
        <f>VLOOKUP($C76,Segment!$W$306:$AB$377,2,0)/1000</f>
        <v>0</v>
      </c>
      <c r="S76" s="38"/>
      <c r="T76" s="38">
        <f>VLOOKUP($C76,Segment!$W$383:$AB$454,2,0)/1000</f>
        <v>0</v>
      </c>
      <c r="U76" s="38"/>
      <c r="V76" s="38">
        <f>VLOOKUP($C76,Segment!$W$460:$AB$531,2,0)/1000</f>
        <v>15000</v>
      </c>
      <c r="W76" s="132" t="e">
        <f t="shared" si="5"/>
        <v>#DIV/0!</v>
      </c>
      <c r="Y76" s="38"/>
      <c r="Z76" s="38">
        <f>VLOOKUP($C76,Segment!$W$229:$AB$300,3,0)/1000</f>
        <v>0</v>
      </c>
      <c r="AA76" s="38"/>
      <c r="AB76" s="38">
        <f>VLOOKUP($C76,Segment!$W$306:$AB$377,3,0)/1000</f>
        <v>0</v>
      </c>
      <c r="AC76" s="38"/>
      <c r="AD76" s="38">
        <f>VLOOKUP($C76,Segment!$W$383:$AB$454,3,0)/1000</f>
        <v>0</v>
      </c>
      <c r="AE76" s="38"/>
      <c r="AF76" s="38">
        <f>VLOOKUP($C76,Segment!$W$460:$AB$531,3,0)/1000</f>
        <v>-200</v>
      </c>
      <c r="AH76" s="38"/>
      <c r="AI76" s="38">
        <f>VLOOKUP($C76,Segment!$W$229:$AB$300,4,0)/1000</f>
        <v>0</v>
      </c>
      <c r="AJ76" s="38"/>
      <c r="AK76" s="38">
        <f>VLOOKUP($C76,Segment!$W$306:$AB$377,4,0)/1000</f>
        <v>0</v>
      </c>
      <c r="AL76" s="38"/>
      <c r="AM76" s="38">
        <f>VLOOKUP($C76,Segment!$W$383:$AB$454,4,0)/1000</f>
        <v>0</v>
      </c>
      <c r="AN76" s="38"/>
      <c r="AO76" s="38">
        <f>VLOOKUP($C76,Segment!$W$460:$AB$531,4,0)/1000</f>
        <v>0</v>
      </c>
      <c r="AQ76" s="38"/>
      <c r="AR76" s="38">
        <f t="shared" si="6"/>
        <v>0</v>
      </c>
      <c r="AS76" s="38"/>
      <c r="AT76" s="38">
        <f t="shared" si="7"/>
        <v>0</v>
      </c>
      <c r="AU76" s="38"/>
      <c r="AV76" s="38">
        <f t="shared" si="8"/>
        <v>0</v>
      </c>
      <c r="AW76" s="38"/>
      <c r="AX76" s="38">
        <f t="shared" si="9"/>
        <v>-200</v>
      </c>
      <c r="BA76" s="38"/>
      <c r="BB76" s="38">
        <f>VLOOKUP($C76,Segment!$W$229:$AB$300,5,0)/1000</f>
        <v>0</v>
      </c>
      <c r="BC76" s="38"/>
      <c r="BD76" s="38">
        <f>VLOOKUP($C76,Segment!$W$306:$AB$377,5,0)/1000</f>
        <v>0</v>
      </c>
      <c r="BE76" s="38"/>
      <c r="BF76" s="38">
        <f>VLOOKUP($C76,Segment!$W$383:$AB$454,5,0)/1000</f>
        <v>0</v>
      </c>
      <c r="BG76" s="38"/>
      <c r="BH76" s="38">
        <f>VLOOKUP($C76,Segment!$W$460:$AB$531,5,0)/1000</f>
        <v>0</v>
      </c>
    </row>
    <row r="77" spans="3:60" x14ac:dyDescent="0.3">
      <c r="C77" s="36" t="s">
        <v>42</v>
      </c>
      <c r="D77" s="110">
        <v>40</v>
      </c>
      <c r="E77" s="38"/>
      <c r="F77" s="38">
        <f>VLOOKUP($C77,Segment!$W$229:$AB$300,6,0)/1000</f>
        <v>-7230.6529099999989</v>
      </c>
      <c r="G77" s="38"/>
      <c r="H77" s="38">
        <f>VLOOKUP($C77,Segment!$W$306:$AB$377,6,0)/1000</f>
        <v>-18756.533440000003</v>
      </c>
      <c r="I77" s="38"/>
      <c r="J77" s="38">
        <f>VLOOKUP($C77,Segment!$W$383:$AB$454,6,0)/1000</f>
        <v>-25439.01799</v>
      </c>
      <c r="K77" s="38"/>
      <c r="L77" s="38">
        <f>VLOOKUP($C77,Segment!$W$460:$AB$531,6,0)/1000</f>
        <v>-33083.199349999995</v>
      </c>
      <c r="M77" s="132">
        <f t="shared" ref="M77:M83" si="11">L77/J77-1</f>
        <v>0.3004904262815844</v>
      </c>
      <c r="O77" s="38"/>
      <c r="P77" s="38">
        <f>VLOOKUP($C77,Segment!$W$229:$AB$300,2,0)/1000</f>
        <v>-6757.0220299999992</v>
      </c>
      <c r="Q77" s="38"/>
      <c r="R77" s="38">
        <f>VLOOKUP($C77,Segment!$W$306:$AB$377,2,0)/1000</f>
        <v>-18402.544650000003</v>
      </c>
      <c r="S77" s="38"/>
      <c r="T77" s="38">
        <f>VLOOKUP($C77,Segment!$W$383:$AB$454,2,0)/1000</f>
        <v>-17817.100430000002</v>
      </c>
      <c r="U77" s="38"/>
      <c r="V77" s="38">
        <f>VLOOKUP($C77,Segment!$W$460:$AB$531,2,0)/1000</f>
        <v>-22013.27072</v>
      </c>
      <c r="W77" s="132">
        <f t="shared" si="5"/>
        <v>0.23551364636945005</v>
      </c>
      <c r="Y77" s="38"/>
      <c r="Z77" s="38">
        <f>VLOOKUP($C77,Segment!$W$229:$AB$300,3,0)/1000</f>
        <v>-405.24</v>
      </c>
      <c r="AA77" s="38"/>
      <c r="AB77" s="38">
        <f>VLOOKUP($C77,Segment!$W$306:$AB$377,3,0)/1000</f>
        <v>-316.38299999999998</v>
      </c>
      <c r="AC77" s="38"/>
      <c r="AD77" s="38">
        <f>VLOOKUP($C77,Segment!$W$383:$AB$454,3,0)/1000</f>
        <v>-6491.4151600000005</v>
      </c>
      <c r="AE77" s="38"/>
      <c r="AF77" s="38">
        <f>VLOOKUP($C77,Segment!$W$460:$AB$531,3,0)/1000</f>
        <v>-9020.4618600000013</v>
      </c>
      <c r="AH77" s="38"/>
      <c r="AI77" s="38">
        <f>VLOOKUP($C77,Segment!$W$229:$AB$300,4,0)/1000</f>
        <v>-68.39088000000001</v>
      </c>
      <c r="AJ77" s="38"/>
      <c r="AK77" s="38">
        <f>VLOOKUP($C77,Segment!$W$306:$AB$377,4,0)/1000</f>
        <v>-37.605789999999999</v>
      </c>
      <c r="AL77" s="38"/>
      <c r="AM77" s="38">
        <f>VLOOKUP($C77,Segment!$W$383:$AB$454,4,0)/1000</f>
        <v>-1130.5023999999999</v>
      </c>
      <c r="AN77" s="38"/>
      <c r="AO77" s="38">
        <f>VLOOKUP($C77,Segment!$W$460:$AB$531,4,0)/1000</f>
        <v>-1632.2477099999999</v>
      </c>
      <c r="AQ77" s="38"/>
      <c r="AR77" s="38">
        <f t="shared" si="6"/>
        <v>-473.63088000000005</v>
      </c>
      <c r="AS77" s="38"/>
      <c r="AT77" s="38">
        <f t="shared" si="7"/>
        <v>-353.98878999999999</v>
      </c>
      <c r="AU77" s="38"/>
      <c r="AV77" s="38">
        <f t="shared" si="8"/>
        <v>-7621.9175599999999</v>
      </c>
      <c r="AW77" s="38"/>
      <c r="AX77" s="38">
        <f t="shared" si="9"/>
        <v>-10652.709570000001</v>
      </c>
      <c r="AY77" s="132">
        <f t="shared" si="10"/>
        <v>0.39764166774850307</v>
      </c>
      <c r="BA77" s="38"/>
      <c r="BB77" s="38">
        <f>VLOOKUP($C77,Segment!$W$229:$AB$300,5,0)/1000</f>
        <v>0</v>
      </c>
      <c r="BC77" s="38"/>
      <c r="BD77" s="38">
        <f>VLOOKUP($C77,Segment!$W$306:$AB$377,5,0)/1000</f>
        <v>0</v>
      </c>
      <c r="BE77" s="38"/>
      <c r="BF77" s="38">
        <f>VLOOKUP($C77,Segment!$W$383:$AB$454,5,0)/1000</f>
        <v>0</v>
      </c>
      <c r="BG77" s="38"/>
      <c r="BH77" s="38">
        <f>VLOOKUP($C77,Segment!$W$460:$AB$531,5,0)/1000</f>
        <v>-417.21906000000001</v>
      </c>
    </row>
    <row r="78" spans="3:60" x14ac:dyDescent="0.3">
      <c r="C78" s="36" t="s">
        <v>4</v>
      </c>
      <c r="E78" s="38"/>
      <c r="F78" s="38">
        <f>VLOOKUP($C78,Segment!$W$229:$AB$300,6,0)/1000</f>
        <v>104.566</v>
      </c>
      <c r="G78" s="38"/>
      <c r="H78" s="38">
        <f>VLOOKUP($C78,Segment!$W$306:$AB$377,6,0)/1000</f>
        <v>297.59199000000001</v>
      </c>
      <c r="I78" s="38"/>
      <c r="J78" s="38">
        <f>VLOOKUP($C78,Segment!$W$383:$AB$454,6,0)/1000</f>
        <v>0</v>
      </c>
      <c r="K78" s="38"/>
      <c r="L78" s="38">
        <f>VLOOKUP($C78,Segment!$W$460:$AB$531,6,0)/1000</f>
        <v>370.10774999999995</v>
      </c>
      <c r="M78" s="132" t="e">
        <f t="shared" si="11"/>
        <v>#DIV/0!</v>
      </c>
      <c r="O78" s="38"/>
      <c r="P78" s="38">
        <f>VLOOKUP($C78,Segment!$W$229:$AB$300,2,0)/1000</f>
        <v>0</v>
      </c>
      <c r="Q78" s="38"/>
      <c r="R78" s="38">
        <f>VLOOKUP($C78,Segment!$W$306:$AB$377,2,0)/1000</f>
        <v>627.47599000000002</v>
      </c>
      <c r="S78" s="38"/>
      <c r="T78" s="38">
        <f>VLOOKUP($C78,Segment!$W$383:$AB$454,2,0)/1000</f>
        <v>0</v>
      </c>
      <c r="U78" s="38"/>
      <c r="V78" s="38">
        <f>VLOOKUP($C78,Segment!$W$460:$AB$531,2,0)/1000</f>
        <v>360.56713999999994</v>
      </c>
      <c r="W78" s="132" t="e">
        <f t="shared" si="5"/>
        <v>#DIV/0!</v>
      </c>
      <c r="Y78" s="38"/>
      <c r="Z78" s="38">
        <f>VLOOKUP($C78,Segment!$W$229:$AB$300,3,0)/1000</f>
        <v>104.566</v>
      </c>
      <c r="AA78" s="38"/>
      <c r="AB78" s="38">
        <f>VLOOKUP($C78,Segment!$W$306:$AB$377,3,0)/1000</f>
        <v>-329.88400000000001</v>
      </c>
      <c r="AC78" s="38"/>
      <c r="AD78" s="38">
        <f>VLOOKUP($C78,Segment!$W$383:$AB$454,3,0)/1000</f>
        <v>0</v>
      </c>
      <c r="AE78" s="38"/>
      <c r="AF78" s="38">
        <f>VLOOKUP($C78,Segment!$W$460:$AB$531,3,0)/1000</f>
        <v>-6.0000000000000001E-3</v>
      </c>
      <c r="AH78" s="38"/>
      <c r="AI78" s="38">
        <f>VLOOKUP($C78,Segment!$W$229:$AB$300,4,0)/1000</f>
        <v>0</v>
      </c>
      <c r="AJ78" s="38"/>
      <c r="AK78" s="38">
        <f>VLOOKUP($C78,Segment!$W$306:$AB$377,4,0)/1000</f>
        <v>0</v>
      </c>
      <c r="AL78" s="38"/>
      <c r="AM78" s="38">
        <f>VLOOKUP($C78,Segment!$W$383:$AB$454,4,0)/1000</f>
        <v>0</v>
      </c>
      <c r="AN78" s="38"/>
      <c r="AO78" s="38">
        <f>VLOOKUP($C78,Segment!$W$460:$AB$531,4,0)/1000</f>
        <v>0</v>
      </c>
      <c r="AQ78" s="38"/>
      <c r="AR78" s="38">
        <f t="shared" si="6"/>
        <v>104.566</v>
      </c>
      <c r="AS78" s="38"/>
      <c r="AT78" s="38">
        <f t="shared" si="7"/>
        <v>-329.88400000000001</v>
      </c>
      <c r="AU78" s="38"/>
      <c r="AV78" s="38">
        <f t="shared" si="8"/>
        <v>0</v>
      </c>
      <c r="AW78" s="38"/>
      <c r="AX78" s="38">
        <f t="shared" si="9"/>
        <v>-6.0000000000000001E-3</v>
      </c>
      <c r="BA78" s="38"/>
      <c r="BB78" s="38">
        <f>VLOOKUP($C78,Segment!$W$229:$AB$300,5,0)/1000</f>
        <v>0</v>
      </c>
      <c r="BC78" s="38"/>
      <c r="BD78" s="38">
        <f>VLOOKUP($C78,Segment!$W$306:$AB$377,5,0)/1000</f>
        <v>0</v>
      </c>
      <c r="BE78" s="38"/>
      <c r="BF78" s="38">
        <f>VLOOKUP($C78,Segment!$W$383:$AB$454,5,0)/1000</f>
        <v>0</v>
      </c>
      <c r="BG78" s="38"/>
      <c r="BH78" s="38">
        <f>VLOOKUP($C78,Segment!$W$460:$AB$531,5,0)/1000</f>
        <v>9.5466100000000012</v>
      </c>
    </row>
    <row r="79" spans="3:60" x14ac:dyDescent="0.3">
      <c r="C79" s="36" t="s">
        <v>5</v>
      </c>
      <c r="E79" s="38"/>
      <c r="F79" s="38">
        <f>VLOOKUP($C79,Segment!$W$229:$AB$300,6,0)/1000</f>
        <v>-525</v>
      </c>
      <c r="G79" s="38"/>
      <c r="H79" s="38">
        <f>VLOOKUP($C79,Segment!$W$306:$AB$377,6,0)/1000</f>
        <v>-568</v>
      </c>
      <c r="I79" s="38"/>
      <c r="J79" s="38">
        <f>VLOOKUP($C79,Segment!$W$383:$AB$454,6,0)/1000</f>
        <v>-1066</v>
      </c>
      <c r="K79" s="38"/>
      <c r="L79" s="38">
        <f>VLOOKUP($C79,Segment!$W$460:$AB$531,6,0)/1000</f>
        <v>-1358</v>
      </c>
      <c r="M79" s="132">
        <f t="shared" si="11"/>
        <v>0.273921200750469</v>
      </c>
      <c r="O79" s="38"/>
      <c r="P79" s="38">
        <f>VLOOKUP($C79,Segment!$W$229:$AB$300,2,0)/1000</f>
        <v>-525</v>
      </c>
      <c r="Q79" s="38"/>
      <c r="R79" s="38">
        <f>VLOOKUP($C79,Segment!$W$306:$AB$377,2,0)/1000</f>
        <v>-568</v>
      </c>
      <c r="S79" s="38"/>
      <c r="T79" s="38">
        <f>VLOOKUP($C79,Segment!$W$383:$AB$454,2,0)/1000</f>
        <v>-1066</v>
      </c>
      <c r="U79" s="38"/>
      <c r="V79" s="38">
        <f>VLOOKUP($C79,Segment!$W$460:$AB$531,2,0)/1000</f>
        <v>-1358</v>
      </c>
      <c r="W79" s="132">
        <f t="shared" si="5"/>
        <v>0.273921200750469</v>
      </c>
      <c r="Y79" s="38"/>
      <c r="Z79" s="38">
        <f>VLOOKUP($C79,Segment!$W$229:$AB$300,3,0)/1000</f>
        <v>0</v>
      </c>
      <c r="AA79" s="38"/>
      <c r="AB79" s="38">
        <f>VLOOKUP($C79,Segment!$W$306:$AB$377,3,0)/1000</f>
        <v>0</v>
      </c>
      <c r="AC79" s="38"/>
      <c r="AD79" s="38">
        <f>VLOOKUP($C79,Segment!$W$383:$AB$454,3,0)/1000</f>
        <v>0</v>
      </c>
      <c r="AE79" s="38"/>
      <c r="AF79" s="38">
        <f>VLOOKUP($C79,Segment!$W$460:$AB$531,3,0)/1000</f>
        <v>0</v>
      </c>
      <c r="AH79" s="38"/>
      <c r="AI79" s="38">
        <f>VLOOKUP($C79,Segment!$W$229:$AB$300,4,0)/1000</f>
        <v>0</v>
      </c>
      <c r="AJ79" s="38"/>
      <c r="AK79" s="38">
        <f>VLOOKUP($C79,Segment!$W$306:$AB$377,4,0)/1000</f>
        <v>0</v>
      </c>
      <c r="AL79" s="38"/>
      <c r="AM79" s="38">
        <f>VLOOKUP($C79,Segment!$W$383:$AB$454,4,0)/1000</f>
        <v>0</v>
      </c>
      <c r="AN79" s="38"/>
      <c r="AO79" s="38">
        <f>VLOOKUP($C79,Segment!$W$460:$AB$531,4,0)/1000</f>
        <v>0</v>
      </c>
      <c r="AQ79" s="38"/>
      <c r="AR79" s="38">
        <f t="shared" si="6"/>
        <v>0</v>
      </c>
      <c r="AS79" s="38"/>
      <c r="AT79" s="38">
        <f t="shared" si="7"/>
        <v>0</v>
      </c>
      <c r="AU79" s="38"/>
      <c r="AV79" s="38">
        <f t="shared" si="8"/>
        <v>0</v>
      </c>
      <c r="AW79" s="38"/>
      <c r="AX79" s="38">
        <f t="shared" si="9"/>
        <v>0</v>
      </c>
      <c r="BA79" s="38"/>
      <c r="BB79" s="38">
        <f>VLOOKUP($C79,Segment!$W$229:$AB$300,5,0)/1000</f>
        <v>0</v>
      </c>
      <c r="BC79" s="38"/>
      <c r="BD79" s="38">
        <f>VLOOKUP($C79,Segment!$W$306:$AB$377,5,0)/1000</f>
        <v>0</v>
      </c>
      <c r="BE79" s="38"/>
      <c r="BF79" s="38">
        <f>VLOOKUP($C79,Segment!$W$383:$AB$454,5,0)/1000</f>
        <v>0</v>
      </c>
      <c r="BG79" s="38"/>
      <c r="BH79" s="38">
        <f>VLOOKUP($C79,Segment!$W$460:$AB$531,5,0)/1000</f>
        <v>0</v>
      </c>
    </row>
    <row r="80" spans="3:60" x14ac:dyDescent="0.3">
      <c r="C80" s="36" t="s">
        <v>182</v>
      </c>
      <c r="D80" s="110">
        <v>22</v>
      </c>
      <c r="E80" s="38"/>
      <c r="F80" s="38">
        <f>VLOOKUP($C80,Segment!$W$229:$AB$300,6,0)/1000</f>
        <v>-2609.7949699999995</v>
      </c>
      <c r="G80" s="38"/>
      <c r="H80" s="38">
        <f>VLOOKUP($C80,Segment!$W$306:$AB$377,6,0)/1000</f>
        <v>-26676.231052108196</v>
      </c>
      <c r="I80" s="38"/>
      <c r="J80" s="38">
        <f>VLOOKUP($C80,Segment!$W$383:$AB$454,6,0)/1000</f>
        <v>-128978.99105640368</v>
      </c>
      <c r="K80" s="38"/>
      <c r="L80" s="38">
        <f>VLOOKUP($C80,Segment!$W$460:$AB$531,6,0)/1000</f>
        <v>-66635.689944316095</v>
      </c>
      <c r="M80" s="132">
        <f t="shared" si="11"/>
        <v>-0.48336012401294326</v>
      </c>
      <c r="O80" s="38"/>
      <c r="P80" s="38">
        <f>VLOOKUP($C80,Segment!$W$229:$AB$300,2,0)/1000</f>
        <v>1248.6477900000004</v>
      </c>
      <c r="Q80" s="38"/>
      <c r="R80" s="38">
        <f>VLOOKUP($C80,Segment!$W$306:$AB$377,2,0)/1000</f>
        <v>-26135.502109999994</v>
      </c>
      <c r="S80" s="38"/>
      <c r="T80" s="38">
        <f>VLOOKUP($C80,Segment!$W$383:$AB$454,2,0)/1000</f>
        <v>-123789.31262999999</v>
      </c>
      <c r="U80" s="38"/>
      <c r="V80" s="38">
        <f>VLOOKUP($C80,Segment!$W$460:$AB$531,2,0)/1000</f>
        <v>-67104.217139999993</v>
      </c>
      <c r="W80" s="132">
        <f t="shared" si="5"/>
        <v>-0.45791590797041493</v>
      </c>
      <c r="Y80" s="38"/>
      <c r="Z80" s="38">
        <f>VLOOKUP($C80,Segment!$W$229:$AB$300,3,0)/1000</f>
        <v>-2251.614</v>
      </c>
      <c r="AA80" s="38"/>
      <c r="AB80" s="38">
        <f>VLOOKUP($C80,Segment!$W$306:$AB$377,3,0)/1000</f>
        <v>-644.35290210820006</v>
      </c>
      <c r="AC80" s="38"/>
      <c r="AD80" s="38">
        <f>VLOOKUP($C80,Segment!$W$383:$AB$454,3,0)/1000</f>
        <v>-5287.5313014036992</v>
      </c>
      <c r="AE80" s="38"/>
      <c r="AF80" s="38">
        <f>VLOOKUP($C80,Segment!$W$460:$AB$531,3,0)/1000</f>
        <v>327.13282568390002</v>
      </c>
      <c r="AH80" s="38"/>
      <c r="AI80" s="38">
        <f>VLOOKUP($C80,Segment!$W$229:$AB$300,4,0)/1000</f>
        <v>-1606.8287599999999</v>
      </c>
      <c r="AJ80" s="38"/>
      <c r="AK80" s="38">
        <f>VLOOKUP($C80,Segment!$W$306:$AB$377,4,0)/1000</f>
        <v>134.92323000000002</v>
      </c>
      <c r="AL80" s="38"/>
      <c r="AM80" s="38">
        <f>VLOOKUP($C80,Segment!$W$383:$AB$454,4,0)/1000</f>
        <v>122.01798500000001</v>
      </c>
      <c r="AN80" s="38"/>
      <c r="AO80" s="38">
        <f>VLOOKUP($C80,Segment!$W$460:$AB$531,4,0)/1000</f>
        <v>197.24056000000004</v>
      </c>
      <c r="AQ80" s="38"/>
      <c r="AR80" s="38">
        <f t="shared" si="6"/>
        <v>-3858.4427599999999</v>
      </c>
      <c r="AS80" s="38"/>
      <c r="AT80" s="38">
        <f t="shared" si="7"/>
        <v>-509.42967210820007</v>
      </c>
      <c r="AU80" s="38"/>
      <c r="AV80" s="38">
        <f t="shared" si="8"/>
        <v>-5165.5133164036988</v>
      </c>
      <c r="AW80" s="38"/>
      <c r="AX80" s="38">
        <f t="shared" si="9"/>
        <v>524.3733856839001</v>
      </c>
      <c r="AY80" s="132">
        <f t="shared" si="10"/>
        <v>-1.1015142839761327</v>
      </c>
      <c r="BA80" s="38"/>
      <c r="BB80" s="38">
        <f>VLOOKUP($C80,Segment!$W$229:$AB$300,5,0)/1000</f>
        <v>0</v>
      </c>
      <c r="BC80" s="38"/>
      <c r="BD80" s="38">
        <f>VLOOKUP($C80,Segment!$W$306:$AB$377,5,0)/1000</f>
        <v>-31.29927</v>
      </c>
      <c r="BE80" s="38"/>
      <c r="BF80" s="38">
        <f>VLOOKUP($C80,Segment!$W$383:$AB$454,5,0)/1000</f>
        <v>-24.165110000000002</v>
      </c>
      <c r="BG80" s="38"/>
      <c r="BH80" s="38">
        <f>VLOOKUP($C80,Segment!$W$460:$AB$531,5,0)/1000</f>
        <v>-55.84619</v>
      </c>
    </row>
    <row r="81" spans="2:60" x14ac:dyDescent="0.3">
      <c r="C81" s="43" t="s">
        <v>11</v>
      </c>
      <c r="D81" s="111"/>
      <c r="E81" s="44"/>
      <c r="F81" s="44">
        <f>F71+F72+F73+F75+F76+F77+F78+F79+F80+F70</f>
        <v>-260245.96701100003</v>
      </c>
      <c r="G81" s="44"/>
      <c r="H81" s="44">
        <f>H71+H72+H73+H75+H76+H77+H78+H79+H80+H70</f>
        <v>-406059.3342321082</v>
      </c>
      <c r="I81" s="44"/>
      <c r="J81" s="44">
        <f>J71+J72+J73+J75+J76+J77+J78+J79+J80+J70</f>
        <v>-629880.09478740382</v>
      </c>
      <c r="K81" s="44"/>
      <c r="L81" s="44">
        <f>L71+L72+L73+L75+L76+L77+L78+L79+L80+L70</f>
        <v>-695123.35190431634</v>
      </c>
      <c r="M81" s="170">
        <f t="shared" si="11"/>
        <v>0.10358043960562568</v>
      </c>
      <c r="O81" s="44"/>
      <c r="P81" s="44">
        <f>P71+P72+P73+P75+P76+P77+P78+P79+P80+P70</f>
        <v>-215657.86639000001</v>
      </c>
      <c r="Q81" s="44"/>
      <c r="R81" s="44">
        <f>R71+R72+R73+R75+R76+R77+R78+R79+R80+R70</f>
        <v>-333307.19104000006</v>
      </c>
      <c r="S81" s="44"/>
      <c r="T81" s="44">
        <f>T71+T72+T73+T75+T76+T77+T78+T79+T80+T70</f>
        <v>-521104.61013000004</v>
      </c>
      <c r="U81" s="44"/>
      <c r="V81" s="44">
        <f>V71+V72+V73+V75+V76+V77+V78+V79+V80+V70</f>
        <v>-560266.94091000024</v>
      </c>
      <c r="W81" s="170">
        <f t="shared" si="5"/>
        <v>7.5152531792475052E-2</v>
      </c>
      <c r="X81" s="44"/>
      <c r="Y81" s="44"/>
      <c r="Z81" s="44">
        <f>Z71+Z72+Z73+Z75+Z76+Z77+Z78+Z79+Z80+Z70</f>
        <v>-36809.498</v>
      </c>
      <c r="AA81" s="44"/>
      <c r="AB81" s="44">
        <f>AB71+AB72+AB73+AB75+AB76+AB77+AB78+AB79+AB80+AB70</f>
        <v>-51169.0349021082</v>
      </c>
      <c r="AC81" s="44"/>
      <c r="AD81" s="44">
        <f>AD71+AD72+AD73+AD75+AD76+AD77+AD78+AD79+AD80+AD70</f>
        <v>-75685.910461403691</v>
      </c>
      <c r="AE81" s="44"/>
      <c r="AF81" s="44">
        <f>AF71+AF72+AF73+AF75+AF76+AF77+AF78+AF79+AF80+AF70</f>
        <v>-97695.459034316096</v>
      </c>
      <c r="AG81" s="49"/>
      <c r="AH81" s="44"/>
      <c r="AI81" s="44">
        <f>AI71+AI72+AI73+AI75+AI76+AI77+AI78+AI79+AI80+AI70</f>
        <v>-7778.602621</v>
      </c>
      <c r="AJ81" s="44"/>
      <c r="AK81" s="44">
        <f>AK71+AK72+AK73+AK75+AK76+AK77+AK78+AK79+AK80+AK70</f>
        <v>-8585.2726399999992</v>
      </c>
      <c r="AL81" s="44"/>
      <c r="AM81" s="44">
        <f>AM71+AM72+AM73+AM75+AM76+AM77+AM78+AM79+AM80+AM70</f>
        <v>-15241.044096</v>
      </c>
      <c r="AN81" s="44"/>
      <c r="AO81" s="44">
        <f>AO71+AO72+AO73+AO75+AO76+AO77+AO78+AO79+AO80+AO70</f>
        <v>-18947.260460000005</v>
      </c>
      <c r="AP81" s="49"/>
      <c r="AQ81" s="44"/>
      <c r="AR81" s="44">
        <f>AR71+AR72+AR73+AR75+AR76+AR77+AR78+AR79+AR80+AR70</f>
        <v>-44588.10062099999</v>
      </c>
      <c r="AS81" s="44"/>
      <c r="AT81" s="44">
        <f>AT71+AT72+AT73+AT75+AT76+AT77+AT78+AT79+AT80+AT70</f>
        <v>-59754.307542108196</v>
      </c>
      <c r="AU81" s="44"/>
      <c r="AV81" s="44">
        <f>AV71+AV72+AV73+AV75+AV76+AV77+AV78+AV79+AV80+AV70</f>
        <v>-90926.954557403689</v>
      </c>
      <c r="AW81" s="44"/>
      <c r="AX81" s="44">
        <f>AX71+AX72+AX73+AX75+AX76+AX77+AX78+AX79+AX80+AX70</f>
        <v>-116642.7194943161</v>
      </c>
      <c r="AY81" s="170">
        <f t="shared" si="10"/>
        <v>0.28281784056319204</v>
      </c>
      <c r="AZ81" s="44"/>
      <c r="BA81" s="44"/>
      <c r="BB81" s="44">
        <f>BB71+BB72+BB73+BB75+BB76+BB77+BB78+BB79+BB80+BB70</f>
        <v>0</v>
      </c>
      <c r="BC81" s="44"/>
      <c r="BD81" s="44">
        <f>BD71+BD72+BD73+BD75+BD76+BD77+BD78+BD79+BD80+BD70</f>
        <v>-12997.835650000001</v>
      </c>
      <c r="BE81" s="44"/>
      <c r="BF81" s="44">
        <f>BF71+BF72+BF73+BF75+BF76+BF77+BF78+BF79+BF80+BF70</f>
        <v>-17848.530100000004</v>
      </c>
      <c r="BG81" s="44"/>
      <c r="BH81" s="44">
        <f>BH71+BH72+BH73+BH75+BH76+BH77+BH78+BH79+BH80+BH70</f>
        <v>-18213.691500000004</v>
      </c>
    </row>
    <row r="82" spans="2:60" s="45" customFormat="1" x14ac:dyDescent="0.3">
      <c r="C82" s="88" t="s">
        <v>43</v>
      </c>
      <c r="D82" s="117"/>
      <c r="E82" s="89"/>
      <c r="F82" s="89">
        <f>F35+F62+F81+F67</f>
        <v>305932.27559499984</v>
      </c>
      <c r="G82" s="89"/>
      <c r="H82" s="89">
        <f>H35+H62+H81+H67</f>
        <v>381116.19900789182</v>
      </c>
      <c r="I82" s="89"/>
      <c r="J82" s="89">
        <f>J35+J62+J81+J67</f>
        <v>461863.07533559616</v>
      </c>
      <c r="K82" s="89"/>
      <c r="L82" s="89">
        <f>L35+L62+L81+L67</f>
        <v>309551.30799568375</v>
      </c>
      <c r="M82" s="177">
        <f t="shared" si="11"/>
        <v>-0.32977688729336196</v>
      </c>
      <c r="O82" s="89"/>
      <c r="P82" s="89">
        <f>P35+P62+P81+P67</f>
        <v>273460.32934</v>
      </c>
      <c r="Q82" s="89"/>
      <c r="R82" s="89">
        <f>R35+R62+R81+R67</f>
        <v>342680.94835999992</v>
      </c>
      <c r="S82" s="89"/>
      <c r="T82" s="89">
        <f>T35+T62+T81+T67</f>
        <v>412462.18236999994</v>
      </c>
      <c r="U82" s="89"/>
      <c r="V82" s="89">
        <f>V35+V62+V81+V67</f>
        <v>182085.72713999977</v>
      </c>
      <c r="W82" s="177">
        <f t="shared" si="5"/>
        <v>-0.558539582723103</v>
      </c>
      <c r="X82" s="90"/>
      <c r="Y82" s="89"/>
      <c r="Z82" s="89">
        <f>Z35+Z62+Z81+Z67</f>
        <v>23995.684999999954</v>
      </c>
      <c r="AA82" s="89"/>
      <c r="AB82" s="89">
        <f>AB35+AB62+AB81+AB67</f>
        <v>37850.185097891772</v>
      </c>
      <c r="AC82" s="89"/>
      <c r="AD82" s="89">
        <f>AD35+AD62+AD81+AD67</f>
        <v>67770.198538596349</v>
      </c>
      <c r="AE82" s="89"/>
      <c r="AF82" s="89">
        <f>AF35+AF62+AF81+AF67</f>
        <v>128768.11296568408</v>
      </c>
      <c r="AG82" s="91"/>
      <c r="AH82" s="89"/>
      <c r="AI82" s="89">
        <f>AI35+AI62+AI81+AI67</f>
        <v>8603.2612550000031</v>
      </c>
      <c r="AJ82" s="89"/>
      <c r="AK82" s="89">
        <f>AK35+AK62+AK81+AK67</f>
        <v>8412.8709800000033</v>
      </c>
      <c r="AL82" s="89"/>
      <c r="AM82" s="89">
        <f>AM35+AM62+AM81+AM67</f>
        <v>-2953.5220230000086</v>
      </c>
      <c r="AN82" s="89"/>
      <c r="AO82" s="89">
        <f>AO35+AO62+AO81+AO67</f>
        <v>16419.236449999982</v>
      </c>
      <c r="AP82" s="91"/>
      <c r="AQ82" s="89"/>
      <c r="AR82" s="89">
        <f>AR35+AR62+AR81+AR67</f>
        <v>32598.946254999973</v>
      </c>
      <c r="AS82" s="89"/>
      <c r="AT82" s="89">
        <f>AT35+AT62+AT81+AT67</f>
        <v>46263.056077891764</v>
      </c>
      <c r="AU82" s="89"/>
      <c r="AV82" s="89">
        <f>AV35+AV62+AV81+AV67</f>
        <v>64816.676515596322</v>
      </c>
      <c r="AW82" s="89"/>
      <c r="AX82" s="89">
        <f>AX35+AX62+AX81+AX67</f>
        <v>145187.34941568406</v>
      </c>
      <c r="AY82" s="177">
        <f t="shared" si="10"/>
        <v>1.2399690514947768</v>
      </c>
      <c r="AZ82" s="90"/>
      <c r="BA82" s="89"/>
      <c r="BB82" s="89">
        <f>BB35+BB62+BB81+BB67</f>
        <v>-127.44330380000001</v>
      </c>
      <c r="BC82" s="89"/>
      <c r="BD82" s="89">
        <f>BD35+BD62+BD81+BD67</f>
        <v>-7827.1993325509766</v>
      </c>
      <c r="BE82" s="89"/>
      <c r="BF82" s="89">
        <f>BF35+BF62+BF81+BF67</f>
        <v>-15415.782739277973</v>
      </c>
      <c r="BG82" s="89"/>
      <c r="BH82" s="89">
        <f>BH35+BH62+BH81+BH67</f>
        <v>-17722.077717294978</v>
      </c>
    </row>
    <row r="83" spans="2:60" x14ac:dyDescent="0.3">
      <c r="C83" s="36" t="s">
        <v>6</v>
      </c>
      <c r="D83" s="110">
        <v>23</v>
      </c>
      <c r="E83" s="38"/>
      <c r="F83" s="38">
        <f>VLOOKUP($C83,Segment!$W$229:$AB$300,6,0)/1000</f>
        <v>-78176.292509999999</v>
      </c>
      <c r="G83" s="38"/>
      <c r="H83" s="38">
        <f>VLOOKUP($C83,Segment!$W$306:$AB$377,6,0)/1000</f>
        <v>-112566.70239000001</v>
      </c>
      <c r="I83" s="38"/>
      <c r="J83" s="38">
        <f>VLOOKUP($C83,Segment!$W$383:$AB$454,6,0)/1000</f>
        <v>-139554.6655</v>
      </c>
      <c r="K83" s="38"/>
      <c r="L83" s="38">
        <f>VLOOKUP($C83,Segment!$W$460:$AB$531,6,0)/1000</f>
        <v>-90966.208140000002</v>
      </c>
      <c r="M83" s="132">
        <f t="shared" si="11"/>
        <v>-0.34816791818400372</v>
      </c>
      <c r="O83" s="38"/>
      <c r="P83" s="38">
        <f>VLOOKUP($C83,Segment!$W$229:$AB$300,2,0)/1000</f>
        <v>-74329.566760000002</v>
      </c>
      <c r="Q83" s="38"/>
      <c r="R83" s="38">
        <f>VLOOKUP($C83,Segment!$W$306:$AB$377,2,0)/1000</f>
        <v>-100478.74957000001</v>
      </c>
      <c r="S83" s="38"/>
      <c r="T83" s="38">
        <f>VLOOKUP($C83,Segment!$W$383:$AB$454,2,0)/1000</f>
        <v>-121180.76756000002</v>
      </c>
      <c r="U83" s="38"/>
      <c r="V83" s="38">
        <f>VLOOKUP($C83,Segment!$W$460:$AB$531,2,0)/1000</f>
        <v>-65753.235990000016</v>
      </c>
      <c r="W83" s="132">
        <f t="shared" si="5"/>
        <v>-0.45739544884922656</v>
      </c>
      <c r="Y83" s="38"/>
      <c r="Z83" s="38">
        <f>VLOOKUP($C83,Segment!$W$229:$AB$300,3,0)/1000</f>
        <v>-3563.3380000000002</v>
      </c>
      <c r="AA83" s="38"/>
      <c r="AB83" s="38">
        <f>VLOOKUP($C83,Segment!$W$306:$AB$377,3,0)/1000</f>
        <v>-9117.3809999999994</v>
      </c>
      <c r="AC83" s="38"/>
      <c r="AD83" s="38">
        <f>VLOOKUP($C83,Segment!$W$383:$AB$454,3,0)/1000</f>
        <v>-16687.163</v>
      </c>
      <c r="AE83" s="38"/>
      <c r="AF83" s="38">
        <f>VLOOKUP($C83,Segment!$W$460:$AB$531,3,0)/1000</f>
        <v>-20647.057000000001</v>
      </c>
      <c r="AH83" s="38"/>
      <c r="AI83" s="38">
        <f>VLOOKUP($C83,Segment!$W$229:$AB$300,4,0)/1000</f>
        <v>-283.38774999999998</v>
      </c>
      <c r="AJ83" s="38"/>
      <c r="AK83" s="38">
        <f>VLOOKUP($C83,Segment!$W$306:$AB$377,4,0)/1000</f>
        <v>-1589.4808299999997</v>
      </c>
      <c r="AL83" s="38"/>
      <c r="AM83" s="38">
        <f>VLOOKUP($C83,Segment!$W$383:$AB$454,4,0)/1000</f>
        <v>-14.65164</v>
      </c>
      <c r="AN83" s="38"/>
      <c r="AO83" s="38">
        <f>VLOOKUP($C83,Segment!$W$460:$AB$531,4,0)/1000</f>
        <v>-3775.0224099999996</v>
      </c>
      <c r="AQ83" s="38"/>
      <c r="AR83" s="38">
        <f>Z83+AI83</f>
        <v>-3846.7257500000001</v>
      </c>
      <c r="AS83" s="38"/>
      <c r="AT83" s="38">
        <f>AB83+AK83</f>
        <v>-10706.86183</v>
      </c>
      <c r="AU83" s="38"/>
      <c r="AV83" s="38">
        <f>AD83+AM83</f>
        <v>-16701.814640000001</v>
      </c>
      <c r="AW83" s="38"/>
      <c r="AX83" s="38">
        <f>AF83+AO83</f>
        <v>-24422.079409999998</v>
      </c>
      <c r="AY83" s="132">
        <f t="shared" si="10"/>
        <v>0.46224107597927433</v>
      </c>
      <c r="BA83" s="38"/>
      <c r="BB83" s="38">
        <f>VLOOKUP($C83,Segment!$W$229:$AB$300,5,0)/1000</f>
        <v>0</v>
      </c>
      <c r="BC83" s="38"/>
      <c r="BD83" s="38">
        <f>VLOOKUP($C83,Segment!$W$306:$AB$377,5,0)/1000</f>
        <v>-1381.0909900000001</v>
      </c>
      <c r="BE83" s="38"/>
      <c r="BF83" s="38">
        <f>VLOOKUP($C83,Segment!$W$383:$AB$454,5,0)/1000</f>
        <v>-1672.0833</v>
      </c>
      <c r="BG83" s="38"/>
      <c r="BH83" s="38">
        <f>VLOOKUP($C83,Segment!$W$460:$AB$531,5,0)/1000</f>
        <v>-790.89274</v>
      </c>
    </row>
    <row r="84" spans="2:60" x14ac:dyDescent="0.3">
      <c r="C84" s="39" t="s">
        <v>65</v>
      </c>
      <c r="D84" s="109"/>
      <c r="E84" s="40"/>
      <c r="F84" s="40">
        <f>-F83/F82</f>
        <v>0.25553463542856647</v>
      </c>
      <c r="G84" s="40"/>
      <c r="H84" s="40">
        <f>-H83/H82</f>
        <v>0.29536058210863159</v>
      </c>
      <c r="I84" s="40"/>
      <c r="J84" s="40">
        <f>-J83/J82</f>
        <v>0.30215592662088786</v>
      </c>
      <c r="K84" s="40"/>
      <c r="L84" s="40">
        <f>-L83/L82</f>
        <v>0.29386471899924388</v>
      </c>
      <c r="M84" s="169"/>
      <c r="O84" s="40"/>
      <c r="P84" s="40">
        <f>-P83/P82</f>
        <v>0.27181115059502547</v>
      </c>
      <c r="Q84" s="40"/>
      <c r="R84" s="40">
        <f>-R83/R82</f>
        <v>0.29321370228158439</v>
      </c>
      <c r="S84" s="40"/>
      <c r="T84" s="40">
        <f>-T83/T82</f>
        <v>0.29379849290351329</v>
      </c>
      <c r="U84" s="40"/>
      <c r="V84" s="40">
        <f>-V83/V82</f>
        <v>0.36111142275003522</v>
      </c>
      <c r="W84" s="169"/>
      <c r="Y84" s="40"/>
      <c r="Z84" s="40">
        <f>-Z83/Z82</f>
        <v>0.14849911557015386</v>
      </c>
      <c r="AA84" s="40"/>
      <c r="AB84" s="40">
        <f>-AB83/AB82</f>
        <v>0.24088075068641687</v>
      </c>
      <c r="AC84" s="40"/>
      <c r="AD84" s="40">
        <f>-AD83/AD82</f>
        <v>0.24623157906932147</v>
      </c>
      <c r="AE84" s="40"/>
      <c r="AF84" s="40">
        <f>-AF83/AF82</f>
        <v>0.16034293370053745</v>
      </c>
      <c r="AH84" s="40"/>
      <c r="AI84" s="40">
        <f>-AI83/AI82</f>
        <v>3.2939572750426707E-2</v>
      </c>
      <c r="AJ84" s="40"/>
      <c r="AK84" s="40">
        <f>-AK83/AK82</f>
        <v>0.18893441178150566</v>
      </c>
      <c r="AL84" s="40"/>
      <c r="AM84" s="40">
        <f>-AM83/AM82</f>
        <v>-4.9607349753626531E-3</v>
      </c>
      <c r="AN84" s="40"/>
      <c r="AO84" s="40">
        <f>-AO83/AO82</f>
        <v>0.22991461396489016</v>
      </c>
      <c r="AQ84" s="40"/>
      <c r="AR84" s="40">
        <f>-AR83/AR82</f>
        <v>0.11800153661132515</v>
      </c>
      <c r="AS84" s="40"/>
      <c r="AT84" s="40">
        <f>-AT83/AT82</f>
        <v>0.2314343828037034</v>
      </c>
      <c r="AU84" s="40"/>
      <c r="AV84" s="40">
        <f>-AV83/AV82</f>
        <v>0.25767773878349309</v>
      </c>
      <c r="AW84" s="40"/>
      <c r="AX84" s="40">
        <f>-AX83/AX82</f>
        <v>0.16821079459256091</v>
      </c>
      <c r="AY84" s="169"/>
      <c r="BA84" s="40"/>
      <c r="BB84" s="40">
        <f>-BB83/BB82</f>
        <v>0</v>
      </c>
      <c r="BC84" s="40"/>
      <c r="BD84" s="40">
        <f>-BD83/BD82</f>
        <v>-0.17644765788146682</v>
      </c>
      <c r="BE84" s="40"/>
      <c r="BF84" s="40">
        <f>-BF83/BF82</f>
        <v>-0.10846567626693961</v>
      </c>
      <c r="BG84" s="40"/>
      <c r="BH84" s="40">
        <f>-BH83/BH82</f>
        <v>-4.4627540439469329E-2</v>
      </c>
    </row>
    <row r="85" spans="2:60" s="45" customFormat="1" x14ac:dyDescent="0.3">
      <c r="C85" s="86" t="s">
        <v>7</v>
      </c>
      <c r="D85" s="118"/>
      <c r="E85" s="87"/>
      <c r="F85" s="87">
        <f>SUM(F82:F83)</f>
        <v>227755.98308499984</v>
      </c>
      <c r="G85" s="87"/>
      <c r="H85" s="87">
        <f>SUM(H82:H83)</f>
        <v>268549.49661789183</v>
      </c>
      <c r="I85" s="87"/>
      <c r="J85" s="87">
        <f>SUM(J82:J83)</f>
        <v>322308.40983559616</v>
      </c>
      <c r="K85" s="87"/>
      <c r="L85" s="87">
        <f>SUM(L82:L83)</f>
        <v>218585.09985568374</v>
      </c>
      <c r="M85" s="178">
        <f>L85/J85-1</f>
        <v>-0.3218138491416338</v>
      </c>
      <c r="O85" s="87"/>
      <c r="P85" s="87">
        <f>SUM(P82:P83)</f>
        <v>199130.76257999998</v>
      </c>
      <c r="Q85" s="87"/>
      <c r="R85" s="87">
        <f>SUM(R82:R83)</f>
        <v>242202.19878999991</v>
      </c>
      <c r="S85" s="87"/>
      <c r="T85" s="87">
        <f>SUM(T82:T83)</f>
        <v>291281.41480999993</v>
      </c>
      <c r="U85" s="87"/>
      <c r="V85" s="87">
        <f>SUM(V82:V83)</f>
        <v>116332.49114999975</v>
      </c>
      <c r="W85" s="178">
        <f>V85/T85-1</f>
        <v>-0.60061821580383934</v>
      </c>
      <c r="X85" s="49"/>
      <c r="Y85" s="87"/>
      <c r="Z85" s="87">
        <f>SUM(Z82:Z83)</f>
        <v>20432.346999999954</v>
      </c>
      <c r="AA85" s="87"/>
      <c r="AB85" s="87">
        <f>SUM(AB82:AB83)</f>
        <v>28732.804097891771</v>
      </c>
      <c r="AC85" s="87"/>
      <c r="AD85" s="87">
        <f>SUM(AD82:AD83)</f>
        <v>51083.035538596348</v>
      </c>
      <c r="AE85" s="87"/>
      <c r="AF85" s="87">
        <f>SUM(AF82:AF83)</f>
        <v>108121.05596568408</v>
      </c>
      <c r="AG85" s="49"/>
      <c r="AH85" s="87"/>
      <c r="AI85" s="87">
        <f>SUM(AI82:AI83)</f>
        <v>8319.8735050000032</v>
      </c>
      <c r="AJ85" s="87"/>
      <c r="AK85" s="87">
        <f>SUM(AK82:AK83)</f>
        <v>6823.3901500000038</v>
      </c>
      <c r="AL85" s="87"/>
      <c r="AM85" s="87">
        <f>SUM(AM82:AM83)</f>
        <v>-2968.1736630000087</v>
      </c>
      <c r="AN85" s="87"/>
      <c r="AO85" s="87">
        <f>SUM(AO82:AO83)</f>
        <v>12644.214039999983</v>
      </c>
      <c r="AP85" s="49"/>
      <c r="AQ85" s="87"/>
      <c r="AR85" s="87">
        <f>SUM(AR82:AR83)</f>
        <v>28752.220504999972</v>
      </c>
      <c r="AS85" s="87"/>
      <c r="AT85" s="87">
        <f>SUM(AT82:AT83)</f>
        <v>35556.194247891763</v>
      </c>
      <c r="AU85" s="87"/>
      <c r="AV85" s="87">
        <f>SUM(AV82:AV83)</f>
        <v>48114.861875596325</v>
      </c>
      <c r="AW85" s="87"/>
      <c r="AX85" s="87">
        <f>SUM(AX82:AX83)</f>
        <v>120765.27000568405</v>
      </c>
      <c r="AY85" s="178">
        <f>AX85/AV85-1</f>
        <v>1.5099369570659777</v>
      </c>
      <c r="AZ85" s="49"/>
      <c r="BA85" s="87"/>
      <c r="BB85" s="87">
        <f>SUM(BB82:BB83)</f>
        <v>-127.44330380000001</v>
      </c>
      <c r="BC85" s="87"/>
      <c r="BD85" s="87">
        <f>SUM(BD82:BD83)</f>
        <v>-9208.2903225509763</v>
      </c>
      <c r="BE85" s="87"/>
      <c r="BF85" s="87">
        <f>SUM(BF82:BF83)</f>
        <v>-17087.866039277971</v>
      </c>
      <c r="BG85" s="87"/>
      <c r="BH85" s="87">
        <f>SUM(BH82:BH83)</f>
        <v>-18512.970457294978</v>
      </c>
    </row>
    <row r="86" spans="2:60" x14ac:dyDescent="0.3">
      <c r="C86" s="36" t="s">
        <v>8</v>
      </c>
      <c r="E86" s="38"/>
      <c r="F86" s="38">
        <f>VLOOKUP($C86,Segment!$W$229:$AB$300,6,0)/1000</f>
        <v>-9396.9522945642148</v>
      </c>
      <c r="G86" s="38"/>
      <c r="H86" s="38">
        <f>VLOOKUP($C86,Segment!$W$306:$AB$377,6,0)/1000</f>
        <v>-10625.779426769892</v>
      </c>
      <c r="I86" s="38"/>
      <c r="J86" s="38">
        <f>VLOOKUP($C86,Segment!$W$383:$AB$454,6,0)/1000</f>
        <v>-14518.249868123035</v>
      </c>
      <c r="K86" s="38"/>
      <c r="L86" s="38">
        <f>VLOOKUP($C86,Segment!$W$460:$AB$531,6,0)/1000</f>
        <v>-31213.404491181725</v>
      </c>
      <c r="M86" s="132">
        <f>L86/J86-1</f>
        <v>1.1499426428605126</v>
      </c>
      <c r="O86" s="38"/>
      <c r="P86" s="38">
        <f>VLOOKUP($C86,Segment!$W$229:$AB$300,2,0)/1000</f>
        <v>-4263.5341905642163</v>
      </c>
      <c r="Q86" s="38"/>
      <c r="R86" s="38">
        <f>VLOOKUP($C86,Segment!$W$306:$AB$377,2,0)/1000</f>
        <v>-4477.1928953738916</v>
      </c>
      <c r="S86" s="38"/>
      <c r="T86" s="38">
        <f>VLOOKUP($C86,Segment!$W$383:$AB$454,2,0)/1000</f>
        <v>-4611.7751536510368</v>
      </c>
      <c r="U86" s="38"/>
      <c r="V86" s="38">
        <f>VLOOKUP($C86,Segment!$W$460:$AB$531,2,0)/1000</f>
        <v>-7763.6903099377232</v>
      </c>
      <c r="W86" s="132">
        <f>V86/T86-1</f>
        <v>0.68344944219394299</v>
      </c>
      <c r="Y86" s="38"/>
      <c r="Z86" s="38">
        <f>VLOOKUP($C86,Segment!$W$229:$AB$300,3,0)/1000</f>
        <v>-3470.643403</v>
      </c>
      <c r="AA86" s="38"/>
      <c r="AB86" s="38">
        <f>VLOOKUP($C86,Segment!$W$306:$AB$377,3,0)/1000</f>
        <v>-4916.4898039999998</v>
      </c>
      <c r="AC86" s="38"/>
      <c r="AD86" s="38">
        <f>VLOOKUP($C86,Segment!$W$383:$AB$454,3,0)/1000</f>
        <v>-10498.3632512</v>
      </c>
      <c r="AE86" s="38"/>
      <c r="AF86" s="38">
        <f>VLOOKUP($C86,Segment!$W$460:$AB$531,3,0)/1000</f>
        <v>-20909.279669300002</v>
      </c>
      <c r="AH86" s="38"/>
      <c r="AI86" s="38">
        <f>VLOOKUP($C86,Segment!$W$229:$AB$300,4,0)/1000</f>
        <v>-1662.7747009999994</v>
      </c>
      <c r="AJ86" s="38"/>
      <c r="AK86" s="38">
        <f>VLOOKUP($C86,Segment!$W$306:$AB$377,4,0)/1000</f>
        <v>-1230.1081180000006</v>
      </c>
      <c r="AL86" s="38"/>
      <c r="AM86" s="38">
        <f>VLOOKUP($C86,Segment!$W$383:$AB$454,4,0)/1000</f>
        <v>593.63473260000205</v>
      </c>
      <c r="AN86" s="38"/>
      <c r="AO86" s="38">
        <f>VLOOKUP($C86,Segment!$W$460:$AB$531,4,0)/1000</f>
        <v>-2538.7980819999971</v>
      </c>
      <c r="AQ86" s="38"/>
      <c r="AR86" s="38">
        <f>Z86+AI86</f>
        <v>-5133.4181039999994</v>
      </c>
      <c r="AS86" s="38"/>
      <c r="AT86" s="38">
        <f>AB86+AK86</f>
        <v>-6146.5979220000008</v>
      </c>
      <c r="AU86" s="38"/>
      <c r="AV86" s="38">
        <f>AD86+AM86</f>
        <v>-9904.728518599999</v>
      </c>
      <c r="AW86" s="38"/>
      <c r="AX86" s="38">
        <f>AF86+AO86</f>
        <v>-23448.077751299999</v>
      </c>
      <c r="AY86" s="132">
        <f>AX86/AV86-1</f>
        <v>1.367361983447307</v>
      </c>
      <c r="BA86" s="38"/>
      <c r="BB86" s="38">
        <f>VLOOKUP($C86,Segment!$W$229:$AB$300,5,0)/1000</f>
        <v>0</v>
      </c>
      <c r="BC86" s="38"/>
      <c r="BD86" s="38">
        <f>VLOOKUP($C86,Segment!$W$306:$AB$377,5,0)/1000</f>
        <v>-1.9886093959997804</v>
      </c>
      <c r="BE86" s="38"/>
      <c r="BF86" s="38">
        <f>VLOOKUP($C86,Segment!$W$383:$AB$454,5,0)/1000</f>
        <v>-1.7461958719998072</v>
      </c>
      <c r="BG86" s="38"/>
      <c r="BH86" s="38">
        <f>VLOOKUP($C86,Segment!$W$460:$AB$531,5,0)/1000</f>
        <v>-1.6364299439998193</v>
      </c>
    </row>
    <row r="87" spans="2:60" x14ac:dyDescent="0.3">
      <c r="C87" s="39" t="s">
        <v>66</v>
      </c>
      <c r="D87" s="109"/>
      <c r="E87" s="40"/>
      <c r="F87" s="40">
        <f>-F86/F85</f>
        <v>4.1258860326216847E-2</v>
      </c>
      <c r="G87" s="40"/>
      <c r="H87" s="40">
        <f>-H86/H85</f>
        <v>3.9567303460221644E-2</v>
      </c>
      <c r="I87" s="40"/>
      <c r="J87" s="40">
        <f>-J86/J85</f>
        <v>4.5044589049130113E-2</v>
      </c>
      <c r="K87" s="40"/>
      <c r="L87" s="40">
        <f>-L86/L85</f>
        <v>0.14279749402767949</v>
      </c>
      <c r="M87" s="169"/>
      <c r="O87" s="40"/>
      <c r="P87" s="40">
        <f>-P86/P85</f>
        <v>2.1410725973850266E-2</v>
      </c>
      <c r="Q87" s="40"/>
      <c r="R87" s="40">
        <f>-R86/R85</f>
        <v>1.8485351981696159E-2</v>
      </c>
      <c r="S87" s="40"/>
      <c r="T87" s="40">
        <f>-T86/T85</f>
        <v>1.5832713380149067E-2</v>
      </c>
      <c r="U87" s="40"/>
      <c r="V87" s="40">
        <f>-V86/V85</f>
        <v>6.6737076058374603E-2</v>
      </c>
      <c r="W87" s="169"/>
      <c r="Y87" s="40"/>
      <c r="Z87" s="40">
        <f>-Z86/Z85</f>
        <v>0.16986024185082643</v>
      </c>
      <c r="AA87" s="40"/>
      <c r="AB87" s="40">
        <f>-AB86/AB85</f>
        <v>0.1711106854468388</v>
      </c>
      <c r="AC87" s="40"/>
      <c r="AD87" s="40">
        <f>-AD86/AD85</f>
        <v>0.20551564997087626</v>
      </c>
      <c r="AE87" s="40"/>
      <c r="AF87" s="40">
        <f>-AF86/AF85</f>
        <v>0.19338767534730958</v>
      </c>
      <c r="AH87" s="40"/>
      <c r="AI87" s="40">
        <f>-AI86/AI85</f>
        <v>0.19985576703789065</v>
      </c>
      <c r="AJ87" s="40"/>
      <c r="AK87" s="40">
        <f>-AK86/AK85</f>
        <v>0.18027814487494898</v>
      </c>
      <c r="AL87" s="40"/>
      <c r="AM87" s="40">
        <f>-AM86/AM85</f>
        <v>0.20000000000000009</v>
      </c>
      <c r="AN87" s="40"/>
      <c r="AO87" s="40">
        <f>-AO86/AO85</f>
        <v>0.20078733830102108</v>
      </c>
      <c r="AQ87" s="40"/>
      <c r="AR87" s="40">
        <f>-AR86/AR85</f>
        <v>0.17853988366245679</v>
      </c>
      <c r="AS87" s="40"/>
      <c r="AT87" s="40">
        <f>-AT86/AT85</f>
        <v>0.1728699612547665</v>
      </c>
      <c r="AU87" s="40"/>
      <c r="AV87" s="40">
        <f>-AV86/AV85</f>
        <v>0.20585590673021634</v>
      </c>
      <c r="AW87" s="40"/>
      <c r="AX87" s="40">
        <f>-AX86/AX85</f>
        <v>0.19416242558971109</v>
      </c>
      <c r="AY87" s="169"/>
      <c r="BA87" s="40"/>
      <c r="BB87" s="40">
        <f>-BB86/BB85</f>
        <v>0</v>
      </c>
      <c r="BC87" s="40"/>
      <c r="BD87" s="40">
        <f>-BD86/BD85</f>
        <v>-2.1595859017712585E-4</v>
      </c>
      <c r="BE87" s="40"/>
      <c r="BF87" s="40">
        <f>-BF86/BF85</f>
        <v>-1.0218922994749734E-4</v>
      </c>
      <c r="BG87" s="40"/>
      <c r="BH87" s="40">
        <f>-BH86/BH85</f>
        <v>-8.8393699313390811E-5</v>
      </c>
    </row>
    <row r="88" spans="2:60" s="45" customFormat="1" x14ac:dyDescent="0.3">
      <c r="C88" s="86" t="s">
        <v>9</v>
      </c>
      <c r="D88" s="118"/>
      <c r="E88" s="87"/>
      <c r="F88" s="87">
        <f>SUM(F85:F86)</f>
        <v>218359.03079043562</v>
      </c>
      <c r="G88" s="87"/>
      <c r="H88" s="87">
        <f>SUM(H85:H86)</f>
        <v>257923.71719112195</v>
      </c>
      <c r="I88" s="87"/>
      <c r="J88" s="87">
        <f>SUM(J85:J86)</f>
        <v>307790.15996747313</v>
      </c>
      <c r="K88" s="87"/>
      <c r="L88" s="87">
        <f>SUM(L85:L86)</f>
        <v>187371.69536450203</v>
      </c>
      <c r="M88" s="178">
        <f>L88/J88-1</f>
        <v>-0.39123558925891844</v>
      </c>
      <c r="O88" s="87"/>
      <c r="P88" s="87">
        <f>SUM(P85:P86)</f>
        <v>194867.22838943577</v>
      </c>
      <c r="Q88" s="87"/>
      <c r="R88" s="87">
        <f>SUM(R85:R86)</f>
        <v>237725.00589462603</v>
      </c>
      <c r="S88" s="87"/>
      <c r="T88" s="87">
        <f>SUM(T85:T86)</f>
        <v>286669.63965634891</v>
      </c>
      <c r="U88" s="87"/>
      <c r="V88" s="87">
        <f>SUM(V85:V86)</f>
        <v>108568.80084006203</v>
      </c>
      <c r="W88" s="178">
        <f>V88/T88-1</f>
        <v>-0.62127555268771717</v>
      </c>
      <c r="X88" s="145"/>
      <c r="Y88" s="87"/>
      <c r="Z88" s="87">
        <f>SUM(Z85:Z86)</f>
        <v>16961.703596999956</v>
      </c>
      <c r="AA88" s="87"/>
      <c r="AB88" s="87">
        <f>SUM(AB85:AB86)</f>
        <v>23816.31429389177</v>
      </c>
      <c r="AC88" s="87"/>
      <c r="AD88" s="87">
        <f>SUM(AD85:AD86)</f>
        <v>40584.672287396344</v>
      </c>
      <c r="AE88" s="87"/>
      <c r="AF88" s="87">
        <f>SUM(AF85:AF86)</f>
        <v>87211.77629638408</v>
      </c>
      <c r="AG88" s="49"/>
      <c r="AH88" s="87"/>
      <c r="AI88" s="87">
        <f>SUM(AI85:AI86)</f>
        <v>6657.0988040000038</v>
      </c>
      <c r="AJ88" s="87"/>
      <c r="AK88" s="87">
        <f>SUM(AK85:AK86)</f>
        <v>5593.2820320000028</v>
      </c>
      <c r="AL88" s="87"/>
      <c r="AM88" s="87">
        <f>SUM(AM85:AM86)</f>
        <v>-2374.5389304000064</v>
      </c>
      <c r="AN88" s="87"/>
      <c r="AO88" s="87">
        <f>SUM(AO85:AO86)</f>
        <v>10105.415957999985</v>
      </c>
      <c r="AP88" s="49"/>
      <c r="AQ88" s="87"/>
      <c r="AR88" s="87">
        <f>SUM(AR85:AR86)</f>
        <v>23618.802400999972</v>
      </c>
      <c r="AS88" s="87"/>
      <c r="AT88" s="87">
        <f>SUM(AT85:AT86)</f>
        <v>29409.596325891762</v>
      </c>
      <c r="AU88" s="87"/>
      <c r="AV88" s="87">
        <f>SUM(AV85:AV86)</f>
        <v>38210.133356996324</v>
      </c>
      <c r="AW88" s="87"/>
      <c r="AX88" s="87">
        <f>SUM(AX85:AX86)</f>
        <v>97317.192254384048</v>
      </c>
      <c r="AY88" s="178">
        <f>AX88/AV88-1</f>
        <v>1.5468948601972139</v>
      </c>
      <c r="AZ88" s="49"/>
      <c r="BA88" s="87"/>
      <c r="BB88" s="87">
        <f>SUM(BB85:BB86)</f>
        <v>-127.44330380000001</v>
      </c>
      <c r="BC88" s="87"/>
      <c r="BD88" s="87">
        <f>SUM(BD85:BD86)</f>
        <v>-9210.2789319469757</v>
      </c>
      <c r="BE88" s="87"/>
      <c r="BF88" s="87">
        <f>SUM(BF85:BF86)</f>
        <v>-17089.612235149973</v>
      </c>
      <c r="BG88" s="87"/>
      <c r="BH88" s="87">
        <f>SUM(BH85:BH86)</f>
        <v>-18514.606887238977</v>
      </c>
    </row>
    <row r="89" spans="2:60" x14ac:dyDescent="0.3">
      <c r="C89" s="59" t="s">
        <v>51</v>
      </c>
      <c r="D89" s="119"/>
      <c r="E89" s="60"/>
      <c r="F89" s="60">
        <f>F88-Segment!AB300/1000</f>
        <v>0.44525098011945374</v>
      </c>
      <c r="G89" s="60"/>
      <c r="H89" s="60">
        <f>H88-Segment!AB377/1000</f>
        <v>-0.29656530899228528</v>
      </c>
      <c r="I89" s="60"/>
      <c r="J89" s="60">
        <f>J88-Segment!AB454/1000</f>
        <v>-0.19240044377511367</v>
      </c>
      <c r="K89" s="60"/>
      <c r="L89" s="60">
        <f>L88-Segment!AB531/1000</f>
        <v>0.21697098872391507</v>
      </c>
      <c r="M89" s="179"/>
      <c r="N89" s="59"/>
      <c r="O89" s="60"/>
      <c r="P89" s="60">
        <f>P88-Segment!X300/1000</f>
        <v>1.947180280694738E-3</v>
      </c>
      <c r="Q89" s="60"/>
      <c r="R89" s="60">
        <f>R88-Segment!X377/1000</f>
        <v>0.30953213988686912</v>
      </c>
      <c r="S89" s="60"/>
      <c r="T89" s="60">
        <f>T88-Segment!X454/1000</f>
        <v>-0.19158972165314481</v>
      </c>
      <c r="U89" s="60"/>
      <c r="V89" s="60">
        <f>V88-Segment!X531/1000</f>
        <v>-9.2186306341318414E-2</v>
      </c>
      <c r="W89" s="179"/>
      <c r="X89" s="59"/>
      <c r="Y89" s="60"/>
      <c r="Z89" s="60">
        <f>Z88-Segment!Y300/1000</f>
        <v>-4.3655745685100555E-11</v>
      </c>
      <c r="AA89" s="60"/>
      <c r="AB89" s="60">
        <f>AB88-Segment!Y377/1000</f>
        <v>-3.2741809263825417E-11</v>
      </c>
      <c r="AC89" s="60"/>
      <c r="AD89" s="60">
        <f>AD88-Segment!Y454/1000</f>
        <v>0</v>
      </c>
      <c r="AE89" s="60"/>
      <c r="AF89" s="60">
        <f>AF88-Segment!Y531/1000</f>
        <v>1.7462298274040222E-10</v>
      </c>
      <c r="AG89" s="59"/>
      <c r="AH89" s="60"/>
      <c r="AI89" s="60">
        <f>AI88-Segment!Z300/1000</f>
        <v>0</v>
      </c>
      <c r="AJ89" s="60"/>
      <c r="AK89" s="60">
        <f>AK88-Segment!Z377/1000</f>
        <v>0</v>
      </c>
      <c r="AL89" s="60"/>
      <c r="AM89" s="60">
        <f>AM88-Segment!Z454/1000</f>
        <v>4.5474735088646412E-12</v>
      </c>
      <c r="AN89" s="60"/>
      <c r="AO89" s="60">
        <f>AO88-Segment!Z531/1000</f>
        <v>0</v>
      </c>
      <c r="AP89" s="59"/>
      <c r="AQ89" s="60"/>
      <c r="AR89" s="60">
        <f>AR88-Z88-AI88</f>
        <v>1.1823431123048067E-11</v>
      </c>
      <c r="AS89" s="60"/>
      <c r="AT89" s="60">
        <f>AT88-AB88-AK88</f>
        <v>-1.0913936421275139E-11</v>
      </c>
      <c r="AU89" s="60"/>
      <c r="AV89" s="60">
        <f>AV88-AD88-AM88</f>
        <v>-1.3642420526593924E-11</v>
      </c>
      <c r="AW89" s="60"/>
      <c r="AX89" s="60">
        <f>AX88-AF88-AO88</f>
        <v>-1.6370904631912708E-11</v>
      </c>
      <c r="AY89" s="179"/>
      <c r="AZ89" s="59"/>
      <c r="BA89" s="60"/>
      <c r="BB89" s="60">
        <f>BB88-Segment!AA300/1000</f>
        <v>0</v>
      </c>
      <c r="BC89" s="60"/>
      <c r="BD89" s="60">
        <f>BD88-Segment!AA377/1000</f>
        <v>0</v>
      </c>
      <c r="BE89" s="60"/>
      <c r="BF89" s="60">
        <f>BF88-Segment!AA454/1000</f>
        <v>0</v>
      </c>
      <c r="BG89" s="60"/>
      <c r="BH89" s="60">
        <f>BH88-Segment!AA531/1000</f>
        <v>0</v>
      </c>
    </row>
    <row r="90" spans="2:60" x14ac:dyDescent="0.3">
      <c r="C90" s="39" t="s">
        <v>83</v>
      </c>
      <c r="D90" s="109"/>
      <c r="E90" s="40"/>
      <c r="F90" s="40">
        <f>F88/AVERAGE(E107:F107)*2</f>
        <v>0.20559349560364165</v>
      </c>
      <c r="G90" s="40"/>
      <c r="H90" s="40">
        <f>H88/AVERAGE(G107:H107)*2</f>
        <v>0.21976493640680153</v>
      </c>
      <c r="I90" s="40"/>
      <c r="J90" s="40">
        <f>J88/AVERAGE(I107:J107)*2</f>
        <v>0.24359571152697088</v>
      </c>
      <c r="K90" s="40"/>
      <c r="L90" s="40">
        <f>L88/AVERAGE(K107:L107)*2</f>
        <v>0.1262773951246558</v>
      </c>
      <c r="M90" s="169"/>
      <c r="O90" s="40"/>
      <c r="P90" s="40">
        <f>P88/AVERAGE(O108:P108)*2</f>
        <v>0.19901930982730953</v>
      </c>
      <c r="Q90" s="40"/>
      <c r="R90" s="40">
        <f>R88/AVERAGE(Q108:R108)*2</f>
        <v>0.22003266654461509</v>
      </c>
      <c r="S90" s="40"/>
      <c r="T90" s="40">
        <f>T88/AVERAGE(S108:T108)*2</f>
        <v>0.24803286282055709</v>
      </c>
      <c r="U90" s="40"/>
      <c r="V90" s="40">
        <f>V88/AVERAGE(U108:V108)*2</f>
        <v>8.187633712148383E-2</v>
      </c>
      <c r="W90" s="169"/>
      <c r="Y90" s="40"/>
      <c r="Z90" s="40">
        <f>Z88/AVERAGE(Y109:Z109)*2</f>
        <v>0.20447156653129464</v>
      </c>
      <c r="AA90" s="40"/>
      <c r="AB90" s="40">
        <f>AB88/AVERAGE(AA109:AB109)*2</f>
        <v>0.26066641919992822</v>
      </c>
      <c r="AC90" s="40"/>
      <c r="AD90" s="40">
        <f>AD88/AVERAGE(AC109:AD109)*2</f>
        <v>0.38779967704237989</v>
      </c>
      <c r="AE90" s="40"/>
      <c r="AF90" s="40">
        <f>AF88/AVERAGE(AE109:AF109)*2</f>
        <v>0.58520327391706239</v>
      </c>
      <c r="AH90" s="40"/>
      <c r="AI90" s="40"/>
      <c r="AJ90" s="40"/>
      <c r="AK90" s="40"/>
      <c r="AL90" s="40"/>
      <c r="AM90" s="40">
        <f>AM88/AVERAGE(AL110:AM110)*2</f>
        <v>-0.76545406048742781</v>
      </c>
      <c r="AN90" s="40"/>
      <c r="AO90" s="40">
        <f>AO88/AVERAGE(AN110:AO110)*2</f>
        <v>1.151930546402556</v>
      </c>
      <c r="AQ90" s="40"/>
      <c r="AR90" s="40"/>
      <c r="AS90" s="40"/>
      <c r="AT90" s="40"/>
      <c r="AU90" s="40"/>
      <c r="AV90" s="40">
        <f>AV88/AVERAGE(SUM(AU109:AU110),SUM(AV109:AV110))*2</f>
        <v>0.35459920643744036</v>
      </c>
      <c r="AW90" s="40"/>
      <c r="AX90" s="40">
        <f>AX88/AVERAGE(SUM(AW109:AW110),SUM(AX109:AX110))*2</f>
        <v>0.61670924735406152</v>
      </c>
      <c r="AY90" s="169"/>
      <c r="BA90" s="40"/>
      <c r="BB90" s="40"/>
      <c r="BC90" s="40"/>
      <c r="BD90" s="40"/>
      <c r="BE90" s="40"/>
      <c r="BF90" s="40"/>
      <c r="BG90" s="40"/>
      <c r="BH90" s="40"/>
    </row>
    <row r="91" spans="2:60" x14ac:dyDescent="0.3">
      <c r="C91" s="39" t="s">
        <v>132</v>
      </c>
      <c r="D91" s="109"/>
      <c r="E91" s="40"/>
      <c r="F91" s="40">
        <f>F88/F112*2</f>
        <v>0.21329685340467905</v>
      </c>
      <c r="G91" s="40"/>
      <c r="H91" s="40">
        <f>H88/H112*2</f>
        <v>0.22281179142982771</v>
      </c>
      <c r="I91" s="40"/>
      <c r="J91" s="40">
        <f>J88/J112*2</f>
        <v>0.25327980664495808</v>
      </c>
      <c r="K91" s="40"/>
      <c r="L91" s="40">
        <f>L88/L112*2</f>
        <v>0.12698092566036645</v>
      </c>
      <c r="M91" s="169"/>
      <c r="O91" s="40"/>
      <c r="P91" s="40">
        <f>P88/P113*2</f>
        <v>0.20724908184103902</v>
      </c>
      <c r="Q91" s="40"/>
      <c r="R91" s="40">
        <f>R88/R113*2</f>
        <v>0.22430584512379506</v>
      </c>
      <c r="S91" s="40"/>
      <c r="T91" s="40">
        <f>T88/T113*2</f>
        <v>0.2592000982945421</v>
      </c>
      <c r="U91" s="40"/>
      <c r="V91" s="40">
        <f>V88/V113*2</f>
        <v>8.2301938290472235E-2</v>
      </c>
      <c r="W91" s="169"/>
      <c r="Y91" s="40"/>
      <c r="Z91" s="40">
        <f>Z88/Z114*2</f>
        <v>0.20319052646743091</v>
      </c>
      <c r="AA91" s="40"/>
      <c r="AB91" s="40">
        <f>AB88/AB114*2</f>
        <v>0.25582988783409777</v>
      </c>
      <c r="AC91" s="40"/>
      <c r="AD91" s="40">
        <f>AD88/AD114*2</f>
        <v>0.38157971864292056</v>
      </c>
      <c r="AE91" s="40"/>
      <c r="AF91" s="40">
        <f>AF88/AF114*2</f>
        <v>0.58988998306425122</v>
      </c>
      <c r="AH91" s="40"/>
      <c r="AI91" s="40"/>
      <c r="AJ91" s="40"/>
      <c r="AK91" s="40"/>
      <c r="AL91" s="40"/>
      <c r="AM91" s="40">
        <f>AM88/AM115*2</f>
        <v>-0.82444226150696687</v>
      </c>
      <c r="AN91" s="40"/>
      <c r="AO91" s="40">
        <f>AO88/AO115*2</f>
        <v>1.1760404008647412</v>
      </c>
      <c r="AQ91" s="40"/>
      <c r="AR91" s="40"/>
      <c r="AS91" s="40"/>
      <c r="AT91" s="40">
        <f>AT88/SUM(AT114:AT115)*2</f>
        <v>0.30083374194385742</v>
      </c>
      <c r="AU91" s="40"/>
      <c r="AV91" s="40">
        <f>AV88/SUM(AV114:AV115)*2</f>
        <v>0.34978218709724945</v>
      </c>
      <c r="AW91" s="40"/>
      <c r="AX91" s="40">
        <f>AX88/SUM(AX114:AX115)*2</f>
        <v>0.62208597984198255</v>
      </c>
      <c r="AY91" s="169"/>
      <c r="BA91" s="40"/>
      <c r="BB91" s="40"/>
      <c r="BC91" s="40"/>
      <c r="BD91" s="40"/>
      <c r="BE91" s="40"/>
      <c r="BF91" s="40"/>
      <c r="BG91" s="40"/>
      <c r="BH91" s="40"/>
    </row>
    <row r="92" spans="2:60" x14ac:dyDescent="0.3">
      <c r="C92" s="39" t="s">
        <v>84</v>
      </c>
      <c r="D92" s="109"/>
      <c r="E92" s="40"/>
      <c r="F92" s="40"/>
      <c r="G92" s="40"/>
      <c r="H92" s="40"/>
      <c r="I92" s="40"/>
      <c r="J92" s="40"/>
      <c r="K92" s="40"/>
      <c r="L92" s="40"/>
      <c r="M92" s="169"/>
      <c r="O92" s="40"/>
      <c r="P92" s="40">
        <f>P85/AVERAGE(O130:P130)*2</f>
        <v>4.7715471590023976E-2</v>
      </c>
      <c r="Q92" s="40"/>
      <c r="R92" s="40">
        <f>R85/AVERAGE(Q130:R130)*2</f>
        <v>4.268800367978666E-2</v>
      </c>
      <c r="S92" s="40"/>
      <c r="T92" s="40">
        <f>T85/AVERAGE(S130:T130)*2</f>
        <v>3.5339221775188161E-2</v>
      </c>
      <c r="U92" s="40"/>
      <c r="V92" s="40">
        <f>V85/AVERAGE(U130:V130)*2</f>
        <v>1.1209424741741823E-2</v>
      </c>
      <c r="W92" s="169"/>
      <c r="Y92" s="40"/>
      <c r="Z92" s="40"/>
      <c r="AA92" s="40"/>
      <c r="AB92" s="40"/>
      <c r="AC92" s="40"/>
      <c r="AD92" s="40"/>
      <c r="AE92" s="40"/>
      <c r="AF92" s="40"/>
      <c r="AH92" s="40"/>
      <c r="AI92" s="40"/>
      <c r="AJ92" s="40"/>
      <c r="AK92" s="40"/>
      <c r="AL92" s="40"/>
      <c r="AM92" s="40"/>
      <c r="AN92" s="40"/>
      <c r="AO92" s="40"/>
      <c r="AQ92" s="40"/>
      <c r="AR92" s="40"/>
      <c r="AS92" s="40"/>
      <c r="AT92" s="40"/>
      <c r="AU92" s="40"/>
      <c r="AV92" s="40"/>
      <c r="AW92" s="40"/>
      <c r="AX92" s="40"/>
      <c r="AY92" s="169"/>
      <c r="BA92" s="40"/>
      <c r="BB92" s="40"/>
      <c r="BC92" s="40"/>
      <c r="BD92" s="40"/>
      <c r="BE92" s="40"/>
      <c r="BF92" s="40"/>
      <c r="BG92" s="40"/>
      <c r="BH92" s="40"/>
    </row>
    <row r="93" spans="2:60" x14ac:dyDescent="0.3">
      <c r="C93" s="45"/>
      <c r="D93" s="112"/>
      <c r="E93" s="62"/>
      <c r="F93" s="62"/>
      <c r="G93" s="62"/>
      <c r="H93" s="62"/>
      <c r="I93" s="62"/>
      <c r="J93" s="62"/>
      <c r="K93" s="62"/>
      <c r="L93" s="62"/>
      <c r="M93" s="131"/>
      <c r="O93" s="62"/>
      <c r="P93" s="62"/>
      <c r="Q93" s="62"/>
      <c r="R93" s="62"/>
      <c r="S93" s="62"/>
      <c r="T93" s="62"/>
      <c r="U93" s="62"/>
      <c r="V93" s="62"/>
      <c r="W93" s="131"/>
      <c r="Y93" s="62"/>
      <c r="Z93" s="62"/>
      <c r="AA93" s="62"/>
      <c r="AB93" s="62"/>
      <c r="AC93" s="62"/>
      <c r="AD93" s="62"/>
      <c r="AE93" s="62"/>
      <c r="AF93" s="62"/>
      <c r="AH93" s="62"/>
      <c r="AI93" s="62"/>
      <c r="AJ93" s="62"/>
      <c r="AK93" s="62"/>
      <c r="AL93" s="62"/>
      <c r="AM93" s="62"/>
      <c r="AN93" s="62"/>
      <c r="AO93" s="62"/>
      <c r="AQ93" s="62"/>
      <c r="AR93" s="62"/>
      <c r="AS93" s="62"/>
      <c r="AT93" s="62"/>
      <c r="AU93" s="62"/>
      <c r="AV93" s="62"/>
      <c r="AW93" s="62"/>
      <c r="AX93" s="62"/>
      <c r="AY93" s="131"/>
      <c r="BA93" s="62"/>
      <c r="BB93" s="62"/>
      <c r="BC93" s="62"/>
      <c r="BD93" s="62"/>
      <c r="BE93" s="62"/>
      <c r="BF93" s="62"/>
      <c r="BG93" s="62"/>
      <c r="BH93" s="62"/>
    </row>
    <row r="94" spans="2:60" s="32" customFormat="1" x14ac:dyDescent="0.3">
      <c r="B94" s="29"/>
      <c r="C94" s="30" t="s">
        <v>171</v>
      </c>
      <c r="D94" s="30"/>
      <c r="E94" s="31"/>
      <c r="F94" s="31"/>
      <c r="G94" s="31"/>
      <c r="H94" s="31"/>
      <c r="I94" s="31"/>
      <c r="J94" s="31"/>
      <c r="K94" s="31"/>
      <c r="L94" s="31"/>
      <c r="M94" s="180"/>
      <c r="O94" s="31"/>
      <c r="P94" s="31"/>
      <c r="Q94" s="31"/>
      <c r="R94" s="31"/>
      <c r="S94" s="31"/>
      <c r="T94" s="31"/>
      <c r="U94" s="31"/>
      <c r="V94" s="31"/>
      <c r="W94" s="180"/>
      <c r="Y94" s="31"/>
      <c r="Z94" s="31"/>
      <c r="AA94" s="31"/>
      <c r="AB94" s="31"/>
      <c r="AC94" s="31"/>
      <c r="AD94" s="31"/>
      <c r="AE94" s="31"/>
      <c r="AF94" s="31"/>
      <c r="AG94" s="36"/>
      <c r="AH94" s="31"/>
      <c r="AI94" s="31"/>
      <c r="AJ94" s="31"/>
      <c r="AK94" s="31"/>
      <c r="AL94" s="31"/>
      <c r="AM94" s="31"/>
      <c r="AN94" s="31"/>
      <c r="AO94" s="31"/>
      <c r="AP94" s="36"/>
      <c r="AQ94" s="31"/>
      <c r="AR94" s="31"/>
      <c r="AS94" s="31"/>
      <c r="AT94" s="31"/>
      <c r="AU94" s="31"/>
      <c r="AV94" s="31"/>
      <c r="AW94" s="31"/>
      <c r="AX94" s="31"/>
      <c r="AY94" s="180"/>
      <c r="BA94" s="31"/>
      <c r="BB94" s="31"/>
      <c r="BC94" s="31"/>
      <c r="BD94" s="31"/>
      <c r="BE94" s="31"/>
      <c r="BF94" s="31"/>
      <c r="BG94" s="31"/>
      <c r="BH94" s="31"/>
    </row>
    <row r="95" spans="2:60" s="35" customFormat="1" x14ac:dyDescent="0.3">
      <c r="B95" s="33"/>
      <c r="C95" s="63" t="s">
        <v>172</v>
      </c>
      <c r="D95" s="63"/>
      <c r="E95" s="150">
        <f>E88</f>
        <v>0</v>
      </c>
      <c r="F95" s="150">
        <f>F88</f>
        <v>218359.03079043562</v>
      </c>
      <c r="G95" s="150">
        <f>G88</f>
        <v>0</v>
      </c>
      <c r="H95" s="150">
        <f>H88</f>
        <v>257923.71719112195</v>
      </c>
      <c r="I95" s="150"/>
      <c r="J95" s="150">
        <f>J88</f>
        <v>307790.15996747313</v>
      </c>
      <c r="K95" s="150"/>
      <c r="L95" s="150">
        <f>L88</f>
        <v>187371.69536450203</v>
      </c>
      <c r="M95" s="168">
        <f>L95/J95-1</f>
        <v>-0.39123558925891844</v>
      </c>
      <c r="O95" s="34"/>
      <c r="P95" s="34"/>
      <c r="Q95" s="34"/>
      <c r="R95" s="34"/>
      <c r="S95" s="34"/>
      <c r="T95" s="34"/>
      <c r="U95" s="34"/>
      <c r="V95" s="34"/>
      <c r="W95" s="168"/>
      <c r="Y95" s="34"/>
      <c r="Z95" s="34"/>
      <c r="AA95" s="34"/>
      <c r="AB95" s="34"/>
      <c r="AC95" s="34"/>
      <c r="AD95" s="34"/>
      <c r="AE95" s="34"/>
      <c r="AF95" s="34"/>
      <c r="AG95" s="205"/>
      <c r="AH95" s="34"/>
      <c r="AI95" s="34"/>
      <c r="AJ95" s="34"/>
      <c r="AK95" s="34"/>
      <c r="AL95" s="34"/>
      <c r="AM95" s="34"/>
      <c r="AN95" s="34"/>
      <c r="AO95" s="34"/>
      <c r="AP95" s="205"/>
      <c r="AQ95" s="34"/>
      <c r="AR95" s="34"/>
      <c r="AS95" s="34"/>
      <c r="AT95" s="34"/>
      <c r="AU95" s="34"/>
      <c r="AV95" s="34"/>
      <c r="AW95" s="34"/>
      <c r="AX95" s="34"/>
      <c r="AY95" s="168"/>
      <c r="BA95" s="34"/>
      <c r="BB95" s="34"/>
      <c r="BC95" s="34"/>
      <c r="BD95" s="34"/>
      <c r="BE95" s="34"/>
      <c r="BF95" s="34"/>
      <c r="BG95" s="34"/>
      <c r="BH95" s="34"/>
    </row>
    <row r="96" spans="2:60" s="64" customFormat="1" x14ac:dyDescent="0.3">
      <c r="C96" s="65" t="str">
        <f>'Quarterly I.S'!C96</f>
        <v>Net effect of new Rent standard</v>
      </c>
      <c r="D96" s="77"/>
      <c r="E96" s="70"/>
      <c r="F96" s="70">
        <f>SUM('Quarterly I.S'!G96:H96)</f>
        <v>3670.9715449802784</v>
      </c>
      <c r="G96" s="70"/>
      <c r="H96" s="70">
        <f>SUM('Quarterly I.S'!K96:L96)</f>
        <v>14932.975124778843</v>
      </c>
      <c r="I96" s="70"/>
      <c r="J96" s="70">
        <f>SUM('Quarterly I.S'!O96:P96)</f>
        <v>22743.044000000002</v>
      </c>
      <c r="K96" s="70"/>
      <c r="L96" s="70">
        <f>SUM('Quarterly I.S'!S96:T96)</f>
        <v>12350</v>
      </c>
      <c r="M96" s="181"/>
      <c r="O96" s="67"/>
      <c r="P96" s="67"/>
      <c r="Q96" s="67"/>
      <c r="R96" s="67"/>
      <c r="S96" s="67"/>
      <c r="T96" s="67"/>
      <c r="U96" s="67"/>
      <c r="V96" s="67"/>
      <c r="W96" s="181"/>
      <c r="Y96" s="67"/>
      <c r="Z96" s="67"/>
      <c r="AA96" s="67"/>
      <c r="AB96" s="67"/>
      <c r="AC96" s="67"/>
      <c r="AD96" s="67"/>
      <c r="AE96" s="67"/>
      <c r="AF96" s="67"/>
      <c r="AH96" s="67"/>
      <c r="AI96" s="67"/>
      <c r="AJ96" s="67"/>
      <c r="AK96" s="67"/>
      <c r="AL96" s="67"/>
      <c r="AM96" s="67"/>
      <c r="AN96" s="67"/>
      <c r="AO96" s="67"/>
      <c r="AQ96" s="67"/>
      <c r="AR96" s="67"/>
      <c r="AS96" s="67"/>
      <c r="AT96" s="67"/>
      <c r="AU96" s="67"/>
      <c r="AV96" s="67"/>
      <c r="AW96" s="67"/>
      <c r="AX96" s="67"/>
      <c r="AY96" s="181"/>
      <c r="BA96" s="67"/>
      <c r="BB96" s="67"/>
      <c r="BC96" s="67"/>
      <c r="BD96" s="67"/>
      <c r="BE96" s="67"/>
      <c r="BF96" s="67"/>
      <c r="BG96" s="67"/>
      <c r="BH96" s="67"/>
    </row>
    <row r="97" spans="2:60" s="64" customFormat="1" x14ac:dyDescent="0.3">
      <c r="C97" s="65" t="str">
        <f>'Quarterly I.S'!C97</f>
        <v>Non-recurring sale of assets post tax</v>
      </c>
      <c r="D97" s="77"/>
      <c r="E97" s="70"/>
      <c r="F97" s="70">
        <f>SUM('Quarterly I.S'!G97:H97)</f>
        <v>0</v>
      </c>
      <c r="G97" s="70"/>
      <c r="H97" s="70">
        <f>SUM('Quarterly I.S'!K97:L97)</f>
        <v>0</v>
      </c>
      <c r="I97" s="70"/>
      <c r="J97" s="70">
        <f>SUM('Quarterly I.S'!O97:P97)</f>
        <v>0</v>
      </c>
      <c r="K97" s="70"/>
      <c r="L97" s="70">
        <f>SUM('Quarterly I.S'!S97:T97)</f>
        <v>0</v>
      </c>
      <c r="M97" s="181"/>
      <c r="O97" s="67"/>
      <c r="P97" s="67"/>
      <c r="Q97" s="67"/>
      <c r="R97" s="67"/>
      <c r="S97" s="67"/>
      <c r="T97" s="67"/>
      <c r="U97" s="67"/>
      <c r="V97" s="67"/>
      <c r="W97" s="181"/>
      <c r="Y97" s="67"/>
      <c r="Z97" s="67"/>
      <c r="AA97" s="67"/>
      <c r="AB97" s="67"/>
      <c r="AC97" s="67"/>
      <c r="AD97" s="67"/>
      <c r="AE97" s="67"/>
      <c r="AF97" s="67"/>
      <c r="AH97" s="67"/>
      <c r="AI97" s="67"/>
      <c r="AJ97" s="67"/>
      <c r="AK97" s="67"/>
      <c r="AL97" s="67"/>
      <c r="AM97" s="67"/>
      <c r="AN97" s="67"/>
      <c r="AO97" s="67"/>
      <c r="AQ97" s="67"/>
      <c r="AR97" s="67"/>
      <c r="AS97" s="67"/>
      <c r="AT97" s="67"/>
      <c r="AU97" s="67"/>
      <c r="AV97" s="67"/>
      <c r="AW97" s="67"/>
      <c r="AX97" s="67"/>
      <c r="AY97" s="181"/>
      <c r="BA97" s="67"/>
      <c r="BB97" s="67"/>
      <c r="BC97" s="67"/>
      <c r="BD97" s="67"/>
      <c r="BE97" s="67"/>
      <c r="BF97" s="67"/>
      <c r="BG97" s="67"/>
      <c r="BH97" s="67"/>
    </row>
    <row r="98" spans="2:60" s="64" customFormat="1" x14ac:dyDescent="0.3">
      <c r="C98" s="65" t="str">
        <f>'Quarterly I.S'!C98</f>
        <v>Tech Investments</v>
      </c>
      <c r="D98" s="77"/>
      <c r="E98" s="70"/>
      <c r="F98" s="70">
        <f>SUM('Quarterly I.S'!G98:H98)</f>
        <v>0</v>
      </c>
      <c r="G98" s="70"/>
      <c r="H98" s="70">
        <f>SUM('Quarterly I.S'!K98:L98)</f>
        <v>14669.902460000001</v>
      </c>
      <c r="I98" s="70"/>
      <c r="J98" s="70">
        <f>SUM('Quarterly I.S'!O98:P98)</f>
        <v>20022.527743277999</v>
      </c>
      <c r="K98" s="70"/>
      <c r="L98" s="70">
        <f>SUM('Quarterly I.S'!S98:T98)</f>
        <v>22362</v>
      </c>
      <c r="M98" s="181"/>
      <c r="O98" s="67"/>
      <c r="P98" s="67"/>
      <c r="Q98" s="67"/>
      <c r="R98" s="67"/>
      <c r="S98" s="67"/>
      <c r="T98" s="67"/>
      <c r="U98" s="67"/>
      <c r="V98" s="67"/>
      <c r="W98" s="181"/>
      <c r="Y98" s="67"/>
      <c r="Z98" s="67"/>
      <c r="AA98" s="67"/>
      <c r="AB98" s="67"/>
      <c r="AC98" s="67"/>
      <c r="AD98" s="67"/>
      <c r="AE98" s="67"/>
      <c r="AF98" s="67"/>
      <c r="AH98" s="67"/>
      <c r="AI98" s="67"/>
      <c r="AJ98" s="67"/>
      <c r="AK98" s="67"/>
      <c r="AL98" s="67"/>
      <c r="AM98" s="67"/>
      <c r="AN98" s="67"/>
      <c r="AO98" s="67"/>
      <c r="AQ98" s="67"/>
      <c r="AR98" s="67"/>
      <c r="AS98" s="67"/>
      <c r="AT98" s="67"/>
      <c r="AU98" s="67"/>
      <c r="AV98" s="67"/>
      <c r="AW98" s="67"/>
      <c r="AX98" s="67"/>
      <c r="AY98" s="181"/>
      <c r="BA98" s="67"/>
      <c r="BB98" s="67"/>
      <c r="BC98" s="67"/>
      <c r="BD98" s="67"/>
      <c r="BE98" s="67"/>
      <c r="BF98" s="67"/>
      <c r="BG98" s="67"/>
      <c r="BH98" s="67"/>
    </row>
    <row r="99" spans="2:60" s="64" customFormat="1" x14ac:dyDescent="0.3">
      <c r="C99" s="65" t="str">
        <f>'Quarterly I.S'!C99</f>
        <v>Non-recurring marketing expense</v>
      </c>
      <c r="D99" s="77"/>
      <c r="E99" s="70"/>
      <c r="F99" s="70"/>
      <c r="G99" s="70"/>
      <c r="H99" s="70"/>
      <c r="I99" s="70"/>
      <c r="J99" s="70">
        <f>SUM('Quarterly I.S'!O99:P99)</f>
        <v>4821.3848333333335</v>
      </c>
      <c r="K99" s="70"/>
      <c r="L99" s="70">
        <f>SUM('Quarterly I.S'!S99:T99)</f>
        <v>0</v>
      </c>
      <c r="M99" s="181"/>
      <c r="O99" s="67"/>
      <c r="P99" s="67"/>
      <c r="Q99" s="67"/>
      <c r="R99" s="67"/>
      <c r="S99" s="67"/>
      <c r="T99" s="67"/>
      <c r="U99" s="67"/>
      <c r="V99" s="67"/>
      <c r="W99" s="181"/>
      <c r="Y99" s="67"/>
      <c r="Z99" s="67"/>
      <c r="AA99" s="67"/>
      <c r="AB99" s="67"/>
      <c r="AC99" s="67"/>
      <c r="AD99" s="67"/>
      <c r="AE99" s="67"/>
      <c r="AF99" s="67"/>
      <c r="AH99" s="67"/>
      <c r="AI99" s="67"/>
      <c r="AJ99" s="67"/>
      <c r="AK99" s="67"/>
      <c r="AL99" s="67"/>
      <c r="AM99" s="67"/>
      <c r="AN99" s="67"/>
      <c r="AO99" s="67"/>
      <c r="AQ99" s="67"/>
      <c r="AR99" s="67"/>
      <c r="AS99" s="67"/>
      <c r="AT99" s="67"/>
      <c r="AU99" s="67"/>
      <c r="AV99" s="67"/>
      <c r="AW99" s="67"/>
      <c r="AX99" s="67"/>
      <c r="AY99" s="181"/>
      <c r="BA99" s="67"/>
      <c r="BB99" s="67"/>
      <c r="BC99" s="67"/>
      <c r="BD99" s="67"/>
      <c r="BE99" s="67"/>
      <c r="BF99" s="67"/>
      <c r="BG99" s="67"/>
      <c r="BH99" s="67"/>
    </row>
    <row r="100" spans="2:60" s="64" customFormat="1" x14ac:dyDescent="0.3">
      <c r="C100" s="65" t="str">
        <f>'Quarterly I.S'!C100</f>
        <v>ESOP</v>
      </c>
      <c r="D100" s="77"/>
      <c r="E100" s="70"/>
      <c r="F100" s="70"/>
      <c r="G100" s="70"/>
      <c r="H100" s="70"/>
      <c r="I100" s="70"/>
      <c r="J100" s="70">
        <f>SUM('Quarterly I.S'!O100:P100)</f>
        <v>0</v>
      </c>
      <c r="K100" s="70"/>
      <c r="L100" s="70">
        <f>SUM('Quarterly I.S'!S100:T100)</f>
        <v>1565</v>
      </c>
      <c r="M100" s="181"/>
      <c r="O100" s="67"/>
      <c r="P100" s="67"/>
      <c r="Q100" s="67"/>
      <c r="R100" s="67"/>
      <c r="S100" s="67"/>
      <c r="T100" s="67"/>
      <c r="U100" s="67"/>
      <c r="V100" s="67"/>
      <c r="W100" s="181"/>
      <c r="Y100" s="67"/>
      <c r="Z100" s="67"/>
      <c r="AA100" s="67"/>
      <c r="AB100" s="67"/>
      <c r="AC100" s="67"/>
      <c r="AD100" s="67"/>
      <c r="AE100" s="67"/>
      <c r="AF100" s="67"/>
      <c r="AH100" s="67"/>
      <c r="AI100" s="67"/>
      <c r="AJ100" s="67"/>
      <c r="AK100" s="67"/>
      <c r="AL100" s="67"/>
      <c r="AM100" s="67"/>
      <c r="AN100" s="67"/>
      <c r="AO100" s="67"/>
      <c r="AQ100" s="67"/>
      <c r="AR100" s="67"/>
      <c r="AS100" s="67"/>
      <c r="AT100" s="67"/>
      <c r="AU100" s="67"/>
      <c r="AV100" s="67"/>
      <c r="AW100" s="67"/>
      <c r="AX100" s="67"/>
      <c r="AY100" s="181"/>
      <c r="BA100" s="67"/>
      <c r="BB100" s="67"/>
      <c r="BC100" s="67"/>
      <c r="BD100" s="67"/>
      <c r="BE100" s="67"/>
      <c r="BF100" s="67"/>
      <c r="BG100" s="67"/>
      <c r="BH100" s="67"/>
    </row>
    <row r="101" spans="2:60" s="64" customFormat="1" x14ac:dyDescent="0.3">
      <c r="C101" s="65" t="str">
        <f>'Quarterly I.S'!C101</f>
        <v>Tax adjustments</v>
      </c>
      <c r="D101" s="77"/>
      <c r="E101" s="70"/>
      <c r="F101" s="70">
        <f>SUM('Quarterly I.S'!G101:H101)</f>
        <v>4798</v>
      </c>
      <c r="G101" s="70"/>
      <c r="H101" s="70">
        <f>SUM('Quarterly I.S'!K101:L101)</f>
        <v>9829</v>
      </c>
      <c r="I101" s="70"/>
      <c r="J101" s="70">
        <f>SUM('Quarterly I.S'!O101:P101)</f>
        <v>27986.925267106701</v>
      </c>
      <c r="K101" s="70"/>
      <c r="L101" s="70">
        <f>SUM('Quarterly I.S'!S101:T101)</f>
        <v>7612</v>
      </c>
      <c r="M101" s="181"/>
      <c r="O101" s="67"/>
      <c r="P101" s="67"/>
      <c r="Q101" s="67"/>
      <c r="R101" s="67"/>
      <c r="S101" s="67"/>
      <c r="T101" s="67"/>
      <c r="U101" s="67"/>
      <c r="V101" s="67"/>
      <c r="W101" s="181"/>
      <c r="Y101" s="67"/>
      <c r="Z101" s="67"/>
      <c r="AA101" s="67"/>
      <c r="AB101" s="67"/>
      <c r="AC101" s="67"/>
      <c r="AD101" s="67"/>
      <c r="AE101" s="67"/>
      <c r="AF101" s="67"/>
      <c r="AH101" s="67"/>
      <c r="AI101" s="67"/>
      <c r="AJ101" s="67"/>
      <c r="AK101" s="67"/>
      <c r="AL101" s="67"/>
      <c r="AM101" s="67"/>
      <c r="AN101" s="67"/>
      <c r="AO101" s="67"/>
      <c r="AQ101" s="67"/>
      <c r="AR101" s="67"/>
      <c r="AS101" s="67"/>
      <c r="AT101" s="67"/>
      <c r="AU101" s="67"/>
      <c r="AV101" s="67"/>
      <c r="AW101" s="67"/>
      <c r="AX101" s="67"/>
      <c r="AY101" s="181"/>
      <c r="BA101" s="67"/>
      <c r="BB101" s="67"/>
      <c r="BC101" s="67"/>
      <c r="BD101" s="67"/>
      <c r="BE101" s="67"/>
      <c r="BF101" s="67"/>
      <c r="BG101" s="67"/>
      <c r="BH101" s="67"/>
    </row>
    <row r="102" spans="2:60" s="64" customFormat="1" x14ac:dyDescent="0.3">
      <c r="C102" s="65" t="str">
        <f>'Quarterly I.S'!C102</f>
        <v>Special provision</v>
      </c>
      <c r="D102" s="77"/>
      <c r="E102" s="70"/>
      <c r="F102" s="70">
        <f>SUM('Quarterly I.S'!G102:H102)</f>
        <v>0</v>
      </c>
      <c r="G102" s="70"/>
      <c r="H102" s="70">
        <f>SUM('Quarterly I.S'!K102:L102)</f>
        <v>7000</v>
      </c>
      <c r="I102" s="70"/>
      <c r="J102" s="70">
        <f>SUM('Quarterly I.S'!O102:P102)</f>
        <v>1000</v>
      </c>
      <c r="K102" s="70"/>
      <c r="L102" s="70">
        <f>SUM('Quarterly I.S'!S102:T102)</f>
        <v>-14800</v>
      </c>
      <c r="M102" s="181"/>
      <c r="O102" s="67"/>
      <c r="P102" s="67"/>
      <c r="Q102" s="67"/>
      <c r="R102" s="67"/>
      <c r="S102" s="67"/>
      <c r="T102" s="67"/>
      <c r="U102" s="67"/>
      <c r="V102" s="67"/>
      <c r="W102" s="181"/>
      <c r="Y102" s="67"/>
      <c r="Z102" s="67"/>
      <c r="AA102" s="67"/>
      <c r="AB102" s="67"/>
      <c r="AC102" s="67"/>
      <c r="AD102" s="67"/>
      <c r="AE102" s="67"/>
      <c r="AF102" s="67"/>
      <c r="AH102" s="67"/>
      <c r="AI102" s="67"/>
      <c r="AJ102" s="67"/>
      <c r="AK102" s="67"/>
      <c r="AL102" s="67"/>
      <c r="AM102" s="67"/>
      <c r="AN102" s="67"/>
      <c r="AO102" s="67"/>
      <c r="AQ102" s="67"/>
      <c r="AR102" s="67"/>
      <c r="AS102" s="67"/>
      <c r="AT102" s="67"/>
      <c r="AU102" s="67"/>
      <c r="AV102" s="67"/>
      <c r="AW102" s="67"/>
      <c r="AX102" s="67"/>
      <c r="AY102" s="181"/>
      <c r="BA102" s="67"/>
      <c r="BB102" s="67"/>
      <c r="BC102" s="67"/>
      <c r="BD102" s="67"/>
      <c r="BE102" s="67"/>
      <c r="BF102" s="67"/>
      <c r="BG102" s="67"/>
      <c r="BH102" s="67"/>
    </row>
    <row r="103" spans="2:60" s="64" customFormat="1" ht="13.5" thickBot="1" x14ac:dyDescent="0.35">
      <c r="C103" s="151" t="s">
        <v>171</v>
      </c>
      <c r="D103" s="152"/>
      <c r="E103" s="154">
        <f>SUM(E95:E102)</f>
        <v>0</v>
      </c>
      <c r="F103" s="154">
        <f>SUM(F95:F102)</f>
        <v>226828.00233541589</v>
      </c>
      <c r="G103" s="154">
        <f>SUM(G95:G102)</f>
        <v>0</v>
      </c>
      <c r="H103" s="154">
        <f>SUM(H95:H102)</f>
        <v>304355.59477590083</v>
      </c>
      <c r="I103" s="154"/>
      <c r="J103" s="154">
        <f>SUM(J95:J102)</f>
        <v>384364.04181119113</v>
      </c>
      <c r="K103" s="154"/>
      <c r="L103" s="154">
        <f>SUM(L95:L102)</f>
        <v>216460.69536450203</v>
      </c>
      <c r="M103" s="175">
        <f>L103/J103-1</f>
        <v>-0.43683416808580466</v>
      </c>
      <c r="O103" s="67"/>
      <c r="P103" s="67"/>
      <c r="Q103" s="67"/>
      <c r="R103" s="67"/>
      <c r="S103" s="67"/>
      <c r="T103" s="67"/>
      <c r="U103" s="67"/>
      <c r="V103" s="67"/>
      <c r="W103" s="204"/>
      <c r="Y103" s="67"/>
      <c r="Z103" s="67"/>
      <c r="AA103" s="67"/>
      <c r="AB103" s="67"/>
      <c r="AC103" s="67"/>
      <c r="AD103" s="67"/>
      <c r="AE103" s="67"/>
      <c r="AF103" s="67"/>
      <c r="AH103" s="67"/>
      <c r="AI103" s="67"/>
      <c r="AJ103" s="67"/>
      <c r="AK103" s="67"/>
      <c r="AL103" s="67"/>
      <c r="AM103" s="67"/>
      <c r="AN103" s="67"/>
      <c r="AO103" s="67"/>
      <c r="AQ103" s="67"/>
      <c r="AR103" s="67"/>
      <c r="AS103" s="67"/>
      <c r="AT103" s="67"/>
      <c r="AU103" s="67"/>
      <c r="AV103" s="67"/>
      <c r="AW103" s="67"/>
      <c r="AX103" s="67"/>
      <c r="AY103" s="204"/>
      <c r="BA103" s="67"/>
      <c r="BB103" s="67"/>
      <c r="BC103" s="67"/>
      <c r="BD103" s="67"/>
      <c r="BE103" s="67"/>
      <c r="BF103" s="67"/>
      <c r="BG103" s="67"/>
      <c r="BH103" s="67"/>
    </row>
    <row r="104" spans="2:60" ht="13.5" thickTop="1" x14ac:dyDescent="0.3">
      <c r="C104" s="45"/>
      <c r="D104" s="112"/>
      <c r="E104" s="62"/>
      <c r="F104" s="62"/>
      <c r="G104" s="62"/>
      <c r="H104" s="62"/>
      <c r="I104" s="62"/>
      <c r="J104" s="62"/>
      <c r="K104" s="62"/>
      <c r="L104" s="62"/>
      <c r="M104" s="131"/>
      <c r="O104" s="62"/>
      <c r="P104" s="62"/>
      <c r="Q104" s="62"/>
      <c r="R104" s="62"/>
      <c r="S104" s="62"/>
      <c r="T104" s="62"/>
      <c r="U104" s="62"/>
      <c r="V104" s="62"/>
      <c r="W104" s="131"/>
      <c r="Y104" s="62"/>
      <c r="Z104" s="62"/>
      <c r="AA104" s="62"/>
      <c r="AB104" s="62"/>
      <c r="AC104" s="62"/>
      <c r="AD104" s="62"/>
      <c r="AE104" s="62"/>
      <c r="AF104" s="62"/>
      <c r="AH104" s="62"/>
      <c r="AI104" s="62"/>
      <c r="AJ104" s="62"/>
      <c r="AK104" s="62"/>
      <c r="AL104" s="62"/>
      <c r="AM104" s="62"/>
      <c r="AN104" s="62"/>
      <c r="AO104" s="62"/>
      <c r="AQ104" s="62"/>
      <c r="AR104" s="62"/>
      <c r="AS104" s="62"/>
      <c r="AT104" s="62"/>
      <c r="AU104" s="62"/>
      <c r="AV104" s="62"/>
      <c r="AW104" s="62"/>
      <c r="AX104" s="62"/>
      <c r="AY104" s="131"/>
      <c r="BA104" s="62"/>
      <c r="BB104" s="62"/>
      <c r="BC104" s="62"/>
      <c r="BD104" s="62"/>
      <c r="BE104" s="62"/>
      <c r="BF104" s="62"/>
      <c r="BG104" s="62"/>
      <c r="BH104" s="62"/>
    </row>
    <row r="105" spans="2:60" s="32" customFormat="1" x14ac:dyDescent="0.3">
      <c r="B105" s="29"/>
      <c r="C105" s="30" t="s">
        <v>102</v>
      </c>
      <c r="D105" s="30"/>
      <c r="E105" s="31"/>
      <c r="F105" s="31"/>
      <c r="G105" s="31"/>
      <c r="H105" s="31"/>
      <c r="I105" s="31"/>
      <c r="J105" s="31"/>
      <c r="K105" s="31"/>
      <c r="L105" s="31"/>
      <c r="M105" s="180"/>
      <c r="O105" s="31"/>
      <c r="P105" s="31"/>
      <c r="Q105" s="31"/>
      <c r="R105" s="31"/>
      <c r="S105" s="31"/>
      <c r="T105" s="31"/>
      <c r="U105" s="31"/>
      <c r="V105" s="31"/>
      <c r="W105" s="180"/>
      <c r="Y105" s="31"/>
      <c r="Z105" s="31"/>
      <c r="AA105" s="31"/>
      <c r="AB105" s="31"/>
      <c r="AC105" s="31"/>
      <c r="AD105" s="31"/>
      <c r="AE105" s="31"/>
      <c r="AF105" s="31"/>
      <c r="AG105" s="36"/>
      <c r="AH105" s="31"/>
      <c r="AI105" s="31"/>
      <c r="AJ105" s="31"/>
      <c r="AK105" s="31"/>
      <c r="AL105" s="31"/>
      <c r="AM105" s="31"/>
      <c r="AN105" s="31"/>
      <c r="AO105" s="31"/>
      <c r="AP105" s="36"/>
      <c r="AQ105" s="31"/>
      <c r="AR105" s="31"/>
      <c r="AS105" s="31"/>
      <c r="AT105" s="31"/>
      <c r="AU105" s="31"/>
      <c r="AV105" s="31"/>
      <c r="AW105" s="31"/>
      <c r="AX105" s="31"/>
      <c r="AY105" s="180"/>
      <c r="BA105" s="31"/>
      <c r="BB105" s="31"/>
      <c r="BC105" s="31"/>
      <c r="BD105" s="31"/>
      <c r="BE105" s="31"/>
      <c r="BF105" s="31"/>
      <c r="BG105" s="31"/>
      <c r="BH105" s="31"/>
    </row>
    <row r="106" spans="2:60" s="35" customFormat="1" x14ac:dyDescent="0.3">
      <c r="B106" s="33"/>
      <c r="C106" s="63" t="s">
        <v>103</v>
      </c>
      <c r="D106" s="63"/>
      <c r="E106" s="34"/>
      <c r="F106" s="34"/>
      <c r="G106" s="34"/>
      <c r="H106" s="34"/>
      <c r="I106" s="34"/>
      <c r="J106" s="34"/>
      <c r="K106" s="34"/>
      <c r="L106" s="34"/>
      <c r="M106" s="168"/>
      <c r="O106" s="34"/>
      <c r="P106" s="34"/>
      <c r="Q106" s="34"/>
      <c r="R106" s="34"/>
      <c r="S106" s="34"/>
      <c r="T106" s="34"/>
      <c r="U106" s="34"/>
      <c r="V106" s="34"/>
      <c r="W106" s="168"/>
      <c r="Y106" s="34"/>
      <c r="Z106" s="34"/>
      <c r="AA106" s="34"/>
      <c r="AB106" s="34"/>
      <c r="AC106" s="34"/>
      <c r="AD106" s="34"/>
      <c r="AE106" s="34"/>
      <c r="AF106" s="34"/>
      <c r="AG106" s="205"/>
      <c r="AH106" s="34"/>
      <c r="AI106" s="34"/>
      <c r="AJ106" s="34"/>
      <c r="AK106" s="34"/>
      <c r="AL106" s="34"/>
      <c r="AM106" s="34"/>
      <c r="AN106" s="34"/>
      <c r="AO106" s="34"/>
      <c r="AP106" s="205"/>
      <c r="AQ106" s="34"/>
      <c r="AR106" s="34"/>
      <c r="AS106" s="34"/>
      <c r="AT106" s="34"/>
      <c r="AU106" s="34"/>
      <c r="AV106" s="34"/>
      <c r="AW106" s="34"/>
      <c r="AX106" s="34"/>
      <c r="AY106" s="168"/>
      <c r="BA106" s="34"/>
      <c r="BB106" s="34"/>
      <c r="BC106" s="34"/>
      <c r="BD106" s="34"/>
      <c r="BE106" s="34"/>
      <c r="BF106" s="34"/>
      <c r="BG106" s="34"/>
      <c r="BH106" s="34"/>
    </row>
    <row r="107" spans="2:60" s="64" customFormat="1" x14ac:dyDescent="0.3">
      <c r="C107" s="65" t="s">
        <v>81</v>
      </c>
      <c r="D107" s="77"/>
      <c r="E107" s="69">
        <v>2102154.5729999999</v>
      </c>
      <c r="F107" s="69">
        <f>'Quarterly I.S'!H107</f>
        <v>2146210</v>
      </c>
      <c r="G107" s="69">
        <v>2368802.733</v>
      </c>
      <c r="H107" s="69">
        <f>'Quarterly I.S'!L107</f>
        <v>2325735.3750025546</v>
      </c>
      <c r="I107" s="69">
        <f>'Quarterly I.S'!N107</f>
        <v>2539511.5907389205</v>
      </c>
      <c r="J107" s="69">
        <f>'Quarterly I.S'!P107</f>
        <v>2514603</v>
      </c>
      <c r="K107" s="69">
        <f>'Quarterly I.S'!R107</f>
        <v>2904358.2520794603</v>
      </c>
      <c r="L107" s="69">
        <f>'Quarterly I.S'!T107</f>
        <v>3030882.8155569583</v>
      </c>
      <c r="M107" s="182">
        <f>L107/J107-1</f>
        <v>0.20531265394853904</v>
      </c>
      <c r="O107" s="67">
        <f t="shared" ref="O107:O115" si="12">$E107</f>
        <v>2102154.5729999999</v>
      </c>
      <c r="P107" s="67">
        <f t="shared" ref="P107:P115" si="13">$F107</f>
        <v>2146210</v>
      </c>
      <c r="Q107" s="67">
        <f t="shared" ref="Q107:Q115" si="14">$G107</f>
        <v>2368802.733</v>
      </c>
      <c r="R107" s="67">
        <f t="shared" ref="R107:R115" si="15">$H107</f>
        <v>2325735.3750025546</v>
      </c>
      <c r="S107" s="67">
        <f>$I107</f>
        <v>2539511.5907389205</v>
      </c>
      <c r="T107" s="67">
        <f>$J107</f>
        <v>2514603</v>
      </c>
      <c r="U107" s="67">
        <f>$K107</f>
        <v>2904358.2520794603</v>
      </c>
      <c r="V107" s="67">
        <f>$L107</f>
        <v>3030882.8155569583</v>
      </c>
      <c r="W107" s="182">
        <f>V107/T107-1</f>
        <v>0.20531265394853904</v>
      </c>
      <c r="Y107" s="67">
        <f t="shared" ref="Y107:Y115" si="16">$E107</f>
        <v>2102154.5729999999</v>
      </c>
      <c r="Z107" s="67">
        <f t="shared" ref="Z107:Z115" si="17">$F107</f>
        <v>2146210</v>
      </c>
      <c r="AA107" s="67">
        <f t="shared" ref="AA107:AA115" si="18">$G107</f>
        <v>2368802.733</v>
      </c>
      <c r="AB107" s="67">
        <f t="shared" ref="AB107:AB115" si="19">$H107</f>
        <v>2325735.3750025546</v>
      </c>
      <c r="AC107" s="67">
        <f>$I107</f>
        <v>2539511.5907389205</v>
      </c>
      <c r="AD107" s="67">
        <f>$J107</f>
        <v>2514603</v>
      </c>
      <c r="AE107" s="67">
        <f>$K107</f>
        <v>2904358.2520794603</v>
      </c>
      <c r="AF107" s="67">
        <f>$L107</f>
        <v>3030882.8155569583</v>
      </c>
      <c r="AH107" s="67">
        <f t="shared" ref="AH107:AH115" si="20">$E107</f>
        <v>2102154.5729999999</v>
      </c>
      <c r="AI107" s="67">
        <f t="shared" ref="AI107:AI115" si="21">$F107</f>
        <v>2146210</v>
      </c>
      <c r="AJ107" s="67">
        <f t="shared" ref="AJ107:AJ115" si="22">$G107</f>
        <v>2368802.733</v>
      </c>
      <c r="AK107" s="67">
        <f t="shared" ref="AK107:AK115" si="23">$H107</f>
        <v>2325735.3750025546</v>
      </c>
      <c r="AL107" s="67">
        <f>$I107</f>
        <v>2539511.5907389205</v>
      </c>
      <c r="AM107" s="67">
        <f>$J107</f>
        <v>2514603</v>
      </c>
      <c r="AN107" s="67">
        <f>$K107</f>
        <v>2904358.2520794603</v>
      </c>
      <c r="AO107" s="67">
        <f>$L107</f>
        <v>3030882.8155569583</v>
      </c>
      <c r="AQ107" s="67">
        <f t="shared" ref="AQ107:AQ115" si="24">$E107</f>
        <v>2102154.5729999999</v>
      </c>
      <c r="AR107" s="67">
        <f t="shared" ref="AR107:AR115" si="25">$F107</f>
        <v>2146210</v>
      </c>
      <c r="AS107" s="67">
        <f t="shared" ref="AS107:AS115" si="26">$G107</f>
        <v>2368802.733</v>
      </c>
      <c r="AT107" s="67">
        <f t="shared" ref="AT107:AT115" si="27">$H107</f>
        <v>2325735.3750025546</v>
      </c>
      <c r="AU107" s="67">
        <f>$I107</f>
        <v>2539511.5907389205</v>
      </c>
      <c r="AV107" s="67">
        <f>$J107</f>
        <v>2514603</v>
      </c>
      <c r="AW107" s="67">
        <f>$K107</f>
        <v>2904358.2520794603</v>
      </c>
      <c r="AX107" s="67">
        <f>$L107</f>
        <v>3030882.8155569583</v>
      </c>
      <c r="AY107" s="182">
        <f>AX107/AV107-1</f>
        <v>0.20531265394853904</v>
      </c>
      <c r="BA107" s="67">
        <f t="shared" ref="BA107:BA115" si="28">$E107</f>
        <v>2102154.5729999999</v>
      </c>
      <c r="BB107" s="67">
        <f t="shared" ref="BB107:BB115" si="29">$F107</f>
        <v>2146210</v>
      </c>
      <c r="BC107" s="67">
        <f t="shared" ref="BC107:BC115" si="30">$G107</f>
        <v>2368802.733</v>
      </c>
      <c r="BD107" s="67">
        <f t="shared" ref="BD107:BD115" si="31">$H107</f>
        <v>2325735.3750025546</v>
      </c>
      <c r="BE107" s="67">
        <f>$I107</f>
        <v>2539511.5907389205</v>
      </c>
      <c r="BF107" s="67">
        <f>$J107</f>
        <v>2514603</v>
      </c>
      <c r="BG107" s="67">
        <f>$K107</f>
        <v>2904358.2520794603</v>
      </c>
      <c r="BH107" s="67">
        <f>$L107</f>
        <v>3030882.8155569583</v>
      </c>
    </row>
    <row r="108" spans="2:60" s="64" customFormat="1" x14ac:dyDescent="0.3">
      <c r="C108" s="65" t="s">
        <v>82</v>
      </c>
      <c r="D108" s="77"/>
      <c r="E108" s="67">
        <f>E107-E109</f>
        <v>1941171.174218792</v>
      </c>
      <c r="F108" s="67">
        <f>F107-F109</f>
        <v>1975378</v>
      </c>
      <c r="G108" s="67">
        <f>G107-G109</f>
        <v>2195763.9700000002</v>
      </c>
      <c r="H108" s="67">
        <f>H107-H109-H110</f>
        <v>2125867.1701002545</v>
      </c>
      <c r="I108" s="67">
        <f>I107-I109-I110</f>
        <v>2332347.2532545202</v>
      </c>
      <c r="J108" s="67">
        <f>J107-J109-J110</f>
        <v>2290744</v>
      </c>
      <c r="K108" s="67">
        <f>K107-K109-K110</f>
        <v>2617152.4164260603</v>
      </c>
      <c r="L108" s="67">
        <f>L107-L109-L110</f>
        <v>2686885.5831719586</v>
      </c>
      <c r="M108" s="183">
        <f>L108/J108-1</f>
        <v>0.17293140707646004</v>
      </c>
      <c r="O108" s="67">
        <f t="shared" si="12"/>
        <v>1941171.174218792</v>
      </c>
      <c r="P108" s="67">
        <f t="shared" si="13"/>
        <v>1975378</v>
      </c>
      <c r="Q108" s="67">
        <f t="shared" si="14"/>
        <v>2195763.9700000002</v>
      </c>
      <c r="R108" s="67">
        <f t="shared" si="15"/>
        <v>2125867.1701002545</v>
      </c>
      <c r="S108" s="67">
        <f t="shared" ref="S108:S115" si="32">$I108</f>
        <v>2332347.2532545202</v>
      </c>
      <c r="T108" s="67">
        <f t="shared" ref="T108:T115" si="33">$J108</f>
        <v>2290744</v>
      </c>
      <c r="U108" s="67">
        <f>$K108</f>
        <v>2617152.4164260603</v>
      </c>
      <c r="V108" s="67">
        <f>$L108</f>
        <v>2686885.5831719586</v>
      </c>
      <c r="W108" s="183">
        <f>V108/T108-1</f>
        <v>0.17293140707646004</v>
      </c>
      <c r="Y108" s="67">
        <f t="shared" si="16"/>
        <v>1941171.174218792</v>
      </c>
      <c r="Z108" s="67">
        <f t="shared" si="17"/>
        <v>1975378</v>
      </c>
      <c r="AA108" s="67">
        <f t="shared" si="18"/>
        <v>2195763.9700000002</v>
      </c>
      <c r="AB108" s="67">
        <f t="shared" si="19"/>
        <v>2125867.1701002545</v>
      </c>
      <c r="AC108" s="67">
        <f t="shared" ref="AC108:AC115" si="34">$I108</f>
        <v>2332347.2532545202</v>
      </c>
      <c r="AD108" s="67">
        <f t="shared" ref="AD108:AD115" si="35">$J108</f>
        <v>2290744</v>
      </c>
      <c r="AE108" s="67">
        <f>$K108</f>
        <v>2617152.4164260603</v>
      </c>
      <c r="AF108" s="67">
        <f>$L108</f>
        <v>2686885.5831719586</v>
      </c>
      <c r="AH108" s="67">
        <f t="shared" si="20"/>
        <v>1941171.174218792</v>
      </c>
      <c r="AI108" s="67">
        <f t="shared" si="21"/>
        <v>1975378</v>
      </c>
      <c r="AJ108" s="67">
        <f t="shared" si="22"/>
        <v>2195763.9700000002</v>
      </c>
      <c r="AK108" s="67">
        <f t="shared" si="23"/>
        <v>2125867.1701002545</v>
      </c>
      <c r="AL108" s="67">
        <f t="shared" ref="AL108:AL115" si="36">$I108</f>
        <v>2332347.2532545202</v>
      </c>
      <c r="AM108" s="67">
        <f t="shared" ref="AM108:AM115" si="37">$J108</f>
        <v>2290744</v>
      </c>
      <c r="AN108" s="67">
        <f>$K108</f>
        <v>2617152.4164260603</v>
      </c>
      <c r="AO108" s="67">
        <f>$L108</f>
        <v>2686885.5831719586</v>
      </c>
      <c r="AQ108" s="67">
        <f t="shared" si="24"/>
        <v>1941171.174218792</v>
      </c>
      <c r="AR108" s="67">
        <f t="shared" si="25"/>
        <v>1975378</v>
      </c>
      <c r="AS108" s="67">
        <f t="shared" si="26"/>
        <v>2195763.9700000002</v>
      </c>
      <c r="AT108" s="67">
        <f t="shared" si="27"/>
        <v>2125867.1701002545</v>
      </c>
      <c r="AU108" s="67">
        <f t="shared" ref="AU108:AU115" si="38">$I108</f>
        <v>2332347.2532545202</v>
      </c>
      <c r="AV108" s="67">
        <f t="shared" ref="AV108:AV115" si="39">$J108</f>
        <v>2290744</v>
      </c>
      <c r="AW108" s="67">
        <f>$K108</f>
        <v>2617152.4164260603</v>
      </c>
      <c r="AX108" s="67">
        <f>$L108</f>
        <v>2686885.5831719586</v>
      </c>
      <c r="AY108" s="183">
        <f>AX108/AV108-1</f>
        <v>0.17293140707646004</v>
      </c>
      <c r="BA108" s="67">
        <f t="shared" si="28"/>
        <v>1941171.174218792</v>
      </c>
      <c r="BB108" s="67">
        <f t="shared" si="29"/>
        <v>1975378</v>
      </c>
      <c r="BC108" s="67">
        <f t="shared" si="30"/>
        <v>2195763.9700000002</v>
      </c>
      <c r="BD108" s="67">
        <f t="shared" si="31"/>
        <v>2125867.1701002545</v>
      </c>
      <c r="BE108" s="67">
        <f t="shared" ref="BE108:BE115" si="40">$I108</f>
        <v>2332347.2532545202</v>
      </c>
      <c r="BF108" s="67">
        <f t="shared" ref="BF108:BF115" si="41">$J108</f>
        <v>2290744</v>
      </c>
      <c r="BG108" s="67">
        <f>$K108</f>
        <v>2617152.4164260603</v>
      </c>
      <c r="BH108" s="67">
        <f>$L108</f>
        <v>2686885.5831719586</v>
      </c>
    </row>
    <row r="109" spans="2:60" s="64" customFormat="1" x14ac:dyDescent="0.3">
      <c r="C109" s="65" t="s">
        <v>80</v>
      </c>
      <c r="D109" s="77"/>
      <c r="E109" s="69">
        <v>160983.39878120794</v>
      </c>
      <c r="F109" s="69">
        <f>'Quarterly I.S'!H109</f>
        <v>170832</v>
      </c>
      <c r="G109" s="69">
        <v>173038.76300000001</v>
      </c>
      <c r="H109" s="69">
        <f>'Quarterly I.S'!L109</f>
        <v>192429.32248629999</v>
      </c>
      <c r="I109" s="69">
        <f>'Quarterly I.S'!N109</f>
        <v>194872.81264679998</v>
      </c>
      <c r="J109" s="69">
        <f>'Quarterly I.S'!P109</f>
        <v>223742</v>
      </c>
      <c r="K109" s="69">
        <f>'Quarterly I.S'!R109</f>
        <v>264738.25029579998</v>
      </c>
      <c r="L109" s="69">
        <f>'Quarterly I.S'!T109</f>
        <v>331374.45230499998</v>
      </c>
      <c r="M109" s="182">
        <f>L109/J109-1</f>
        <v>0.48105609275415429</v>
      </c>
      <c r="O109" s="67">
        <f t="shared" si="12"/>
        <v>160983.39878120794</v>
      </c>
      <c r="P109" s="67">
        <f t="shared" si="13"/>
        <v>170832</v>
      </c>
      <c r="Q109" s="67">
        <f t="shared" si="14"/>
        <v>173038.76300000001</v>
      </c>
      <c r="R109" s="67">
        <f t="shared" si="15"/>
        <v>192429.32248629999</v>
      </c>
      <c r="S109" s="67">
        <f t="shared" si="32"/>
        <v>194872.81264679998</v>
      </c>
      <c r="T109" s="67">
        <f t="shared" si="33"/>
        <v>223742</v>
      </c>
      <c r="U109" s="67">
        <f>$K109</f>
        <v>264738.25029579998</v>
      </c>
      <c r="V109" s="67">
        <f>$L109</f>
        <v>331374.45230499998</v>
      </c>
      <c r="W109" s="182">
        <f>V109/T109-1</f>
        <v>0.48105609275415429</v>
      </c>
      <c r="Y109" s="67">
        <f t="shared" si="16"/>
        <v>160983.39878120794</v>
      </c>
      <c r="Z109" s="67">
        <f t="shared" si="17"/>
        <v>170832</v>
      </c>
      <c r="AA109" s="67">
        <f t="shared" si="18"/>
        <v>173038.76300000001</v>
      </c>
      <c r="AB109" s="67">
        <f t="shared" si="19"/>
        <v>192429.32248629999</v>
      </c>
      <c r="AC109" s="67">
        <f t="shared" si="34"/>
        <v>194872.81264679998</v>
      </c>
      <c r="AD109" s="67">
        <f t="shared" si="35"/>
        <v>223742</v>
      </c>
      <c r="AE109" s="67">
        <f>$K109</f>
        <v>264738.25029579998</v>
      </c>
      <c r="AF109" s="67">
        <f>$L109</f>
        <v>331374.45230499998</v>
      </c>
      <c r="AH109" s="67">
        <f t="shared" si="20"/>
        <v>160983.39878120794</v>
      </c>
      <c r="AI109" s="67">
        <f t="shared" si="21"/>
        <v>170832</v>
      </c>
      <c r="AJ109" s="67">
        <f t="shared" si="22"/>
        <v>173038.76300000001</v>
      </c>
      <c r="AK109" s="67">
        <f t="shared" si="23"/>
        <v>192429.32248629999</v>
      </c>
      <c r="AL109" s="67">
        <f t="shared" si="36"/>
        <v>194872.81264679998</v>
      </c>
      <c r="AM109" s="67">
        <f t="shared" si="37"/>
        <v>223742</v>
      </c>
      <c r="AN109" s="67">
        <f>$K109</f>
        <v>264738.25029579998</v>
      </c>
      <c r="AO109" s="67">
        <f>$L109</f>
        <v>331374.45230499998</v>
      </c>
      <c r="AQ109" s="67">
        <f t="shared" si="24"/>
        <v>160983.39878120794</v>
      </c>
      <c r="AR109" s="67">
        <f t="shared" si="25"/>
        <v>170832</v>
      </c>
      <c r="AS109" s="67">
        <f t="shared" si="26"/>
        <v>173038.76300000001</v>
      </c>
      <c r="AT109" s="67">
        <f t="shared" si="27"/>
        <v>192429.32248629999</v>
      </c>
      <c r="AU109" s="67">
        <f t="shared" si="38"/>
        <v>194872.81264679998</v>
      </c>
      <c r="AV109" s="67">
        <f t="shared" si="39"/>
        <v>223742</v>
      </c>
      <c r="AW109" s="67">
        <f>$K109</f>
        <v>264738.25029579998</v>
      </c>
      <c r="AX109" s="67">
        <f>$L109</f>
        <v>331374.45230499998</v>
      </c>
      <c r="AY109" s="182">
        <f>AX109/AV109-1</f>
        <v>0.48105609275415429</v>
      </c>
      <c r="BA109" s="67">
        <f t="shared" si="28"/>
        <v>160983.39878120794</v>
      </c>
      <c r="BB109" s="67">
        <f t="shared" si="29"/>
        <v>170832</v>
      </c>
      <c r="BC109" s="67">
        <f t="shared" si="30"/>
        <v>173038.76300000001</v>
      </c>
      <c r="BD109" s="67">
        <f t="shared" si="31"/>
        <v>192429.32248629999</v>
      </c>
      <c r="BE109" s="67">
        <f t="shared" si="40"/>
        <v>194872.81264679998</v>
      </c>
      <c r="BF109" s="67">
        <f t="shared" si="41"/>
        <v>223742</v>
      </c>
      <c r="BG109" s="67">
        <f>$K109</f>
        <v>264738.25029579998</v>
      </c>
      <c r="BH109" s="67">
        <f>$L109</f>
        <v>331374.45230499998</v>
      </c>
    </row>
    <row r="110" spans="2:60" s="64" customFormat="1" x14ac:dyDescent="0.3">
      <c r="C110" s="65" t="s">
        <v>190</v>
      </c>
      <c r="D110" s="77"/>
      <c r="E110" s="69"/>
      <c r="F110" s="69"/>
      <c r="G110" s="69"/>
      <c r="H110" s="69">
        <f>'Quarterly I.S'!L110</f>
        <v>7438.8824160000004</v>
      </c>
      <c r="I110" s="69">
        <f>'Quarterly I.S'!N110</f>
        <v>12291.524837600005</v>
      </c>
      <c r="J110" s="69">
        <f>'Quarterly I.S'!P110</f>
        <v>117</v>
      </c>
      <c r="K110" s="69">
        <f>'Quarterly I.S'!R110</f>
        <v>22467.585357600008</v>
      </c>
      <c r="L110" s="69">
        <f>'Quarterly I.S'!T110</f>
        <v>12622.780079999993</v>
      </c>
      <c r="M110" s="182">
        <f>L110/J110-1</f>
        <v>106.88700923076917</v>
      </c>
      <c r="O110" s="67">
        <f t="shared" si="12"/>
        <v>0</v>
      </c>
      <c r="P110" s="67">
        <f t="shared" si="13"/>
        <v>0</v>
      </c>
      <c r="Q110" s="67">
        <f t="shared" si="14"/>
        <v>0</v>
      </c>
      <c r="R110" s="67">
        <f t="shared" si="15"/>
        <v>7438.8824160000004</v>
      </c>
      <c r="S110" s="67">
        <f t="shared" si="32"/>
        <v>12291.524837600005</v>
      </c>
      <c r="T110" s="67">
        <f t="shared" si="33"/>
        <v>117</v>
      </c>
      <c r="U110" s="67">
        <f>$K110</f>
        <v>22467.585357600008</v>
      </c>
      <c r="V110" s="67">
        <f>$L110</f>
        <v>12622.780079999993</v>
      </c>
      <c r="W110" s="182"/>
      <c r="Y110" s="67">
        <f t="shared" si="16"/>
        <v>0</v>
      </c>
      <c r="Z110" s="67">
        <f t="shared" si="17"/>
        <v>0</v>
      </c>
      <c r="AA110" s="67">
        <f t="shared" si="18"/>
        <v>0</v>
      </c>
      <c r="AB110" s="67">
        <f t="shared" si="19"/>
        <v>7438.8824160000004</v>
      </c>
      <c r="AC110" s="67">
        <f t="shared" si="34"/>
        <v>12291.524837600005</v>
      </c>
      <c r="AD110" s="67">
        <f t="shared" si="35"/>
        <v>117</v>
      </c>
      <c r="AE110" s="67">
        <f>$K110</f>
        <v>22467.585357600008</v>
      </c>
      <c r="AF110" s="67">
        <f>$L110</f>
        <v>12622.780079999993</v>
      </c>
      <c r="AH110" s="67">
        <f t="shared" si="20"/>
        <v>0</v>
      </c>
      <c r="AI110" s="67">
        <f t="shared" si="21"/>
        <v>0</v>
      </c>
      <c r="AJ110" s="67">
        <f t="shared" si="22"/>
        <v>0</v>
      </c>
      <c r="AK110" s="67">
        <f t="shared" si="23"/>
        <v>7438.8824160000004</v>
      </c>
      <c r="AL110" s="67">
        <f t="shared" si="36"/>
        <v>12291.524837600005</v>
      </c>
      <c r="AM110" s="67">
        <f t="shared" si="37"/>
        <v>117</v>
      </c>
      <c r="AN110" s="67">
        <f>$K110</f>
        <v>22467.585357600008</v>
      </c>
      <c r="AO110" s="67">
        <f>$L110</f>
        <v>12622.780079999993</v>
      </c>
      <c r="AQ110" s="67">
        <f t="shared" si="24"/>
        <v>0</v>
      </c>
      <c r="AR110" s="67">
        <f t="shared" si="25"/>
        <v>0</v>
      </c>
      <c r="AS110" s="67">
        <f t="shared" si="26"/>
        <v>0</v>
      </c>
      <c r="AT110" s="67">
        <f t="shared" si="27"/>
        <v>7438.8824160000004</v>
      </c>
      <c r="AU110" s="67">
        <f t="shared" si="38"/>
        <v>12291.524837600005</v>
      </c>
      <c r="AV110" s="67">
        <f t="shared" si="39"/>
        <v>117</v>
      </c>
      <c r="AW110" s="67">
        <f>$K110</f>
        <v>22467.585357600008</v>
      </c>
      <c r="AX110" s="67">
        <f>$L110</f>
        <v>12622.780079999993</v>
      </c>
      <c r="AY110" s="182">
        <f>AX110/AV110-1</f>
        <v>106.88700923076917</v>
      </c>
      <c r="BA110" s="67">
        <f t="shared" si="28"/>
        <v>0</v>
      </c>
      <c r="BB110" s="67">
        <f t="shared" si="29"/>
        <v>0</v>
      </c>
      <c r="BC110" s="67">
        <f t="shared" si="30"/>
        <v>0</v>
      </c>
      <c r="BD110" s="67">
        <f t="shared" si="31"/>
        <v>7438.8824160000004</v>
      </c>
      <c r="BE110" s="67">
        <f t="shared" si="40"/>
        <v>12291.524837600005</v>
      </c>
      <c r="BF110" s="67">
        <f t="shared" si="41"/>
        <v>117</v>
      </c>
      <c r="BG110" s="67">
        <f>$K110</f>
        <v>22467.585357600008</v>
      </c>
      <c r="BH110" s="67">
        <f>$L110</f>
        <v>12622.780079999993</v>
      </c>
    </row>
    <row r="111" spans="2:60" x14ac:dyDescent="0.3">
      <c r="C111" s="71"/>
      <c r="D111" s="120"/>
      <c r="E111" s="68"/>
      <c r="F111" s="68"/>
      <c r="G111" s="68"/>
      <c r="H111" s="68"/>
      <c r="I111" s="68"/>
      <c r="J111" s="68"/>
      <c r="K111" s="68"/>
      <c r="L111" s="68"/>
      <c r="M111" s="209"/>
      <c r="O111" s="70"/>
      <c r="P111" s="70"/>
      <c r="Q111" s="70"/>
      <c r="R111" s="70"/>
      <c r="S111" s="70"/>
      <c r="T111" s="70"/>
      <c r="U111" s="70"/>
      <c r="V111" s="70"/>
      <c r="W111" s="209"/>
      <c r="Y111" s="70"/>
      <c r="Z111" s="70"/>
      <c r="AA111" s="70"/>
      <c r="AB111" s="70"/>
      <c r="AC111" s="70"/>
      <c r="AD111" s="70"/>
      <c r="AE111" s="70"/>
      <c r="AF111" s="70"/>
      <c r="AH111" s="70"/>
      <c r="AI111" s="70"/>
      <c r="AJ111" s="70"/>
      <c r="AK111" s="70"/>
      <c r="AL111" s="70"/>
      <c r="AM111" s="70"/>
      <c r="AN111" s="70"/>
      <c r="AO111" s="70"/>
      <c r="AQ111" s="70"/>
      <c r="AR111" s="70"/>
      <c r="AS111" s="70"/>
      <c r="AT111" s="70"/>
      <c r="AU111" s="70"/>
      <c r="AV111" s="70"/>
      <c r="AW111" s="70"/>
      <c r="AX111" s="70"/>
      <c r="AY111" s="209"/>
      <c r="BA111" s="70"/>
      <c r="BB111" s="70"/>
      <c r="BC111" s="70"/>
      <c r="BD111" s="70"/>
      <c r="BE111" s="70"/>
      <c r="BF111" s="70"/>
      <c r="BG111" s="70"/>
      <c r="BH111" s="70"/>
    </row>
    <row r="112" spans="2:60" s="64" customFormat="1" x14ac:dyDescent="0.3">
      <c r="C112" s="65" t="s">
        <v>129</v>
      </c>
      <c r="D112" s="77"/>
      <c r="E112" s="69">
        <v>2054202.1233333333</v>
      </c>
      <c r="F112" s="69">
        <f>AVERAGE('Quarterly I.S'!G112:H112)</f>
        <v>2047466.0296666666</v>
      </c>
      <c r="G112" s="69">
        <v>2303559.6136666667</v>
      </c>
      <c r="H112" s="69">
        <f>AVERAGE('Quarterly I.S'!K112:L112)</f>
        <v>2315171.1633928707</v>
      </c>
      <c r="I112" s="69">
        <f>'Quarterly I.S'!N112</f>
        <v>2475773.6399572711</v>
      </c>
      <c r="J112" s="69">
        <f>AVERAGE('Quarterly I.S'!O112:P112)</f>
        <v>2430435.841250672</v>
      </c>
      <c r="K112" s="69">
        <f>'Quarterly I.S'!R112</f>
        <v>2729428.4309264366</v>
      </c>
      <c r="L112" s="69">
        <f>AVERAGE('Quarterly I.S'!S112:T112)</f>
        <v>2951178.6024565869</v>
      </c>
      <c r="M112" s="182"/>
      <c r="O112" s="67">
        <f t="shared" si="12"/>
        <v>2054202.1233333333</v>
      </c>
      <c r="P112" s="67">
        <f t="shared" si="13"/>
        <v>2047466.0296666666</v>
      </c>
      <c r="Q112" s="67">
        <f t="shared" si="14"/>
        <v>2303559.6136666667</v>
      </c>
      <c r="R112" s="67">
        <f t="shared" si="15"/>
        <v>2315171.1633928707</v>
      </c>
      <c r="S112" s="67">
        <f t="shared" si="32"/>
        <v>2475773.6399572711</v>
      </c>
      <c r="T112" s="67">
        <f t="shared" si="33"/>
        <v>2430435.841250672</v>
      </c>
      <c r="U112" s="67">
        <f>$K112</f>
        <v>2729428.4309264366</v>
      </c>
      <c r="V112" s="67">
        <f>$L112</f>
        <v>2951178.6024565869</v>
      </c>
      <c r="W112" s="182"/>
      <c r="Y112" s="67">
        <f t="shared" si="16"/>
        <v>2054202.1233333333</v>
      </c>
      <c r="Z112" s="67">
        <f t="shared" si="17"/>
        <v>2047466.0296666666</v>
      </c>
      <c r="AA112" s="67">
        <f t="shared" si="18"/>
        <v>2303559.6136666667</v>
      </c>
      <c r="AB112" s="67">
        <f t="shared" si="19"/>
        <v>2315171.1633928707</v>
      </c>
      <c r="AC112" s="67">
        <f t="shared" si="34"/>
        <v>2475773.6399572711</v>
      </c>
      <c r="AD112" s="67">
        <f t="shared" si="35"/>
        <v>2430435.841250672</v>
      </c>
      <c r="AE112" s="67">
        <f>$K112</f>
        <v>2729428.4309264366</v>
      </c>
      <c r="AF112" s="67">
        <f>$L112</f>
        <v>2951178.6024565869</v>
      </c>
      <c r="AH112" s="67">
        <f t="shared" si="20"/>
        <v>2054202.1233333333</v>
      </c>
      <c r="AI112" s="67">
        <f t="shared" si="21"/>
        <v>2047466.0296666666</v>
      </c>
      <c r="AJ112" s="67">
        <f t="shared" si="22"/>
        <v>2303559.6136666667</v>
      </c>
      <c r="AK112" s="67">
        <f t="shared" si="23"/>
        <v>2315171.1633928707</v>
      </c>
      <c r="AL112" s="67">
        <f t="shared" si="36"/>
        <v>2475773.6399572711</v>
      </c>
      <c r="AM112" s="67">
        <f t="shared" si="37"/>
        <v>2430435.841250672</v>
      </c>
      <c r="AN112" s="67">
        <f>$K112</f>
        <v>2729428.4309264366</v>
      </c>
      <c r="AO112" s="67">
        <f>$L112</f>
        <v>2951178.6024565869</v>
      </c>
      <c r="AQ112" s="67">
        <f t="shared" si="24"/>
        <v>2054202.1233333333</v>
      </c>
      <c r="AR112" s="67">
        <f t="shared" si="25"/>
        <v>2047466.0296666666</v>
      </c>
      <c r="AS112" s="67">
        <f t="shared" si="26"/>
        <v>2303559.6136666667</v>
      </c>
      <c r="AT112" s="67">
        <f t="shared" si="27"/>
        <v>2315171.1633928707</v>
      </c>
      <c r="AU112" s="67">
        <f t="shared" si="38"/>
        <v>2475773.6399572711</v>
      </c>
      <c r="AV112" s="67">
        <f t="shared" si="39"/>
        <v>2430435.841250672</v>
      </c>
      <c r="AW112" s="67">
        <f>$K112</f>
        <v>2729428.4309264366</v>
      </c>
      <c r="AX112" s="67">
        <f>$L112</f>
        <v>2951178.6024565869</v>
      </c>
      <c r="AY112" s="182"/>
      <c r="BA112" s="67">
        <f t="shared" si="28"/>
        <v>2054202.1233333333</v>
      </c>
      <c r="BB112" s="67">
        <f t="shared" si="29"/>
        <v>2047466.0296666666</v>
      </c>
      <c r="BC112" s="67">
        <f t="shared" si="30"/>
        <v>2303559.6136666667</v>
      </c>
      <c r="BD112" s="67">
        <f t="shared" si="31"/>
        <v>2315171.1633928707</v>
      </c>
      <c r="BE112" s="67">
        <f t="shared" si="40"/>
        <v>2475773.6399572711</v>
      </c>
      <c r="BF112" s="67">
        <f t="shared" si="41"/>
        <v>2430435.841250672</v>
      </c>
      <c r="BG112" s="67">
        <f>$K112</f>
        <v>2729428.4309264366</v>
      </c>
      <c r="BH112" s="67">
        <f>$L112</f>
        <v>2951178.6024565869</v>
      </c>
    </row>
    <row r="113" spans="2:60" s="64" customFormat="1" x14ac:dyDescent="0.3">
      <c r="C113" s="65" t="s">
        <v>130</v>
      </c>
      <c r="D113" s="77"/>
      <c r="E113" s="70">
        <f>E112-E114</f>
        <v>1888725.8732802542</v>
      </c>
      <c r="F113" s="70">
        <f>F112-F114</f>
        <v>1880512.3444541947</v>
      </c>
      <c r="G113" s="70">
        <f>G112-G114</f>
        <v>2133298.1376666669</v>
      </c>
      <c r="H113" s="67">
        <f>H112-H114-H115</f>
        <v>2119650.566960704</v>
      </c>
      <c r="I113" s="67">
        <f>I112-I114-I115</f>
        <v>2264038.4171894044</v>
      </c>
      <c r="J113" s="67">
        <f>J112-J114-J115</f>
        <v>2211956.2572896234</v>
      </c>
      <c r="K113" s="67">
        <f>K112-K114-K115</f>
        <v>2458233.5001276033</v>
      </c>
      <c r="L113" s="67">
        <f>L112-L114-L115</f>
        <v>2638304.8344957535</v>
      </c>
      <c r="M113" s="181"/>
      <c r="O113" s="67">
        <f t="shared" si="12"/>
        <v>1888725.8732802542</v>
      </c>
      <c r="P113" s="67">
        <f t="shared" si="13"/>
        <v>1880512.3444541947</v>
      </c>
      <c r="Q113" s="67">
        <f t="shared" si="14"/>
        <v>2133298.1376666669</v>
      </c>
      <c r="R113" s="67">
        <f t="shared" si="15"/>
        <v>2119650.566960704</v>
      </c>
      <c r="S113" s="67">
        <f t="shared" si="32"/>
        <v>2264038.4171894044</v>
      </c>
      <c r="T113" s="67">
        <f t="shared" si="33"/>
        <v>2211956.2572896234</v>
      </c>
      <c r="U113" s="67">
        <f>$K113</f>
        <v>2458233.5001276033</v>
      </c>
      <c r="V113" s="67">
        <f>$L113</f>
        <v>2638304.8344957535</v>
      </c>
      <c r="W113" s="181"/>
      <c r="Y113" s="67">
        <f t="shared" si="16"/>
        <v>1888725.8732802542</v>
      </c>
      <c r="Z113" s="67">
        <f t="shared" si="17"/>
        <v>1880512.3444541947</v>
      </c>
      <c r="AA113" s="67">
        <f t="shared" si="18"/>
        <v>2133298.1376666669</v>
      </c>
      <c r="AB113" s="67">
        <f t="shared" si="19"/>
        <v>2119650.566960704</v>
      </c>
      <c r="AC113" s="67">
        <f t="shared" si="34"/>
        <v>2264038.4171894044</v>
      </c>
      <c r="AD113" s="67">
        <f t="shared" si="35"/>
        <v>2211956.2572896234</v>
      </c>
      <c r="AE113" s="67">
        <f>$K113</f>
        <v>2458233.5001276033</v>
      </c>
      <c r="AF113" s="67">
        <f>$L113</f>
        <v>2638304.8344957535</v>
      </c>
      <c r="AH113" s="67">
        <f t="shared" si="20"/>
        <v>1888725.8732802542</v>
      </c>
      <c r="AI113" s="67">
        <f t="shared" si="21"/>
        <v>1880512.3444541947</v>
      </c>
      <c r="AJ113" s="67">
        <f t="shared" si="22"/>
        <v>2133298.1376666669</v>
      </c>
      <c r="AK113" s="67">
        <f t="shared" si="23"/>
        <v>2119650.566960704</v>
      </c>
      <c r="AL113" s="67">
        <f t="shared" si="36"/>
        <v>2264038.4171894044</v>
      </c>
      <c r="AM113" s="67">
        <f t="shared" si="37"/>
        <v>2211956.2572896234</v>
      </c>
      <c r="AN113" s="67">
        <f>$K113</f>
        <v>2458233.5001276033</v>
      </c>
      <c r="AO113" s="67">
        <f>$L113</f>
        <v>2638304.8344957535</v>
      </c>
      <c r="AQ113" s="67">
        <f t="shared" si="24"/>
        <v>1888725.8732802542</v>
      </c>
      <c r="AR113" s="67">
        <f t="shared" si="25"/>
        <v>1880512.3444541947</v>
      </c>
      <c r="AS113" s="67">
        <f t="shared" si="26"/>
        <v>2133298.1376666669</v>
      </c>
      <c r="AT113" s="67">
        <f t="shared" si="27"/>
        <v>2119650.566960704</v>
      </c>
      <c r="AU113" s="67">
        <f t="shared" si="38"/>
        <v>2264038.4171894044</v>
      </c>
      <c r="AV113" s="67">
        <f t="shared" si="39"/>
        <v>2211956.2572896234</v>
      </c>
      <c r="AW113" s="67">
        <f>$K113</f>
        <v>2458233.5001276033</v>
      </c>
      <c r="AX113" s="67">
        <f>$L113</f>
        <v>2638304.8344957535</v>
      </c>
      <c r="AY113" s="181"/>
      <c r="BA113" s="67">
        <f t="shared" si="28"/>
        <v>1888725.8732802542</v>
      </c>
      <c r="BB113" s="67">
        <f t="shared" si="29"/>
        <v>1880512.3444541947</v>
      </c>
      <c r="BC113" s="67">
        <f t="shared" si="30"/>
        <v>2133298.1376666669</v>
      </c>
      <c r="BD113" s="67">
        <f t="shared" si="31"/>
        <v>2119650.566960704</v>
      </c>
      <c r="BE113" s="67">
        <f t="shared" si="40"/>
        <v>2264038.4171894044</v>
      </c>
      <c r="BF113" s="67">
        <f t="shared" si="41"/>
        <v>2211956.2572896234</v>
      </c>
      <c r="BG113" s="67">
        <f>$K113</f>
        <v>2458233.5001276033</v>
      </c>
      <c r="BH113" s="67">
        <f>$L113</f>
        <v>2638304.8344957535</v>
      </c>
    </row>
    <row r="114" spans="2:60" s="64" customFormat="1" x14ac:dyDescent="0.3">
      <c r="C114" s="65" t="s">
        <v>131</v>
      </c>
      <c r="D114" s="77"/>
      <c r="E114" s="69">
        <v>165476.25005307901</v>
      </c>
      <c r="F114" s="69">
        <f>AVERAGE('Quarterly I.S'!G114:H114)</f>
        <v>166953.68521247196</v>
      </c>
      <c r="G114" s="69">
        <v>170261.476</v>
      </c>
      <c r="H114" s="69">
        <f>AVERAGE('Quarterly I.S'!K114:L114)</f>
        <v>186188.67791816668</v>
      </c>
      <c r="I114" s="69">
        <f>'Quarterly I.S'!N114</f>
        <v>200461.76710093333</v>
      </c>
      <c r="J114" s="69">
        <f>AVERAGE('Quarterly I.S'!O114:P114)</f>
        <v>212719.2316810484</v>
      </c>
      <c r="K114" s="69">
        <f>'Quarterly I.S'!R114</f>
        <v>259687.12407856667</v>
      </c>
      <c r="L114" s="69">
        <f>AVERAGE('Quarterly I.S'!S114:T114)</f>
        <v>295688.27679816668</v>
      </c>
      <c r="M114" s="182"/>
      <c r="O114" s="67">
        <f t="shared" si="12"/>
        <v>165476.25005307901</v>
      </c>
      <c r="P114" s="67">
        <f t="shared" si="13"/>
        <v>166953.68521247196</v>
      </c>
      <c r="Q114" s="67">
        <f t="shared" si="14"/>
        <v>170261.476</v>
      </c>
      <c r="R114" s="67">
        <f t="shared" si="15"/>
        <v>186188.67791816668</v>
      </c>
      <c r="S114" s="67">
        <f t="shared" si="32"/>
        <v>200461.76710093333</v>
      </c>
      <c r="T114" s="67">
        <f t="shared" si="33"/>
        <v>212719.2316810484</v>
      </c>
      <c r="U114" s="67">
        <f>$K114</f>
        <v>259687.12407856667</v>
      </c>
      <c r="V114" s="67">
        <f>$L114</f>
        <v>295688.27679816668</v>
      </c>
      <c r="W114" s="182"/>
      <c r="Y114" s="67">
        <f t="shared" si="16"/>
        <v>165476.25005307901</v>
      </c>
      <c r="Z114" s="67">
        <f t="shared" si="17"/>
        <v>166953.68521247196</v>
      </c>
      <c r="AA114" s="67">
        <f t="shared" si="18"/>
        <v>170261.476</v>
      </c>
      <c r="AB114" s="67">
        <f t="shared" si="19"/>
        <v>186188.67791816668</v>
      </c>
      <c r="AC114" s="67">
        <f t="shared" si="34"/>
        <v>200461.76710093333</v>
      </c>
      <c r="AD114" s="67">
        <f t="shared" si="35"/>
        <v>212719.2316810484</v>
      </c>
      <c r="AE114" s="67">
        <f>$K114</f>
        <v>259687.12407856667</v>
      </c>
      <c r="AF114" s="67">
        <f>$L114</f>
        <v>295688.27679816668</v>
      </c>
      <c r="AH114" s="67">
        <f t="shared" si="20"/>
        <v>165476.25005307901</v>
      </c>
      <c r="AI114" s="67">
        <f t="shared" si="21"/>
        <v>166953.68521247196</v>
      </c>
      <c r="AJ114" s="67">
        <f t="shared" si="22"/>
        <v>170261.476</v>
      </c>
      <c r="AK114" s="67">
        <f t="shared" si="23"/>
        <v>186188.67791816668</v>
      </c>
      <c r="AL114" s="67">
        <f t="shared" si="36"/>
        <v>200461.76710093333</v>
      </c>
      <c r="AM114" s="67">
        <f t="shared" si="37"/>
        <v>212719.2316810484</v>
      </c>
      <c r="AN114" s="67">
        <f>$K114</f>
        <v>259687.12407856667</v>
      </c>
      <c r="AO114" s="67">
        <f>$L114</f>
        <v>295688.27679816668</v>
      </c>
      <c r="AQ114" s="67">
        <f t="shared" si="24"/>
        <v>165476.25005307901</v>
      </c>
      <c r="AR114" s="67">
        <f t="shared" si="25"/>
        <v>166953.68521247196</v>
      </c>
      <c r="AS114" s="67">
        <f t="shared" si="26"/>
        <v>170261.476</v>
      </c>
      <c r="AT114" s="67">
        <f t="shared" si="27"/>
        <v>186188.67791816668</v>
      </c>
      <c r="AU114" s="67">
        <f t="shared" si="38"/>
        <v>200461.76710093333</v>
      </c>
      <c r="AV114" s="67">
        <f t="shared" si="39"/>
        <v>212719.2316810484</v>
      </c>
      <c r="AW114" s="67">
        <f>$K114</f>
        <v>259687.12407856667</v>
      </c>
      <c r="AX114" s="67">
        <f>$L114</f>
        <v>295688.27679816668</v>
      </c>
      <c r="AY114" s="182"/>
      <c r="BA114" s="67">
        <f t="shared" si="28"/>
        <v>165476.25005307901</v>
      </c>
      <c r="BB114" s="67">
        <f t="shared" si="29"/>
        <v>166953.68521247196</v>
      </c>
      <c r="BC114" s="67">
        <f t="shared" si="30"/>
        <v>170261.476</v>
      </c>
      <c r="BD114" s="67">
        <f t="shared" si="31"/>
        <v>186188.67791816668</v>
      </c>
      <c r="BE114" s="67">
        <f t="shared" si="40"/>
        <v>200461.76710093333</v>
      </c>
      <c r="BF114" s="67">
        <f t="shared" si="41"/>
        <v>212719.2316810484</v>
      </c>
      <c r="BG114" s="67">
        <f>$K114</f>
        <v>259687.12407856667</v>
      </c>
      <c r="BH114" s="67">
        <f>$L114</f>
        <v>295688.27679816668</v>
      </c>
    </row>
    <row r="115" spans="2:60" s="64" customFormat="1" x14ac:dyDescent="0.3">
      <c r="C115" s="65" t="s">
        <v>191</v>
      </c>
      <c r="D115" s="77"/>
      <c r="E115" s="69"/>
      <c r="F115" s="69"/>
      <c r="G115" s="69"/>
      <c r="H115" s="69">
        <f>AVERAGE('Quarterly I.S'!K115:L115)</f>
        <v>9331.9185140000009</v>
      </c>
      <c r="I115" s="69">
        <f>'Quarterly I.S'!N115</f>
        <v>11273.455666933338</v>
      </c>
      <c r="J115" s="69">
        <f>AVERAGE('Quarterly I.S'!O115:P115)</f>
        <v>5760.3522800000001</v>
      </c>
      <c r="K115" s="69">
        <f>'Quarterly I.S'!R115</f>
        <v>11507.806720266666</v>
      </c>
      <c r="L115" s="69">
        <f>AVERAGE('Quarterly I.S'!S115:T115)</f>
        <v>17185.491162666665</v>
      </c>
      <c r="M115" s="182"/>
      <c r="O115" s="67">
        <f t="shared" si="12"/>
        <v>0</v>
      </c>
      <c r="P115" s="67">
        <f t="shared" si="13"/>
        <v>0</v>
      </c>
      <c r="Q115" s="67">
        <f t="shared" si="14"/>
        <v>0</v>
      </c>
      <c r="R115" s="67">
        <f t="shared" si="15"/>
        <v>9331.9185140000009</v>
      </c>
      <c r="S115" s="67">
        <f t="shared" si="32"/>
        <v>11273.455666933338</v>
      </c>
      <c r="T115" s="67">
        <f t="shared" si="33"/>
        <v>5760.3522800000001</v>
      </c>
      <c r="U115" s="67">
        <f>$K115</f>
        <v>11507.806720266666</v>
      </c>
      <c r="V115" s="67">
        <f>$L115</f>
        <v>17185.491162666665</v>
      </c>
      <c r="W115" s="182"/>
      <c r="Y115" s="67">
        <f t="shared" si="16"/>
        <v>0</v>
      </c>
      <c r="Z115" s="67">
        <f t="shared" si="17"/>
        <v>0</v>
      </c>
      <c r="AA115" s="67">
        <f t="shared" si="18"/>
        <v>0</v>
      </c>
      <c r="AB115" s="67">
        <f t="shared" si="19"/>
        <v>9331.9185140000009</v>
      </c>
      <c r="AC115" s="67">
        <f t="shared" si="34"/>
        <v>11273.455666933338</v>
      </c>
      <c r="AD115" s="67">
        <f t="shared" si="35"/>
        <v>5760.3522800000001</v>
      </c>
      <c r="AE115" s="67">
        <f>$K115</f>
        <v>11507.806720266666</v>
      </c>
      <c r="AF115" s="67">
        <f>$L115</f>
        <v>17185.491162666665</v>
      </c>
      <c r="AH115" s="67">
        <f t="shared" si="20"/>
        <v>0</v>
      </c>
      <c r="AI115" s="67">
        <f t="shared" si="21"/>
        <v>0</v>
      </c>
      <c r="AJ115" s="67">
        <f t="shared" si="22"/>
        <v>0</v>
      </c>
      <c r="AK115" s="67">
        <f t="shared" si="23"/>
        <v>9331.9185140000009</v>
      </c>
      <c r="AL115" s="67">
        <f t="shared" si="36"/>
        <v>11273.455666933338</v>
      </c>
      <c r="AM115" s="67">
        <f t="shared" si="37"/>
        <v>5760.3522800000001</v>
      </c>
      <c r="AN115" s="67">
        <f>$K115</f>
        <v>11507.806720266666</v>
      </c>
      <c r="AO115" s="67">
        <f>$L115</f>
        <v>17185.491162666665</v>
      </c>
      <c r="AQ115" s="67">
        <f t="shared" si="24"/>
        <v>0</v>
      </c>
      <c r="AR115" s="67">
        <f t="shared" si="25"/>
        <v>0</v>
      </c>
      <c r="AS115" s="67">
        <f t="shared" si="26"/>
        <v>0</v>
      </c>
      <c r="AT115" s="67">
        <f t="shared" si="27"/>
        <v>9331.9185140000009</v>
      </c>
      <c r="AU115" s="67">
        <f t="shared" si="38"/>
        <v>11273.455666933338</v>
      </c>
      <c r="AV115" s="67">
        <f t="shared" si="39"/>
        <v>5760.3522800000001</v>
      </c>
      <c r="AW115" s="67">
        <f>$K115</f>
        <v>11507.806720266666</v>
      </c>
      <c r="AX115" s="67">
        <f>$L115</f>
        <v>17185.491162666665</v>
      </c>
      <c r="AY115" s="182"/>
      <c r="BA115" s="67">
        <f t="shared" si="28"/>
        <v>0</v>
      </c>
      <c r="BB115" s="67">
        <f t="shared" si="29"/>
        <v>0</v>
      </c>
      <c r="BC115" s="67">
        <f t="shared" si="30"/>
        <v>0</v>
      </c>
      <c r="BD115" s="67">
        <f t="shared" si="31"/>
        <v>9331.9185140000009</v>
      </c>
      <c r="BE115" s="67">
        <f t="shared" si="40"/>
        <v>11273.455666933338</v>
      </c>
      <c r="BF115" s="67">
        <f t="shared" si="41"/>
        <v>5760.3522800000001</v>
      </c>
      <c r="BG115" s="67">
        <f>$K115</f>
        <v>11507.806720266666</v>
      </c>
      <c r="BH115" s="67">
        <f>$L115</f>
        <v>17185.491162666665</v>
      </c>
    </row>
    <row r="116" spans="2:60" x14ac:dyDescent="0.3">
      <c r="C116" s="39" t="s">
        <v>104</v>
      </c>
      <c r="D116" s="109"/>
      <c r="E116" s="40"/>
      <c r="F116" s="40">
        <f>F90</f>
        <v>0.20559349560364165</v>
      </c>
      <c r="G116" s="40"/>
      <c r="H116" s="40">
        <f>H90</f>
        <v>0.21976493640680153</v>
      </c>
      <c r="I116" s="40"/>
      <c r="J116" s="40">
        <f t="shared" ref="J116:L117" si="42">J90</f>
        <v>0.24359571152697088</v>
      </c>
      <c r="K116" s="40">
        <f t="shared" si="42"/>
        <v>0</v>
      </c>
      <c r="L116" s="40">
        <f t="shared" si="42"/>
        <v>0.1262773951246558</v>
      </c>
      <c r="M116" s="169"/>
      <c r="O116" s="40">
        <f t="shared" ref="O116:T117" si="43">O90</f>
        <v>0</v>
      </c>
      <c r="P116" s="40">
        <f t="shared" si="43"/>
        <v>0.19901930982730953</v>
      </c>
      <c r="Q116" s="40">
        <f t="shared" si="43"/>
        <v>0</v>
      </c>
      <c r="R116" s="40">
        <f t="shared" si="43"/>
        <v>0.22003266654461509</v>
      </c>
      <c r="S116" s="40">
        <f t="shared" si="43"/>
        <v>0</v>
      </c>
      <c r="T116" s="40">
        <f t="shared" si="43"/>
        <v>0.24803286282055709</v>
      </c>
      <c r="U116" s="40">
        <f>U90</f>
        <v>0</v>
      </c>
      <c r="V116" s="40">
        <f>V90</f>
        <v>8.187633712148383E-2</v>
      </c>
      <c r="W116" s="169"/>
      <c r="Y116" s="40">
        <f t="shared" ref="Y116:AF116" si="44">Y90</f>
        <v>0</v>
      </c>
      <c r="Z116" s="40">
        <f t="shared" si="44"/>
        <v>0.20447156653129464</v>
      </c>
      <c r="AA116" s="40">
        <f t="shared" si="44"/>
        <v>0</v>
      </c>
      <c r="AB116" s="40">
        <f t="shared" si="44"/>
        <v>0.26066641919992822</v>
      </c>
      <c r="AC116" s="40">
        <f t="shared" si="44"/>
        <v>0</v>
      </c>
      <c r="AD116" s="40">
        <f t="shared" si="44"/>
        <v>0.38779967704237989</v>
      </c>
      <c r="AE116" s="40">
        <f t="shared" si="44"/>
        <v>0</v>
      </c>
      <c r="AF116" s="40">
        <f t="shared" si="44"/>
        <v>0.58520327391706239</v>
      </c>
      <c r="AH116" s="40">
        <f t="shared" ref="AH116:AO116" si="45">AH90</f>
        <v>0</v>
      </c>
      <c r="AI116" s="40">
        <f t="shared" si="45"/>
        <v>0</v>
      </c>
      <c r="AJ116" s="40">
        <f t="shared" si="45"/>
        <v>0</v>
      </c>
      <c r="AK116" s="40">
        <f t="shared" si="45"/>
        <v>0</v>
      </c>
      <c r="AL116" s="40">
        <f t="shared" si="45"/>
        <v>0</v>
      </c>
      <c r="AM116" s="40">
        <f t="shared" si="45"/>
        <v>-0.76545406048742781</v>
      </c>
      <c r="AN116" s="40">
        <f t="shared" si="45"/>
        <v>0</v>
      </c>
      <c r="AO116" s="40">
        <f t="shared" si="45"/>
        <v>1.151930546402556</v>
      </c>
      <c r="AQ116" s="40">
        <f t="shared" ref="AQ116:AX116" si="46">AQ90</f>
        <v>0</v>
      </c>
      <c r="AR116" s="40">
        <f t="shared" si="46"/>
        <v>0</v>
      </c>
      <c r="AS116" s="40">
        <f t="shared" si="46"/>
        <v>0</v>
      </c>
      <c r="AT116" s="40">
        <f t="shared" si="46"/>
        <v>0</v>
      </c>
      <c r="AU116" s="40">
        <f t="shared" si="46"/>
        <v>0</v>
      </c>
      <c r="AV116" s="40">
        <f t="shared" si="46"/>
        <v>0.35459920643744036</v>
      </c>
      <c r="AW116" s="40">
        <f t="shared" si="46"/>
        <v>0</v>
      </c>
      <c r="AX116" s="40">
        <f t="shared" si="46"/>
        <v>0.61670924735406152</v>
      </c>
      <c r="AY116" s="169"/>
      <c r="BA116" s="40">
        <f t="shared" ref="BA116:BH116" si="47">BA90</f>
        <v>0</v>
      </c>
      <c r="BB116" s="40">
        <f t="shared" si="47"/>
        <v>0</v>
      </c>
      <c r="BC116" s="40">
        <f t="shared" si="47"/>
        <v>0</v>
      </c>
      <c r="BD116" s="40">
        <f t="shared" si="47"/>
        <v>0</v>
      </c>
      <c r="BE116" s="40">
        <f t="shared" si="47"/>
        <v>0</v>
      </c>
      <c r="BF116" s="40">
        <f t="shared" si="47"/>
        <v>0</v>
      </c>
      <c r="BG116" s="40">
        <f t="shared" si="47"/>
        <v>0</v>
      </c>
      <c r="BH116" s="40">
        <f t="shared" si="47"/>
        <v>0</v>
      </c>
    </row>
    <row r="117" spans="2:60" x14ac:dyDescent="0.3">
      <c r="C117" s="39" t="s">
        <v>132</v>
      </c>
      <c r="D117" s="109"/>
      <c r="E117" s="40"/>
      <c r="F117" s="40">
        <f>F91</f>
        <v>0.21329685340467905</v>
      </c>
      <c r="G117" s="40"/>
      <c r="H117" s="40">
        <f>H91</f>
        <v>0.22281179142982771</v>
      </c>
      <c r="I117" s="40"/>
      <c r="J117" s="40">
        <f t="shared" si="42"/>
        <v>0.25327980664495808</v>
      </c>
      <c r="K117" s="40">
        <f t="shared" si="42"/>
        <v>0</v>
      </c>
      <c r="L117" s="40">
        <f t="shared" si="42"/>
        <v>0.12698092566036645</v>
      </c>
      <c r="M117" s="169"/>
      <c r="O117" s="40">
        <f t="shared" si="43"/>
        <v>0</v>
      </c>
      <c r="P117" s="40">
        <f t="shared" si="43"/>
        <v>0.20724908184103902</v>
      </c>
      <c r="Q117" s="40">
        <f t="shared" si="43"/>
        <v>0</v>
      </c>
      <c r="R117" s="40">
        <f t="shared" si="43"/>
        <v>0.22430584512379506</v>
      </c>
      <c r="S117" s="40">
        <f t="shared" si="43"/>
        <v>0</v>
      </c>
      <c r="T117" s="40">
        <f t="shared" si="43"/>
        <v>0.2592000982945421</v>
      </c>
      <c r="U117" s="40">
        <f>U91</f>
        <v>0</v>
      </c>
      <c r="V117" s="40">
        <f>V91</f>
        <v>8.2301938290472235E-2</v>
      </c>
      <c r="W117" s="169"/>
      <c r="Y117" s="40">
        <f t="shared" ref="Y117:AF117" si="48">Y91</f>
        <v>0</v>
      </c>
      <c r="Z117" s="40">
        <f t="shared" si="48"/>
        <v>0.20319052646743091</v>
      </c>
      <c r="AA117" s="40">
        <f t="shared" si="48"/>
        <v>0</v>
      </c>
      <c r="AB117" s="40">
        <f t="shared" si="48"/>
        <v>0.25582988783409777</v>
      </c>
      <c r="AC117" s="40">
        <f t="shared" si="48"/>
        <v>0</v>
      </c>
      <c r="AD117" s="40">
        <f t="shared" si="48"/>
        <v>0.38157971864292056</v>
      </c>
      <c r="AE117" s="40">
        <f t="shared" si="48"/>
        <v>0</v>
      </c>
      <c r="AF117" s="40">
        <f t="shared" si="48"/>
        <v>0.58988998306425122</v>
      </c>
      <c r="AH117" s="40">
        <f t="shared" ref="AH117:AO117" si="49">AH91</f>
        <v>0</v>
      </c>
      <c r="AI117" s="40">
        <f t="shared" si="49"/>
        <v>0</v>
      </c>
      <c r="AJ117" s="40">
        <f t="shared" si="49"/>
        <v>0</v>
      </c>
      <c r="AK117" s="40">
        <f t="shared" si="49"/>
        <v>0</v>
      </c>
      <c r="AL117" s="40">
        <f t="shared" si="49"/>
        <v>0</v>
      </c>
      <c r="AM117" s="40">
        <f t="shared" si="49"/>
        <v>-0.82444226150696687</v>
      </c>
      <c r="AN117" s="40">
        <f t="shared" si="49"/>
        <v>0</v>
      </c>
      <c r="AO117" s="40">
        <f t="shared" si="49"/>
        <v>1.1760404008647412</v>
      </c>
      <c r="AQ117" s="40">
        <f t="shared" ref="AQ117:AX117" si="50">AQ91</f>
        <v>0</v>
      </c>
      <c r="AR117" s="40">
        <f t="shared" si="50"/>
        <v>0</v>
      </c>
      <c r="AS117" s="40">
        <f t="shared" si="50"/>
        <v>0</v>
      </c>
      <c r="AT117" s="40">
        <f t="shared" si="50"/>
        <v>0.30083374194385742</v>
      </c>
      <c r="AU117" s="40">
        <f t="shared" si="50"/>
        <v>0</v>
      </c>
      <c r="AV117" s="40">
        <f t="shared" si="50"/>
        <v>0.34978218709724945</v>
      </c>
      <c r="AW117" s="40">
        <f t="shared" si="50"/>
        <v>0</v>
      </c>
      <c r="AX117" s="40">
        <f t="shared" si="50"/>
        <v>0.62208597984198255</v>
      </c>
      <c r="AY117" s="169"/>
      <c r="BA117" s="40">
        <f t="shared" ref="BA117:BH117" si="51">BA91</f>
        <v>0</v>
      </c>
      <c r="BB117" s="40">
        <f t="shared" si="51"/>
        <v>0</v>
      </c>
      <c r="BC117" s="40">
        <f t="shared" si="51"/>
        <v>0</v>
      </c>
      <c r="BD117" s="40">
        <f t="shared" si="51"/>
        <v>0</v>
      </c>
      <c r="BE117" s="40">
        <f t="shared" si="51"/>
        <v>0</v>
      </c>
      <c r="BF117" s="40">
        <f t="shared" si="51"/>
        <v>0</v>
      </c>
      <c r="BG117" s="40">
        <f t="shared" si="51"/>
        <v>0</v>
      </c>
      <c r="BH117" s="40">
        <f t="shared" si="51"/>
        <v>0</v>
      </c>
    </row>
    <row r="118" spans="2:60" s="64" customFormat="1" x14ac:dyDescent="0.3">
      <c r="C118" s="65"/>
      <c r="D118" s="77"/>
      <c r="E118" s="66"/>
      <c r="F118" s="66"/>
      <c r="G118" s="66"/>
      <c r="H118" s="66"/>
      <c r="I118" s="66"/>
      <c r="J118" s="66"/>
      <c r="K118" s="66"/>
      <c r="L118" s="66"/>
      <c r="M118" s="184"/>
      <c r="O118" s="67"/>
      <c r="P118" s="67"/>
      <c r="Q118" s="67"/>
      <c r="R118" s="67"/>
      <c r="S118" s="67"/>
      <c r="T118" s="67"/>
      <c r="U118" s="67"/>
      <c r="V118" s="67"/>
      <c r="W118" s="184"/>
      <c r="Y118" s="67"/>
      <c r="Z118" s="67"/>
      <c r="AA118" s="67"/>
      <c r="AB118" s="67"/>
      <c r="AC118" s="67"/>
      <c r="AD118" s="67"/>
      <c r="AE118" s="67"/>
      <c r="AF118" s="67"/>
      <c r="AH118" s="67"/>
      <c r="AI118" s="67"/>
      <c r="AJ118" s="67"/>
      <c r="AK118" s="67"/>
      <c r="AL118" s="67"/>
      <c r="AM118" s="67"/>
      <c r="AN118" s="67"/>
      <c r="AO118" s="67"/>
      <c r="AQ118" s="67"/>
      <c r="AR118" s="67"/>
      <c r="AS118" s="67"/>
      <c r="AT118" s="67"/>
      <c r="AU118" s="67"/>
      <c r="AV118" s="67"/>
      <c r="AW118" s="67"/>
      <c r="AX118" s="67"/>
      <c r="AY118" s="184"/>
      <c r="BA118" s="67"/>
      <c r="BB118" s="67"/>
      <c r="BC118" s="67"/>
      <c r="BD118" s="67"/>
      <c r="BE118" s="67"/>
      <c r="BF118" s="67"/>
      <c r="BG118" s="67"/>
      <c r="BH118" s="67"/>
    </row>
    <row r="119" spans="2:60" s="82" customFormat="1" x14ac:dyDescent="0.3">
      <c r="B119" s="81"/>
      <c r="C119" s="30" t="s">
        <v>116</v>
      </c>
      <c r="D119" s="30"/>
      <c r="E119" s="30"/>
      <c r="F119" s="30"/>
      <c r="G119" s="30"/>
      <c r="H119" s="30"/>
      <c r="I119" s="30"/>
      <c r="J119" s="30"/>
      <c r="K119" s="30"/>
      <c r="L119" s="30"/>
      <c r="M119" s="185"/>
      <c r="O119" s="30"/>
      <c r="P119" s="30"/>
      <c r="Q119" s="30"/>
      <c r="R119" s="30"/>
      <c r="S119" s="30"/>
      <c r="T119" s="30"/>
      <c r="U119" s="30"/>
      <c r="V119" s="30"/>
      <c r="W119" s="185"/>
      <c r="Y119" s="30"/>
      <c r="Z119" s="30"/>
      <c r="AA119" s="30"/>
      <c r="AB119" s="30"/>
      <c r="AC119" s="30"/>
      <c r="AD119" s="30"/>
      <c r="AE119" s="30"/>
      <c r="AF119" s="30"/>
      <c r="AG119" s="110"/>
      <c r="AH119" s="30"/>
      <c r="AI119" s="30"/>
      <c r="AJ119" s="30"/>
      <c r="AK119" s="30"/>
      <c r="AL119" s="30"/>
      <c r="AM119" s="30"/>
      <c r="AN119" s="30"/>
      <c r="AO119" s="30"/>
      <c r="AP119" s="110"/>
      <c r="AQ119" s="30"/>
      <c r="AR119" s="30"/>
      <c r="AS119" s="30"/>
      <c r="AT119" s="30"/>
      <c r="AU119" s="30"/>
      <c r="AV119" s="30"/>
      <c r="AW119" s="30"/>
      <c r="AX119" s="30"/>
      <c r="AY119" s="185"/>
      <c r="BA119" s="30"/>
      <c r="BB119" s="30"/>
      <c r="BC119" s="30"/>
      <c r="BD119" s="30"/>
      <c r="BE119" s="30"/>
      <c r="BF119" s="30"/>
      <c r="BG119" s="30"/>
      <c r="BH119" s="30"/>
    </row>
    <row r="120" spans="2:60" s="85" customFormat="1" x14ac:dyDescent="0.3">
      <c r="B120" s="84"/>
      <c r="C120" s="63" t="s">
        <v>105</v>
      </c>
      <c r="D120" s="63"/>
      <c r="E120" s="63"/>
      <c r="F120" s="63"/>
      <c r="G120" s="63"/>
      <c r="H120" s="63"/>
      <c r="I120" s="63"/>
      <c r="J120" s="63"/>
      <c r="K120" s="63"/>
      <c r="L120" s="63"/>
      <c r="M120" s="186"/>
      <c r="O120" s="63"/>
      <c r="P120" s="63"/>
      <c r="Q120" s="63"/>
      <c r="R120" s="63"/>
      <c r="S120" s="63"/>
      <c r="T120" s="63"/>
      <c r="U120" s="63"/>
      <c r="V120" s="63"/>
      <c r="W120" s="186"/>
      <c r="Y120" s="63"/>
      <c r="Z120" s="63"/>
      <c r="AA120" s="63"/>
      <c r="AB120" s="63"/>
      <c r="AC120" s="63"/>
      <c r="AD120" s="63"/>
      <c r="AE120" s="63"/>
      <c r="AF120" s="63"/>
      <c r="AG120" s="110"/>
      <c r="AH120" s="63"/>
      <c r="AI120" s="63"/>
      <c r="AJ120" s="63"/>
      <c r="AK120" s="63"/>
      <c r="AL120" s="63"/>
      <c r="AM120" s="63"/>
      <c r="AN120" s="63"/>
      <c r="AO120" s="63"/>
      <c r="AP120" s="110"/>
      <c r="AQ120" s="63"/>
      <c r="AR120" s="63"/>
      <c r="AS120" s="63"/>
      <c r="AT120" s="63"/>
      <c r="AU120" s="63"/>
      <c r="AV120" s="63"/>
      <c r="AW120" s="63"/>
      <c r="AX120" s="63"/>
      <c r="AY120" s="186"/>
      <c r="BA120" s="63"/>
      <c r="BB120" s="63"/>
      <c r="BC120" s="63"/>
      <c r="BD120" s="63"/>
      <c r="BE120" s="63"/>
      <c r="BF120" s="63"/>
      <c r="BG120" s="63"/>
      <c r="BH120" s="63"/>
    </row>
    <row r="121" spans="2:60" x14ac:dyDescent="0.3">
      <c r="C121" s="71"/>
      <c r="D121" s="120"/>
      <c r="H121" s="132"/>
      <c r="I121" s="132"/>
      <c r="J121" s="132"/>
      <c r="K121" s="132"/>
      <c r="L121" s="132"/>
    </row>
    <row r="122" spans="2:60" x14ac:dyDescent="0.3">
      <c r="C122" s="79" t="s">
        <v>110</v>
      </c>
      <c r="D122" s="121"/>
      <c r="E122" s="100">
        <f t="shared" ref="E122:L122" si="52">E123</f>
        <v>2300289.3419891861</v>
      </c>
      <c r="F122" s="100">
        <f t="shared" si="52"/>
        <v>2658503.6791994432</v>
      </c>
      <c r="G122" s="100">
        <f t="shared" si="52"/>
        <v>3126330.6469800011</v>
      </c>
      <c r="H122" s="100">
        <f t="shared" si="52"/>
        <v>4632348.9132400015</v>
      </c>
      <c r="I122" s="100">
        <f t="shared" si="52"/>
        <v>5792031.0701398309</v>
      </c>
      <c r="J122" s="100">
        <f t="shared" si="52"/>
        <v>6482723.3862586729</v>
      </c>
      <c r="K122" s="100">
        <f t="shared" si="52"/>
        <v>8354568.9297779929</v>
      </c>
      <c r="L122" s="100">
        <f t="shared" si="52"/>
        <v>8116323.7262507882</v>
      </c>
      <c r="M122" s="187">
        <f>L122/J122-1</f>
        <v>0.25199291141356306</v>
      </c>
      <c r="O122" s="100">
        <f t="shared" ref="O122:BH122" si="53">O123</f>
        <v>2300289.3419891861</v>
      </c>
      <c r="P122" s="100">
        <f t="shared" si="53"/>
        <v>2658503.6791994432</v>
      </c>
      <c r="Q122" s="100">
        <f t="shared" si="53"/>
        <v>3126330.6469800011</v>
      </c>
      <c r="R122" s="100">
        <f t="shared" si="53"/>
        <v>4632348.9132400015</v>
      </c>
      <c r="S122" s="100">
        <f t="shared" si="53"/>
        <v>5792031.0701398309</v>
      </c>
      <c r="T122" s="100">
        <f t="shared" si="53"/>
        <v>6482723.3862586729</v>
      </c>
      <c r="U122" s="100">
        <f t="shared" si="53"/>
        <v>8354568.9297779929</v>
      </c>
      <c r="V122" s="100">
        <f t="shared" si="53"/>
        <v>8116323.7262507882</v>
      </c>
      <c r="W122" s="187">
        <f>V122/T122-1</f>
        <v>0.25199291141356306</v>
      </c>
      <c r="Y122" s="100">
        <f t="shared" si="53"/>
        <v>2300289.3419891861</v>
      </c>
      <c r="Z122" s="100">
        <f t="shared" si="53"/>
        <v>2658503.6791994432</v>
      </c>
      <c r="AA122" s="100">
        <f t="shared" si="53"/>
        <v>3126330.6469800011</v>
      </c>
      <c r="AB122" s="100">
        <f t="shared" si="53"/>
        <v>4632348.9132400015</v>
      </c>
      <c r="AC122" s="100">
        <f t="shared" si="53"/>
        <v>5792031.0701398309</v>
      </c>
      <c r="AD122" s="100">
        <f t="shared" si="53"/>
        <v>6482723.3862586729</v>
      </c>
      <c r="AE122" s="100">
        <f t="shared" si="53"/>
        <v>8354568.9297779929</v>
      </c>
      <c r="AF122" s="100">
        <f t="shared" si="53"/>
        <v>8116323.7262507882</v>
      </c>
      <c r="AH122" s="100">
        <f t="shared" si="53"/>
        <v>2300289.3419891861</v>
      </c>
      <c r="AI122" s="100">
        <f t="shared" si="53"/>
        <v>2658503.6791994432</v>
      </c>
      <c r="AJ122" s="100">
        <f t="shared" si="53"/>
        <v>3126330.6469800011</v>
      </c>
      <c r="AK122" s="100">
        <f t="shared" si="53"/>
        <v>4632348.9132400015</v>
      </c>
      <c r="AL122" s="100">
        <f t="shared" si="53"/>
        <v>5792031.0701398309</v>
      </c>
      <c r="AM122" s="100">
        <f t="shared" si="53"/>
        <v>6482723.3862586729</v>
      </c>
      <c r="AN122" s="100">
        <f t="shared" si="53"/>
        <v>8354568.9297779929</v>
      </c>
      <c r="AO122" s="100">
        <f t="shared" si="53"/>
        <v>8116323.7262507882</v>
      </c>
      <c r="AQ122" s="100">
        <f t="shared" si="53"/>
        <v>2300289.3419891861</v>
      </c>
      <c r="AR122" s="100">
        <f t="shared" si="53"/>
        <v>2658503.6791994432</v>
      </c>
      <c r="AS122" s="100">
        <f t="shared" si="53"/>
        <v>3126330.6469800011</v>
      </c>
      <c r="AT122" s="100">
        <f t="shared" si="53"/>
        <v>4632348.9132400015</v>
      </c>
      <c r="AU122" s="100">
        <f t="shared" si="53"/>
        <v>5792031.0701398309</v>
      </c>
      <c r="AV122" s="100">
        <f t="shared" si="53"/>
        <v>6482723.3862586729</v>
      </c>
      <c r="AW122" s="100">
        <f t="shared" si="53"/>
        <v>8354568.9297779929</v>
      </c>
      <c r="AX122" s="100">
        <f t="shared" si="53"/>
        <v>8116323.7262507882</v>
      </c>
      <c r="AY122" s="187">
        <f>AX122/AV122-1</f>
        <v>0.25199291141356306</v>
      </c>
      <c r="BA122" s="100">
        <f t="shared" si="53"/>
        <v>2300289.3419891861</v>
      </c>
      <c r="BB122" s="100">
        <f t="shared" si="53"/>
        <v>2658503.6791994432</v>
      </c>
      <c r="BC122" s="100">
        <f t="shared" si="53"/>
        <v>3126330.6469800011</v>
      </c>
      <c r="BD122" s="100">
        <f t="shared" si="53"/>
        <v>4632348.9132400015</v>
      </c>
      <c r="BE122" s="100">
        <f t="shared" si="53"/>
        <v>5792031.0701398309</v>
      </c>
      <c r="BF122" s="100">
        <f t="shared" si="53"/>
        <v>6482723.3862586729</v>
      </c>
      <c r="BG122" s="100">
        <f t="shared" si="53"/>
        <v>8354568.9297779929</v>
      </c>
      <c r="BH122" s="100">
        <f t="shared" si="53"/>
        <v>8116323.7262507882</v>
      </c>
    </row>
    <row r="123" spans="2:60" x14ac:dyDescent="0.3">
      <c r="C123" s="65" t="s">
        <v>106</v>
      </c>
      <c r="D123" s="77">
        <v>26</v>
      </c>
      <c r="E123" s="69">
        <v>2300289.3419891861</v>
      </c>
      <c r="F123" s="69">
        <f>F130-F125</f>
        <v>2658503.6791994432</v>
      </c>
      <c r="G123" s="69">
        <v>3126330.6469800011</v>
      </c>
      <c r="H123" s="69">
        <f>H130-H125</f>
        <v>4632348.9132400015</v>
      </c>
      <c r="I123" s="69">
        <f>I130-I125</f>
        <v>5792031.0701398309</v>
      </c>
      <c r="J123" s="69">
        <f>J130-J125</f>
        <v>6482723.3862586729</v>
      </c>
      <c r="K123" s="69">
        <f>K130-K125</f>
        <v>8354568.9297779929</v>
      </c>
      <c r="L123" s="69">
        <f>L130-L125</f>
        <v>8116323.7262507882</v>
      </c>
      <c r="M123" s="182"/>
      <c r="N123" s="132"/>
      <c r="O123" s="67">
        <f>$E123</f>
        <v>2300289.3419891861</v>
      </c>
      <c r="P123" s="67">
        <f>$F123</f>
        <v>2658503.6791994432</v>
      </c>
      <c r="Q123" s="67">
        <f>$G123</f>
        <v>3126330.6469800011</v>
      </c>
      <c r="R123" s="67">
        <f>$H123</f>
        <v>4632348.9132400015</v>
      </c>
      <c r="S123" s="67">
        <f>$I123</f>
        <v>5792031.0701398309</v>
      </c>
      <c r="T123" s="67">
        <f>$J123</f>
        <v>6482723.3862586729</v>
      </c>
      <c r="U123" s="67">
        <f>$K123</f>
        <v>8354568.9297779929</v>
      </c>
      <c r="V123" s="67">
        <f>$L123</f>
        <v>8116323.7262507882</v>
      </c>
      <c r="W123" s="182"/>
      <c r="X123" s="64"/>
      <c r="Y123" s="67">
        <f>$E123</f>
        <v>2300289.3419891861</v>
      </c>
      <c r="Z123" s="67">
        <f>$F123</f>
        <v>2658503.6791994432</v>
      </c>
      <c r="AA123" s="67">
        <f>$G123</f>
        <v>3126330.6469800011</v>
      </c>
      <c r="AB123" s="67">
        <f>$H123</f>
        <v>4632348.9132400015</v>
      </c>
      <c r="AC123" s="67">
        <f>$I123</f>
        <v>5792031.0701398309</v>
      </c>
      <c r="AD123" s="67">
        <f>$J123</f>
        <v>6482723.3862586729</v>
      </c>
      <c r="AE123" s="67">
        <f>$K123</f>
        <v>8354568.9297779929</v>
      </c>
      <c r="AF123" s="67">
        <f>$L123</f>
        <v>8116323.7262507882</v>
      </c>
      <c r="AG123" s="64"/>
      <c r="AH123" s="67">
        <f>$E123</f>
        <v>2300289.3419891861</v>
      </c>
      <c r="AI123" s="67">
        <f>$F123</f>
        <v>2658503.6791994432</v>
      </c>
      <c r="AJ123" s="67">
        <f>$G123</f>
        <v>3126330.6469800011</v>
      </c>
      <c r="AK123" s="67">
        <f>$H123</f>
        <v>4632348.9132400015</v>
      </c>
      <c r="AL123" s="67">
        <f>$I123</f>
        <v>5792031.0701398309</v>
      </c>
      <c r="AM123" s="67">
        <f>$J123</f>
        <v>6482723.3862586729</v>
      </c>
      <c r="AN123" s="67">
        <f>$K123</f>
        <v>8354568.9297779929</v>
      </c>
      <c r="AO123" s="67">
        <f>$L123</f>
        <v>8116323.7262507882</v>
      </c>
      <c r="AP123" s="64"/>
      <c r="AQ123" s="67">
        <f>$E123</f>
        <v>2300289.3419891861</v>
      </c>
      <c r="AR123" s="67">
        <f>$F123</f>
        <v>2658503.6791994432</v>
      </c>
      <c r="AS123" s="67">
        <f>$G123</f>
        <v>3126330.6469800011</v>
      </c>
      <c r="AT123" s="67">
        <f>$H123</f>
        <v>4632348.9132400015</v>
      </c>
      <c r="AU123" s="67">
        <f>$I123</f>
        <v>5792031.0701398309</v>
      </c>
      <c r="AV123" s="67">
        <f>$J123</f>
        <v>6482723.3862586729</v>
      </c>
      <c r="AW123" s="67">
        <f>$K123</f>
        <v>8354568.9297779929</v>
      </c>
      <c r="AX123" s="67">
        <f>$L123</f>
        <v>8116323.7262507882</v>
      </c>
      <c r="AY123" s="182"/>
      <c r="AZ123" s="64"/>
      <c r="BA123" s="67">
        <f>$E123</f>
        <v>2300289.3419891861</v>
      </c>
      <c r="BB123" s="67">
        <f>$F123</f>
        <v>2658503.6791994432</v>
      </c>
      <c r="BC123" s="67">
        <f>$G123</f>
        <v>3126330.6469800011</v>
      </c>
      <c r="BD123" s="67">
        <f>$H123</f>
        <v>4632348.9132400015</v>
      </c>
      <c r="BE123" s="67">
        <f>$I123</f>
        <v>5792031.0701398309</v>
      </c>
      <c r="BF123" s="67">
        <f>$J123</f>
        <v>6482723.3862586729</v>
      </c>
      <c r="BG123" s="67">
        <f>$K123</f>
        <v>8354568.9297779929</v>
      </c>
      <c r="BH123" s="67">
        <f>$L123</f>
        <v>8116323.7262507882</v>
      </c>
    </row>
    <row r="124" spans="2:60" x14ac:dyDescent="0.3">
      <c r="C124" s="71"/>
      <c r="D124" s="120"/>
    </row>
    <row r="125" spans="2:60" x14ac:dyDescent="0.3">
      <c r="C125" s="80" t="s">
        <v>140</v>
      </c>
      <c r="D125" s="122"/>
      <c r="E125" s="100">
        <f t="shared" ref="E125:J125" si="54">SUM(E126:E128)</f>
        <v>5425275.1045700004</v>
      </c>
      <c r="F125" s="100">
        <f t="shared" si="54"/>
        <v>6309113.8501799991</v>
      </c>
      <c r="G125" s="100">
        <f t="shared" si="54"/>
        <v>7185558.1615800001</v>
      </c>
      <c r="H125" s="100">
        <f t="shared" si="54"/>
        <v>7750868.9041100675</v>
      </c>
      <c r="I125" s="100">
        <f t="shared" si="54"/>
        <v>9047763.6490500905</v>
      </c>
      <c r="J125" s="100">
        <f t="shared" si="54"/>
        <v>11647241.858480211</v>
      </c>
      <c r="K125" s="100">
        <f>SUM(K126:K128)</f>
        <v>12798075.542949991</v>
      </c>
      <c r="L125" s="100">
        <f>SUM(L126:L128)</f>
        <v>12243417.612149997</v>
      </c>
      <c r="M125" s="187">
        <f>L125/J125-1</f>
        <v>5.118600273898477E-2</v>
      </c>
      <c r="O125" s="100">
        <f t="shared" ref="O125:V125" si="55">SUM(O126:O128)</f>
        <v>5425275.1045700004</v>
      </c>
      <c r="P125" s="100">
        <f t="shared" si="55"/>
        <v>6309113.8501799991</v>
      </c>
      <c r="Q125" s="100">
        <f t="shared" si="55"/>
        <v>7185558.1615800001</v>
      </c>
      <c r="R125" s="100">
        <f t="shared" si="55"/>
        <v>7750868.9041100675</v>
      </c>
      <c r="S125" s="100">
        <f t="shared" si="55"/>
        <v>9047763.6490500905</v>
      </c>
      <c r="T125" s="100">
        <f t="shared" si="55"/>
        <v>11647241.858480211</v>
      </c>
      <c r="U125" s="100">
        <f t="shared" si="55"/>
        <v>12798075.542949991</v>
      </c>
      <c r="V125" s="100">
        <f t="shared" si="55"/>
        <v>12243417.612149997</v>
      </c>
      <c r="W125" s="187">
        <f>V125/T125-1</f>
        <v>5.118600273898477E-2</v>
      </c>
      <c r="Y125" s="100">
        <f t="shared" ref="Y125:AF125" si="56">SUM(Y126:Y128)</f>
        <v>5425275.1045700004</v>
      </c>
      <c r="Z125" s="100">
        <f t="shared" si="56"/>
        <v>6309113.8501799991</v>
      </c>
      <c r="AA125" s="100">
        <f t="shared" si="56"/>
        <v>7185558.1615800001</v>
      </c>
      <c r="AB125" s="100">
        <f t="shared" si="56"/>
        <v>7750868.9041100675</v>
      </c>
      <c r="AC125" s="100">
        <f t="shared" si="56"/>
        <v>9047763.6490500905</v>
      </c>
      <c r="AD125" s="100">
        <f t="shared" si="56"/>
        <v>11647241.858480211</v>
      </c>
      <c r="AE125" s="100">
        <f t="shared" si="56"/>
        <v>12798075.542949991</v>
      </c>
      <c r="AF125" s="100">
        <f t="shared" si="56"/>
        <v>12243417.612149997</v>
      </c>
      <c r="AG125" s="70"/>
      <c r="AH125" s="100">
        <f t="shared" ref="AH125:AO125" si="57">SUM(AH126:AH128)</f>
        <v>5425275.1045700004</v>
      </c>
      <c r="AI125" s="100">
        <f t="shared" si="57"/>
        <v>6309113.8501799991</v>
      </c>
      <c r="AJ125" s="100">
        <f t="shared" si="57"/>
        <v>7185558.1615800001</v>
      </c>
      <c r="AK125" s="100">
        <f t="shared" si="57"/>
        <v>7750868.9041100675</v>
      </c>
      <c r="AL125" s="100">
        <f t="shared" si="57"/>
        <v>9047763.6490500905</v>
      </c>
      <c r="AM125" s="100">
        <f t="shared" si="57"/>
        <v>11647241.858480211</v>
      </c>
      <c r="AN125" s="100">
        <f t="shared" si="57"/>
        <v>12798075.542949991</v>
      </c>
      <c r="AO125" s="100">
        <f t="shared" si="57"/>
        <v>12243417.612149997</v>
      </c>
      <c r="AP125" s="70"/>
      <c r="AQ125" s="100">
        <f t="shared" ref="AQ125:AX125" si="58">SUM(AQ126:AQ128)</f>
        <v>5425275.1045700004</v>
      </c>
      <c r="AR125" s="100">
        <f t="shared" si="58"/>
        <v>6309113.8501799991</v>
      </c>
      <c r="AS125" s="100">
        <f t="shared" si="58"/>
        <v>7185558.1615800001</v>
      </c>
      <c r="AT125" s="100">
        <f t="shared" si="58"/>
        <v>7750868.9041100675</v>
      </c>
      <c r="AU125" s="100">
        <f t="shared" si="58"/>
        <v>9047763.6490500905</v>
      </c>
      <c r="AV125" s="100">
        <f t="shared" si="58"/>
        <v>11647241.858480211</v>
      </c>
      <c r="AW125" s="100">
        <f t="shared" si="58"/>
        <v>12798075.542949991</v>
      </c>
      <c r="AX125" s="100">
        <f t="shared" si="58"/>
        <v>12243417.612149997</v>
      </c>
      <c r="AY125" s="187">
        <f>AX125/AV125-1</f>
        <v>5.118600273898477E-2</v>
      </c>
      <c r="AZ125" s="100"/>
      <c r="BA125" s="100">
        <f t="shared" ref="BA125:BH125" si="59">SUM(BA126:BA128)</f>
        <v>5425275.1045700004</v>
      </c>
      <c r="BB125" s="100">
        <f t="shared" si="59"/>
        <v>6309113.8501799991</v>
      </c>
      <c r="BC125" s="100">
        <f t="shared" si="59"/>
        <v>7185558.1615800001</v>
      </c>
      <c r="BD125" s="100">
        <f t="shared" si="59"/>
        <v>7750868.9041100675</v>
      </c>
      <c r="BE125" s="100">
        <f t="shared" si="59"/>
        <v>9047763.6490500905</v>
      </c>
      <c r="BF125" s="100">
        <f t="shared" si="59"/>
        <v>11647241.858480211</v>
      </c>
      <c r="BG125" s="100">
        <f t="shared" si="59"/>
        <v>12798075.542949991</v>
      </c>
      <c r="BH125" s="100">
        <f t="shared" si="59"/>
        <v>12243417.612149997</v>
      </c>
    </row>
    <row r="126" spans="2:60" x14ac:dyDescent="0.3">
      <c r="C126" s="71" t="s">
        <v>49</v>
      </c>
      <c r="D126" s="120">
        <v>29</v>
      </c>
      <c r="E126" s="69">
        <v>3981261.2712900001</v>
      </c>
      <c r="F126" s="69">
        <f>'Quarterly I.S'!H126</f>
        <v>2923993.5471599996</v>
      </c>
      <c r="G126" s="69">
        <v>2062076.8849999998</v>
      </c>
      <c r="H126" s="69">
        <f>'Quarterly I.S'!L126</f>
        <v>1446514.2739399527</v>
      </c>
      <c r="I126" s="69">
        <f>'Quarterly I.S'!N126</f>
        <v>1864869.5036599662</v>
      </c>
      <c r="J126" s="69">
        <f>'Quarterly I.S'!P126</f>
        <v>4546740.7121499674</v>
      </c>
      <c r="K126" s="69">
        <f>'Quarterly I.S'!R126</f>
        <v>5998726.2465499686</v>
      </c>
      <c r="L126" s="69">
        <f>'Quarterly I.S'!T126</f>
        <v>5672030.0144699765</v>
      </c>
      <c r="M126" s="182">
        <f>L126/J126-1</f>
        <v>0.24749361654007895</v>
      </c>
      <c r="O126" s="67">
        <f>$E126</f>
        <v>3981261.2712900001</v>
      </c>
      <c r="P126" s="67">
        <f>$F126</f>
        <v>2923993.5471599996</v>
      </c>
      <c r="Q126" s="67">
        <f>$G126</f>
        <v>2062076.8849999998</v>
      </c>
      <c r="R126" s="67">
        <f>$H126</f>
        <v>1446514.2739399527</v>
      </c>
      <c r="S126" s="67">
        <f>$I126</f>
        <v>1864869.5036599662</v>
      </c>
      <c r="T126" s="67">
        <f>$J126</f>
        <v>4546740.7121499674</v>
      </c>
      <c r="U126" s="67">
        <f>$K126</f>
        <v>5998726.2465499686</v>
      </c>
      <c r="V126" s="67">
        <f>$L126</f>
        <v>5672030.0144699765</v>
      </c>
      <c r="W126" s="182">
        <f>V126/T126-1</f>
        <v>0.24749361654007895</v>
      </c>
      <c r="X126" s="64"/>
      <c r="Y126" s="67">
        <f>$E126</f>
        <v>3981261.2712900001</v>
      </c>
      <c r="Z126" s="67">
        <f>$F126</f>
        <v>2923993.5471599996</v>
      </c>
      <c r="AA126" s="67">
        <f>$G126</f>
        <v>2062076.8849999998</v>
      </c>
      <c r="AB126" s="67">
        <f>$H126</f>
        <v>1446514.2739399527</v>
      </c>
      <c r="AC126" s="67">
        <f>$I126</f>
        <v>1864869.5036599662</v>
      </c>
      <c r="AD126" s="67">
        <f>$J126</f>
        <v>4546740.7121499674</v>
      </c>
      <c r="AE126" s="67">
        <f>$K126</f>
        <v>5998726.2465499686</v>
      </c>
      <c r="AF126" s="67">
        <f>$L126</f>
        <v>5672030.0144699765</v>
      </c>
      <c r="AG126" s="64"/>
      <c r="AH126" s="67">
        <f>$E126</f>
        <v>3981261.2712900001</v>
      </c>
      <c r="AI126" s="67">
        <f>$F126</f>
        <v>2923993.5471599996</v>
      </c>
      <c r="AJ126" s="67">
        <f>$G126</f>
        <v>2062076.8849999998</v>
      </c>
      <c r="AK126" s="67">
        <f>$H126</f>
        <v>1446514.2739399527</v>
      </c>
      <c r="AL126" s="67">
        <f>$I126</f>
        <v>1864869.5036599662</v>
      </c>
      <c r="AM126" s="67">
        <f>$J126</f>
        <v>4546740.7121499674</v>
      </c>
      <c r="AN126" s="67">
        <f>$K126</f>
        <v>5998726.2465499686</v>
      </c>
      <c r="AO126" s="67">
        <f>$L126</f>
        <v>5672030.0144699765</v>
      </c>
      <c r="AP126" s="64"/>
      <c r="AQ126" s="67">
        <f>$E126</f>
        <v>3981261.2712900001</v>
      </c>
      <c r="AR126" s="67">
        <f>$F126</f>
        <v>2923993.5471599996</v>
      </c>
      <c r="AS126" s="67">
        <f>$G126</f>
        <v>2062076.8849999998</v>
      </c>
      <c r="AT126" s="67">
        <f>$H126</f>
        <v>1446514.2739399527</v>
      </c>
      <c r="AU126" s="67">
        <f>$I126</f>
        <v>1864869.5036599662</v>
      </c>
      <c r="AV126" s="67">
        <f>$J126</f>
        <v>4546740.7121499674</v>
      </c>
      <c r="AW126" s="67">
        <f>$K126</f>
        <v>5998726.2465499686</v>
      </c>
      <c r="AX126" s="67">
        <f>$L126</f>
        <v>5672030.0144699765</v>
      </c>
      <c r="AY126" s="182">
        <f>AX126/AV126-1</f>
        <v>0.24749361654007895</v>
      </c>
      <c r="AZ126" s="64"/>
      <c r="BA126" s="67">
        <f>$E126</f>
        <v>3981261.2712900001</v>
      </c>
      <c r="BB126" s="67">
        <f>$F126</f>
        <v>2923993.5471599996</v>
      </c>
      <c r="BC126" s="67">
        <f>$G126</f>
        <v>2062076.8849999998</v>
      </c>
      <c r="BD126" s="67">
        <f>$H126</f>
        <v>1446514.2739399527</v>
      </c>
      <c r="BE126" s="67">
        <f>$I126</f>
        <v>1864869.5036599662</v>
      </c>
      <c r="BF126" s="67">
        <f>$J126</f>
        <v>4546740.7121499674</v>
      </c>
      <c r="BG126" s="67">
        <f>$K126</f>
        <v>5998726.2465499686</v>
      </c>
      <c r="BH126" s="67">
        <f>$L126</f>
        <v>5672030.0144699765</v>
      </c>
    </row>
    <row r="127" spans="2:60" x14ac:dyDescent="0.3">
      <c r="C127" s="71" t="s">
        <v>50</v>
      </c>
      <c r="D127" s="120" t="s">
        <v>151</v>
      </c>
      <c r="E127" s="69">
        <v>1284381.9724900001</v>
      </c>
      <c r="F127" s="69">
        <f>'Quarterly I.S'!H127</f>
        <v>3325794.4621599996</v>
      </c>
      <c r="G127" s="69">
        <v>5076517.6180000007</v>
      </c>
      <c r="H127" s="69">
        <f>'Quarterly I.S'!L127</f>
        <v>6273020.0723201148</v>
      </c>
      <c r="I127" s="69">
        <f>'Quarterly I.S'!N127</f>
        <v>7135359.0317901243</v>
      </c>
      <c r="J127" s="69">
        <f>'Quarterly I.S'!P127</f>
        <v>7056958.0177602442</v>
      </c>
      <c r="K127" s="69">
        <f>'Quarterly I.S'!R127</f>
        <v>6745142.9991400242</v>
      </c>
      <c r="L127" s="69">
        <f>'Quarterly I.S'!T127</f>
        <v>6505403.2891100198</v>
      </c>
      <c r="M127" s="182">
        <f>L127/J127-1</f>
        <v>-7.8157575440030547E-2</v>
      </c>
      <c r="O127" s="67">
        <f>$E127</f>
        <v>1284381.9724900001</v>
      </c>
      <c r="P127" s="67">
        <f>$F127</f>
        <v>3325794.4621599996</v>
      </c>
      <c r="Q127" s="67">
        <f>$G127</f>
        <v>5076517.6180000007</v>
      </c>
      <c r="R127" s="67">
        <f>$H127</f>
        <v>6273020.0723201148</v>
      </c>
      <c r="S127" s="67">
        <f>$I127</f>
        <v>7135359.0317901243</v>
      </c>
      <c r="T127" s="67">
        <f>$J127</f>
        <v>7056958.0177602442</v>
      </c>
      <c r="U127" s="67">
        <f>$K127</f>
        <v>6745142.9991400242</v>
      </c>
      <c r="V127" s="67">
        <f>$L127</f>
        <v>6505403.2891100198</v>
      </c>
      <c r="W127" s="182">
        <f>V127/T127-1</f>
        <v>-7.8157575440030547E-2</v>
      </c>
      <c r="X127" s="64"/>
      <c r="Y127" s="67">
        <f>$E127</f>
        <v>1284381.9724900001</v>
      </c>
      <c r="Z127" s="67">
        <f>$F127</f>
        <v>3325794.4621599996</v>
      </c>
      <c r="AA127" s="67">
        <f>$G127</f>
        <v>5076517.6180000007</v>
      </c>
      <c r="AB127" s="67">
        <f>$H127</f>
        <v>6273020.0723201148</v>
      </c>
      <c r="AC127" s="67">
        <f>$I127</f>
        <v>7135359.0317901243</v>
      </c>
      <c r="AD127" s="67">
        <f>$J127</f>
        <v>7056958.0177602442</v>
      </c>
      <c r="AE127" s="67">
        <f>$K127</f>
        <v>6745142.9991400242</v>
      </c>
      <c r="AF127" s="67">
        <f>$L127</f>
        <v>6505403.2891100198</v>
      </c>
      <c r="AG127" s="64"/>
      <c r="AH127" s="67">
        <f>$E127</f>
        <v>1284381.9724900001</v>
      </c>
      <c r="AI127" s="67">
        <f>$F127</f>
        <v>3325794.4621599996</v>
      </c>
      <c r="AJ127" s="67">
        <f>$G127</f>
        <v>5076517.6180000007</v>
      </c>
      <c r="AK127" s="67">
        <f>$H127</f>
        <v>6273020.0723201148</v>
      </c>
      <c r="AL127" s="67">
        <f>$I127</f>
        <v>7135359.0317901243</v>
      </c>
      <c r="AM127" s="67">
        <f>$J127</f>
        <v>7056958.0177602442</v>
      </c>
      <c r="AN127" s="67">
        <f>$K127</f>
        <v>6745142.9991400242</v>
      </c>
      <c r="AO127" s="67">
        <f>$L127</f>
        <v>6505403.2891100198</v>
      </c>
      <c r="AP127" s="64"/>
      <c r="AQ127" s="67">
        <f>$E127</f>
        <v>1284381.9724900001</v>
      </c>
      <c r="AR127" s="67">
        <f>$F127</f>
        <v>3325794.4621599996</v>
      </c>
      <c r="AS127" s="67">
        <f>$G127</f>
        <v>5076517.6180000007</v>
      </c>
      <c r="AT127" s="67">
        <f>$H127</f>
        <v>6273020.0723201148</v>
      </c>
      <c r="AU127" s="67">
        <f>$I127</f>
        <v>7135359.0317901243</v>
      </c>
      <c r="AV127" s="67">
        <f>$J127</f>
        <v>7056958.0177602442</v>
      </c>
      <c r="AW127" s="67">
        <f>$K127</f>
        <v>6745142.9991400242</v>
      </c>
      <c r="AX127" s="67">
        <f>$L127</f>
        <v>6505403.2891100198</v>
      </c>
      <c r="AY127" s="182">
        <f>AX127/AV127-1</f>
        <v>-7.8157575440030547E-2</v>
      </c>
      <c r="AZ127" s="64"/>
      <c r="BA127" s="67">
        <f>$E127</f>
        <v>1284381.9724900001</v>
      </c>
      <c r="BB127" s="67">
        <f>$F127</f>
        <v>3325794.4621599996</v>
      </c>
      <c r="BC127" s="67">
        <f>$G127</f>
        <v>5076517.6180000007</v>
      </c>
      <c r="BD127" s="67">
        <f>$H127</f>
        <v>6273020.0723201148</v>
      </c>
      <c r="BE127" s="67">
        <f>$I127</f>
        <v>7135359.0317901243</v>
      </c>
      <c r="BF127" s="67">
        <f>$J127</f>
        <v>7056958.0177602442</v>
      </c>
      <c r="BG127" s="67">
        <f>$K127</f>
        <v>6745142.9991400242</v>
      </c>
      <c r="BH127" s="67">
        <f>$L127</f>
        <v>6505403.2891100198</v>
      </c>
    </row>
    <row r="128" spans="2:60" x14ac:dyDescent="0.3">
      <c r="C128" s="71" t="s">
        <v>94</v>
      </c>
      <c r="D128" s="120">
        <v>14</v>
      </c>
      <c r="E128" s="69">
        <v>159631.86079000001</v>
      </c>
      <c r="F128" s="69">
        <f>'Quarterly I.S'!H128</f>
        <v>59325.840860000004</v>
      </c>
      <c r="G128" s="69">
        <v>46963.658580000003</v>
      </c>
      <c r="H128" s="69">
        <f>'Quarterly I.S'!L128</f>
        <v>31334.557849999997</v>
      </c>
      <c r="I128" s="69">
        <f>'Quarterly I.S'!N128</f>
        <v>47535.113599999997</v>
      </c>
      <c r="J128" s="69">
        <f>'Quarterly I.S'!P128</f>
        <v>43543.128570000001</v>
      </c>
      <c r="K128" s="69">
        <f>'Quarterly I.S'!R128</f>
        <v>54206.297259999999</v>
      </c>
      <c r="L128" s="69">
        <f>'Quarterly I.S'!T128</f>
        <v>65984.308570000008</v>
      </c>
      <c r="M128" s="182">
        <f>L128/J128-1</f>
        <v>0.51537821780360904</v>
      </c>
      <c r="O128" s="67">
        <f>$E128</f>
        <v>159631.86079000001</v>
      </c>
      <c r="P128" s="67">
        <f>$F128</f>
        <v>59325.840860000004</v>
      </c>
      <c r="Q128" s="67">
        <f>$G128</f>
        <v>46963.658580000003</v>
      </c>
      <c r="R128" s="67">
        <f>$H128</f>
        <v>31334.557849999997</v>
      </c>
      <c r="S128" s="67">
        <f>$I128</f>
        <v>47535.113599999997</v>
      </c>
      <c r="T128" s="67">
        <f>$J128</f>
        <v>43543.128570000001</v>
      </c>
      <c r="U128" s="67">
        <f>$K128</f>
        <v>54206.297259999999</v>
      </c>
      <c r="V128" s="67">
        <f>$L128</f>
        <v>65984.308570000008</v>
      </c>
      <c r="W128" s="182">
        <f>V128/T128-1</f>
        <v>0.51537821780360904</v>
      </c>
      <c r="X128" s="64"/>
      <c r="Y128" s="67">
        <f>$E128</f>
        <v>159631.86079000001</v>
      </c>
      <c r="Z128" s="67">
        <f>$F128</f>
        <v>59325.840860000004</v>
      </c>
      <c r="AA128" s="67">
        <f>$G128</f>
        <v>46963.658580000003</v>
      </c>
      <c r="AB128" s="67">
        <f>$H128</f>
        <v>31334.557849999997</v>
      </c>
      <c r="AC128" s="67">
        <f>$I128</f>
        <v>47535.113599999997</v>
      </c>
      <c r="AD128" s="67">
        <f>$J128</f>
        <v>43543.128570000001</v>
      </c>
      <c r="AE128" s="67">
        <f>$K128</f>
        <v>54206.297259999999</v>
      </c>
      <c r="AF128" s="67">
        <f>$L128</f>
        <v>65984.308570000008</v>
      </c>
      <c r="AG128" s="64"/>
      <c r="AH128" s="67">
        <f>$E128</f>
        <v>159631.86079000001</v>
      </c>
      <c r="AI128" s="67">
        <f>$F128</f>
        <v>59325.840860000004</v>
      </c>
      <c r="AJ128" s="67">
        <f>$G128</f>
        <v>46963.658580000003</v>
      </c>
      <c r="AK128" s="67">
        <f>$H128</f>
        <v>31334.557849999997</v>
      </c>
      <c r="AL128" s="67">
        <f>$I128</f>
        <v>47535.113599999997</v>
      </c>
      <c r="AM128" s="67">
        <f>$J128</f>
        <v>43543.128570000001</v>
      </c>
      <c r="AN128" s="67">
        <f>$K128</f>
        <v>54206.297259999999</v>
      </c>
      <c r="AO128" s="67">
        <f>$L128</f>
        <v>65984.308570000008</v>
      </c>
      <c r="AP128" s="64"/>
      <c r="AQ128" s="67">
        <f>$E128</f>
        <v>159631.86079000001</v>
      </c>
      <c r="AR128" s="67">
        <f>$F128</f>
        <v>59325.840860000004</v>
      </c>
      <c r="AS128" s="67">
        <f>$G128</f>
        <v>46963.658580000003</v>
      </c>
      <c r="AT128" s="67">
        <f>$H128</f>
        <v>31334.557849999997</v>
      </c>
      <c r="AU128" s="67">
        <f>$I128</f>
        <v>47535.113599999997</v>
      </c>
      <c r="AV128" s="67">
        <f>$J128</f>
        <v>43543.128570000001</v>
      </c>
      <c r="AW128" s="67">
        <f>$K128</f>
        <v>54206.297259999999</v>
      </c>
      <c r="AX128" s="67">
        <f>$L128</f>
        <v>65984.308570000008</v>
      </c>
      <c r="AY128" s="182">
        <f>AX128/AV128-1</f>
        <v>0.51537821780360904</v>
      </c>
      <c r="AZ128" s="64"/>
      <c r="BA128" s="67">
        <f>$E128</f>
        <v>159631.86079000001</v>
      </c>
      <c r="BB128" s="67">
        <f>$F128</f>
        <v>59325.840860000004</v>
      </c>
      <c r="BC128" s="67">
        <f>$G128</f>
        <v>46963.658580000003</v>
      </c>
      <c r="BD128" s="67">
        <f>$H128</f>
        <v>31334.557849999997</v>
      </c>
      <c r="BE128" s="67">
        <f>$I128</f>
        <v>47535.113599999997</v>
      </c>
      <c r="BF128" s="67">
        <f>$J128</f>
        <v>43543.128570000001</v>
      </c>
      <c r="BG128" s="67">
        <f>$K128</f>
        <v>54206.297259999999</v>
      </c>
      <c r="BH128" s="67">
        <f>$L128</f>
        <v>65984.308570000008</v>
      </c>
    </row>
    <row r="129" spans="2:60" x14ac:dyDescent="0.3">
      <c r="C129" s="101"/>
      <c r="D129" s="123"/>
    </row>
    <row r="130" spans="2:60" ht="13.5" thickBot="1" x14ac:dyDescent="0.35">
      <c r="C130" s="78" t="s">
        <v>141</v>
      </c>
      <c r="D130" s="124"/>
      <c r="E130" s="72">
        <f t="shared" ref="E130:T130" si="60">E125+E122</f>
        <v>7725564.446559187</v>
      </c>
      <c r="F130" s="72">
        <f>'Quarterly I.S'!H130</f>
        <v>8967617.5293794423</v>
      </c>
      <c r="G130" s="72">
        <f t="shared" si="60"/>
        <v>10311888.808560001</v>
      </c>
      <c r="H130" s="72">
        <f>'Quarterly I.S'!L130</f>
        <v>12383217.817350069</v>
      </c>
      <c r="I130" s="72">
        <f>'Quarterly I.S'!N130</f>
        <v>14839794.719189921</v>
      </c>
      <c r="J130" s="72">
        <f>'Quarterly I.S'!P130</f>
        <v>18129965.244738884</v>
      </c>
      <c r="K130" s="72">
        <f>'Quarterly I.S'!R130</f>
        <v>21152644.472727984</v>
      </c>
      <c r="L130" s="72">
        <f>'Quarterly I.S'!T130</f>
        <v>20359741.338400785</v>
      </c>
      <c r="M130" s="188">
        <f>L130/J130-1</f>
        <v>0.12298843729493392</v>
      </c>
      <c r="O130" s="72">
        <f t="shared" si="60"/>
        <v>7725564.446559187</v>
      </c>
      <c r="P130" s="72">
        <f t="shared" si="60"/>
        <v>8967617.5293794423</v>
      </c>
      <c r="Q130" s="72">
        <f t="shared" si="60"/>
        <v>10311888.808560001</v>
      </c>
      <c r="R130" s="72">
        <f t="shared" si="60"/>
        <v>12383217.817350069</v>
      </c>
      <c r="S130" s="72">
        <f t="shared" si="60"/>
        <v>14839794.719189921</v>
      </c>
      <c r="T130" s="72">
        <f t="shared" si="60"/>
        <v>18129965.244738884</v>
      </c>
      <c r="U130" s="72">
        <f>U125+U122</f>
        <v>21152644.472727984</v>
      </c>
      <c r="V130" s="72">
        <f>V125+V122</f>
        <v>20359741.338400785</v>
      </c>
      <c r="W130" s="188">
        <f>V130/T130-1</f>
        <v>0.12298843729493392</v>
      </c>
      <c r="Y130" s="72">
        <f t="shared" ref="Y130:AF130" si="61">Y125+Y122</f>
        <v>7725564.446559187</v>
      </c>
      <c r="Z130" s="72">
        <f t="shared" si="61"/>
        <v>8967617.5293794423</v>
      </c>
      <c r="AA130" s="72">
        <f t="shared" si="61"/>
        <v>10311888.808560001</v>
      </c>
      <c r="AB130" s="72">
        <f t="shared" si="61"/>
        <v>12383217.817350069</v>
      </c>
      <c r="AC130" s="72">
        <f t="shared" si="61"/>
        <v>14839794.719189921</v>
      </c>
      <c r="AD130" s="72">
        <f t="shared" si="61"/>
        <v>18129965.244738884</v>
      </c>
      <c r="AE130" s="72">
        <f t="shared" si="61"/>
        <v>21152644.472727984</v>
      </c>
      <c r="AF130" s="72">
        <f t="shared" si="61"/>
        <v>20359741.338400785</v>
      </c>
      <c r="AH130" s="72">
        <f t="shared" ref="AH130:AO130" si="62">AH125+AH122</f>
        <v>7725564.446559187</v>
      </c>
      <c r="AI130" s="72">
        <f t="shared" si="62"/>
        <v>8967617.5293794423</v>
      </c>
      <c r="AJ130" s="72">
        <f t="shared" si="62"/>
        <v>10311888.808560001</v>
      </c>
      <c r="AK130" s="72">
        <f t="shared" si="62"/>
        <v>12383217.817350069</v>
      </c>
      <c r="AL130" s="72">
        <f t="shared" si="62"/>
        <v>14839794.719189921</v>
      </c>
      <c r="AM130" s="72">
        <f t="shared" si="62"/>
        <v>18129965.244738884</v>
      </c>
      <c r="AN130" s="72">
        <f t="shared" si="62"/>
        <v>21152644.472727984</v>
      </c>
      <c r="AO130" s="72">
        <f t="shared" si="62"/>
        <v>20359741.338400785</v>
      </c>
      <c r="AQ130" s="72">
        <f t="shared" ref="AQ130:AX130" si="63">AQ125+AQ122</f>
        <v>7725564.446559187</v>
      </c>
      <c r="AR130" s="72">
        <f t="shared" si="63"/>
        <v>8967617.5293794423</v>
      </c>
      <c r="AS130" s="72">
        <f t="shared" si="63"/>
        <v>10311888.808560001</v>
      </c>
      <c r="AT130" s="72">
        <f t="shared" si="63"/>
        <v>12383217.817350069</v>
      </c>
      <c r="AU130" s="72">
        <f t="shared" si="63"/>
        <v>14839794.719189921</v>
      </c>
      <c r="AV130" s="72">
        <f t="shared" si="63"/>
        <v>18129965.244738884</v>
      </c>
      <c r="AW130" s="72">
        <f t="shared" si="63"/>
        <v>21152644.472727984</v>
      </c>
      <c r="AX130" s="72">
        <f t="shared" si="63"/>
        <v>20359741.338400785</v>
      </c>
      <c r="AY130" s="188">
        <f>AX130/AV130-1</f>
        <v>0.12298843729493392</v>
      </c>
      <c r="BA130" s="72">
        <f t="shared" ref="BA130:BH130" si="64">BA125+BA122</f>
        <v>7725564.446559187</v>
      </c>
      <c r="BB130" s="72">
        <f t="shared" si="64"/>
        <v>8967617.5293794423</v>
      </c>
      <c r="BC130" s="72">
        <f t="shared" si="64"/>
        <v>10311888.808560001</v>
      </c>
      <c r="BD130" s="72">
        <f t="shared" si="64"/>
        <v>12383217.817350069</v>
      </c>
      <c r="BE130" s="72">
        <f t="shared" si="64"/>
        <v>14839794.719189921</v>
      </c>
      <c r="BF130" s="72">
        <f t="shared" si="64"/>
        <v>18129965.244738884</v>
      </c>
      <c r="BG130" s="72">
        <f t="shared" si="64"/>
        <v>21152644.472727984</v>
      </c>
      <c r="BH130" s="72">
        <f t="shared" si="64"/>
        <v>20359741.338400785</v>
      </c>
    </row>
    <row r="131" spans="2:60" x14ac:dyDescent="0.3">
      <c r="C131" s="164" t="s">
        <v>51</v>
      </c>
      <c r="D131" s="109"/>
      <c r="E131" s="40"/>
      <c r="F131" s="165">
        <f>F130-'Quarterly I.S'!H130</f>
        <v>0</v>
      </c>
      <c r="G131" s="130"/>
      <c r="H131" s="165">
        <f>H130-'Quarterly I.S'!L130</f>
        <v>0</v>
      </c>
      <c r="I131" s="165"/>
      <c r="J131" s="165">
        <f>J130-'Quarterly I.S'!P130</f>
        <v>0</v>
      </c>
      <c r="K131" s="165">
        <f>K130-'Quarterly I.S'!R130</f>
        <v>0</v>
      </c>
      <c r="L131" s="165">
        <f>L130-'Quarterly I.S'!T130</f>
        <v>0</v>
      </c>
      <c r="M131" s="189"/>
      <c r="O131" s="40"/>
      <c r="P131" s="40"/>
      <c r="Q131" s="40"/>
      <c r="R131" s="40"/>
      <c r="S131" s="40"/>
      <c r="T131" s="40"/>
      <c r="U131" s="40"/>
      <c r="V131" s="40"/>
      <c r="W131" s="189"/>
      <c r="Y131" s="40"/>
      <c r="Z131" s="40"/>
      <c r="AA131" s="40"/>
      <c r="AB131" s="40"/>
      <c r="AC131" s="40"/>
      <c r="AD131" s="40"/>
      <c r="AE131" s="40"/>
      <c r="AF131" s="40"/>
      <c r="AH131" s="40"/>
      <c r="AI131" s="40"/>
      <c r="AJ131" s="40"/>
      <c r="AK131" s="40"/>
      <c r="AL131" s="40"/>
      <c r="AM131" s="40"/>
      <c r="AN131" s="40"/>
      <c r="AO131" s="40"/>
      <c r="AQ131" s="40"/>
      <c r="AR131" s="40"/>
      <c r="AS131" s="40"/>
      <c r="AT131" s="40"/>
      <c r="AU131" s="40"/>
      <c r="AV131" s="40"/>
      <c r="AW131" s="40"/>
      <c r="AX131" s="40"/>
      <c r="AY131" s="189"/>
      <c r="BA131" s="40"/>
      <c r="BB131" s="40"/>
      <c r="BC131" s="40"/>
      <c r="BD131" s="40"/>
      <c r="BE131" s="40"/>
      <c r="BF131" s="40"/>
      <c r="BG131" s="40"/>
      <c r="BH131" s="40"/>
    </row>
    <row r="132" spans="2:60" x14ac:dyDescent="0.3">
      <c r="C132" s="39"/>
      <c r="D132" s="109"/>
      <c r="E132" s="40"/>
      <c r="F132" s="40"/>
      <c r="G132" s="40"/>
      <c r="H132" s="40"/>
      <c r="I132" s="40"/>
      <c r="J132" s="40"/>
      <c r="K132" s="40"/>
      <c r="L132" s="40"/>
      <c r="M132" s="169"/>
      <c r="O132" s="40"/>
      <c r="P132" s="40"/>
      <c r="Q132" s="40"/>
      <c r="R132" s="40"/>
      <c r="S132" s="40"/>
      <c r="T132" s="40"/>
      <c r="U132" s="40"/>
      <c r="V132" s="40"/>
      <c r="W132" s="169"/>
      <c r="Y132" s="40"/>
      <c r="Z132" s="40"/>
      <c r="AA132" s="40"/>
      <c r="AB132" s="40"/>
      <c r="AC132" s="40"/>
      <c r="AD132" s="40"/>
      <c r="AE132" s="40"/>
      <c r="AF132" s="40"/>
      <c r="AH132" s="40"/>
      <c r="AI132" s="40"/>
      <c r="AJ132" s="40"/>
      <c r="AK132" s="40"/>
      <c r="AL132" s="40"/>
      <c r="AM132" s="40"/>
      <c r="AN132" s="40"/>
      <c r="AO132" s="40"/>
      <c r="AQ132" s="40"/>
      <c r="AR132" s="40"/>
      <c r="AS132" s="40"/>
      <c r="AT132" s="40"/>
      <c r="AU132" s="40"/>
      <c r="AV132" s="40"/>
      <c r="AW132" s="40"/>
      <c r="AX132" s="40"/>
      <c r="AY132" s="169"/>
      <c r="BA132" s="40"/>
      <c r="BB132" s="40"/>
      <c r="BC132" s="40"/>
      <c r="BD132" s="40"/>
      <c r="BE132" s="40"/>
      <c r="BF132" s="40"/>
      <c r="BG132" s="40"/>
      <c r="BH132" s="40"/>
    </row>
    <row r="133" spans="2:60" x14ac:dyDescent="0.3">
      <c r="C133" s="39"/>
      <c r="D133" s="109"/>
      <c r="E133" s="40"/>
      <c r="F133" s="40"/>
      <c r="G133" s="130"/>
      <c r="H133" s="130"/>
      <c r="I133" s="130"/>
      <c r="J133" s="130"/>
      <c r="K133" s="130"/>
      <c r="L133" s="130"/>
      <c r="M133" s="131"/>
      <c r="O133" s="40"/>
      <c r="P133" s="40"/>
      <c r="Q133" s="40"/>
      <c r="R133" s="40"/>
      <c r="S133" s="40"/>
      <c r="T133" s="40"/>
      <c r="U133" s="40"/>
      <c r="V133" s="40"/>
      <c r="W133" s="131"/>
      <c r="Y133" s="40"/>
      <c r="Z133" s="40"/>
      <c r="AA133" s="40"/>
      <c r="AB133" s="40"/>
      <c r="AC133" s="40"/>
      <c r="AD133" s="40"/>
      <c r="AE133" s="40"/>
      <c r="AF133" s="40"/>
      <c r="AH133" s="40"/>
      <c r="AI133" s="40"/>
      <c r="AJ133" s="40"/>
      <c r="AK133" s="40"/>
      <c r="AL133" s="40"/>
      <c r="AM133" s="40"/>
      <c r="AN133" s="40"/>
      <c r="AO133" s="40"/>
      <c r="AQ133" s="40"/>
      <c r="AR133" s="40"/>
      <c r="AS133" s="40"/>
      <c r="AT133" s="40"/>
      <c r="AU133" s="40"/>
      <c r="AV133" s="40"/>
      <c r="AW133" s="40"/>
      <c r="AX133" s="40"/>
      <c r="AY133" s="131"/>
      <c r="BA133" s="40"/>
      <c r="BB133" s="40"/>
      <c r="BC133" s="40"/>
      <c r="BD133" s="40"/>
      <c r="BE133" s="40"/>
      <c r="BF133" s="40"/>
      <c r="BG133" s="40"/>
      <c r="BH133" s="40"/>
    </row>
    <row r="134" spans="2:60" s="85" customFormat="1" x14ac:dyDescent="0.3">
      <c r="B134" s="84"/>
      <c r="C134" s="63" t="s">
        <v>125</v>
      </c>
      <c r="D134" s="63"/>
      <c r="E134" s="63"/>
      <c r="F134" s="63"/>
      <c r="G134" s="63"/>
      <c r="H134" s="63"/>
      <c r="I134" s="63"/>
      <c r="J134" s="63"/>
      <c r="K134" s="63"/>
      <c r="L134" s="63"/>
      <c r="M134" s="186"/>
      <c r="O134" s="63"/>
      <c r="P134" s="63"/>
      <c r="Q134" s="63"/>
      <c r="R134" s="63"/>
      <c r="S134" s="63"/>
      <c r="T134" s="63"/>
      <c r="U134" s="63"/>
      <c r="V134" s="63"/>
      <c r="W134" s="186"/>
      <c r="Y134" s="63"/>
      <c r="Z134" s="63"/>
      <c r="AA134" s="63"/>
      <c r="AB134" s="63"/>
      <c r="AC134" s="63"/>
      <c r="AD134" s="63"/>
      <c r="AE134" s="63"/>
      <c r="AF134" s="63"/>
      <c r="AG134" s="110"/>
      <c r="AH134" s="63"/>
      <c r="AI134" s="63"/>
      <c r="AJ134" s="63"/>
      <c r="AK134" s="63"/>
      <c r="AL134" s="63"/>
      <c r="AM134" s="63"/>
      <c r="AN134" s="63"/>
      <c r="AO134" s="63"/>
      <c r="AP134" s="110"/>
      <c r="AQ134" s="63"/>
      <c r="AR134" s="63"/>
      <c r="AS134" s="63"/>
      <c r="AT134" s="63"/>
      <c r="AU134" s="63"/>
      <c r="AV134" s="63"/>
      <c r="AW134" s="63"/>
      <c r="AX134" s="63"/>
      <c r="AY134" s="186"/>
      <c r="BA134" s="63"/>
      <c r="BB134" s="63"/>
      <c r="BC134" s="63"/>
      <c r="BD134" s="63"/>
      <c r="BE134" s="63"/>
      <c r="BF134" s="63"/>
      <c r="BG134" s="63"/>
      <c r="BH134" s="63"/>
    </row>
    <row r="135" spans="2:60" x14ac:dyDescent="0.3">
      <c r="C135" s="99" t="s">
        <v>124</v>
      </c>
      <c r="D135" s="125"/>
      <c r="E135" s="47">
        <f>SUM(E136:E141)</f>
        <v>0</v>
      </c>
      <c r="F135" s="47">
        <f>SUM(F136:F141)</f>
        <v>3050339.4873641329</v>
      </c>
      <c r="G135" s="47">
        <f>SUM(G136:G141)</f>
        <v>0</v>
      </c>
      <c r="H135" s="47">
        <f>SUM(H136:H141)</f>
        <v>4996929.4749770397</v>
      </c>
      <c r="I135" s="47"/>
      <c r="J135" s="47">
        <f>SUM(J136:J141)</f>
        <v>7829395.8134879898</v>
      </c>
      <c r="K135" s="47"/>
      <c r="L135" s="47">
        <f>SUM(L136:L141)</f>
        <v>4730772.4228888005</v>
      </c>
      <c r="M135" s="173">
        <f t="shared" ref="M135:M141" si="65">L135/J135-1</f>
        <v>-0.3957678809980556</v>
      </c>
      <c r="O135" s="47">
        <f>SUM(O136:O141)</f>
        <v>0</v>
      </c>
      <c r="P135" s="47">
        <f>SUM(P136:P141)</f>
        <v>3050339.4873641329</v>
      </c>
      <c r="Q135" s="47">
        <f>SUM(Q136:Q141)</f>
        <v>0</v>
      </c>
      <c r="R135" s="47">
        <f>SUM(R136:R141)</f>
        <v>4996929.4749770397</v>
      </c>
      <c r="S135" s="47"/>
      <c r="T135" s="47">
        <f>SUM(T136:T141)</f>
        <v>7829395.8134879898</v>
      </c>
      <c r="U135" s="47"/>
      <c r="V135" s="47">
        <f>SUM(V136:V141)</f>
        <v>4730772.4228888005</v>
      </c>
      <c r="W135" s="173">
        <f t="shared" ref="W135:W141" si="66">V135/T135-1</f>
        <v>-0.3957678809980556</v>
      </c>
      <c r="Y135" s="47">
        <f>SUM(Y136:Y141)</f>
        <v>0</v>
      </c>
      <c r="Z135" s="47">
        <f>SUM(Z136:Z141)</f>
        <v>3050339.4873641329</v>
      </c>
      <c r="AA135" s="47">
        <f>SUM(AA136:AA141)</f>
        <v>0</v>
      </c>
      <c r="AB135" s="47">
        <f>SUM(AB136:AB141)</f>
        <v>4996929.4749770397</v>
      </c>
      <c r="AC135" s="47"/>
      <c r="AD135" s="47">
        <f>SUM(AD136:AD141)</f>
        <v>7829395.8134879898</v>
      </c>
      <c r="AE135" s="47"/>
      <c r="AF135" s="47">
        <f>SUM(AF136:AF141)</f>
        <v>4730772.4228888005</v>
      </c>
      <c r="AH135" s="47">
        <f>SUM(AH136:AH141)</f>
        <v>0</v>
      </c>
      <c r="AI135" s="47">
        <f>SUM(AI136:AI141)</f>
        <v>3050339.4873641329</v>
      </c>
      <c r="AJ135" s="47">
        <f>SUM(AJ136:AJ141)</f>
        <v>0</v>
      </c>
      <c r="AK135" s="47">
        <f>SUM(AK136:AK141)</f>
        <v>4996929.4749770397</v>
      </c>
      <c r="AL135" s="47"/>
      <c r="AM135" s="47">
        <f>SUM(AM136:AM141)</f>
        <v>7829395.8134879898</v>
      </c>
      <c r="AN135" s="47"/>
      <c r="AO135" s="47">
        <f>SUM(AO136:AO141)</f>
        <v>4730772.4228888005</v>
      </c>
      <c r="AQ135" s="47">
        <f>SUM(AQ136:AQ141)</f>
        <v>0</v>
      </c>
      <c r="AR135" s="47">
        <f>SUM(AR136:AR141)</f>
        <v>3050339.4873641329</v>
      </c>
      <c r="AS135" s="47">
        <f>SUM(AS136:AS141)</f>
        <v>0</v>
      </c>
      <c r="AT135" s="47">
        <f>SUM(AT136:AT141)</f>
        <v>4996929.4749770397</v>
      </c>
      <c r="AU135" s="47"/>
      <c r="AV135" s="47">
        <f>SUM(AV136:AV141)</f>
        <v>7829395.8134879898</v>
      </c>
      <c r="AW135" s="47"/>
      <c r="AX135" s="47">
        <f>SUM(AX136:AX141)</f>
        <v>4730772.4228888005</v>
      </c>
      <c r="AY135" s="173">
        <f t="shared" ref="AY135:AY141" si="67">AX135/AV135-1</f>
        <v>-0.3957678809980556</v>
      </c>
      <c r="BA135" s="47">
        <f>SUM(BA136:BA141)</f>
        <v>0</v>
      </c>
      <c r="BB135" s="47">
        <f>SUM(BB136:BB141)</f>
        <v>3050339.4873641329</v>
      </c>
      <c r="BC135" s="47">
        <f>SUM(BC136:BC141)</f>
        <v>0</v>
      </c>
      <c r="BD135" s="47">
        <f>SUM(BD136:BD141)</f>
        <v>4996929.4749770397</v>
      </c>
      <c r="BE135" s="47"/>
      <c r="BF135" s="47">
        <f>SUM(BF136:BF141)</f>
        <v>7829395.8134879898</v>
      </c>
      <c r="BG135" s="47"/>
      <c r="BH135" s="47">
        <f>SUM(BH136:BH141)</f>
        <v>4730772.4228888005</v>
      </c>
    </row>
    <row r="136" spans="2:60" x14ac:dyDescent="0.3">
      <c r="C136" s="65" t="s">
        <v>117</v>
      </c>
      <c r="D136" s="77"/>
      <c r="E136" s="97"/>
      <c r="F136" s="97">
        <f>SUM('Quarterly I.S'!G136:H136)</f>
        <v>1946620.6626499998</v>
      </c>
      <c r="G136" s="97"/>
      <c r="H136" s="97">
        <f>SUM('Quarterly I.S'!K136:L136)</f>
        <v>2141085.2676508301</v>
      </c>
      <c r="I136" s="97"/>
      <c r="J136" s="97">
        <f>SUM('Quarterly I.S'!O136:P136)</f>
        <v>4233381.0101899998</v>
      </c>
      <c r="K136" s="97"/>
      <c r="L136" s="97">
        <f>SUM('Quarterly I.S'!S136:T136)</f>
        <v>2499868.3530000001</v>
      </c>
      <c r="M136" s="190">
        <f t="shared" si="65"/>
        <v>-0.40948656712385012</v>
      </c>
      <c r="N136" s="132"/>
      <c r="O136" s="67">
        <f t="shared" ref="O136:O141" si="68">$E136</f>
        <v>0</v>
      </c>
      <c r="P136" s="67">
        <f t="shared" ref="P136:P141" si="69">$F136</f>
        <v>1946620.6626499998</v>
      </c>
      <c r="Q136" s="67">
        <f t="shared" ref="Q136:Q141" si="70">$G136</f>
        <v>0</v>
      </c>
      <c r="R136" s="67">
        <f t="shared" ref="R136:R141" si="71">$H136</f>
        <v>2141085.2676508301</v>
      </c>
      <c r="S136" s="67"/>
      <c r="T136" s="67">
        <f t="shared" ref="T136:T141" si="72">$J136</f>
        <v>4233381.0101899998</v>
      </c>
      <c r="U136" s="67"/>
      <c r="V136" s="67">
        <f t="shared" ref="V136:V141" si="73">$L136</f>
        <v>2499868.3530000001</v>
      </c>
      <c r="W136" s="190">
        <f t="shared" si="66"/>
        <v>-0.40948656712385012</v>
      </c>
      <c r="X136" s="64"/>
      <c r="Y136" s="67">
        <f t="shared" ref="Y136:Y141" si="74">$E136</f>
        <v>0</v>
      </c>
      <c r="Z136" s="67">
        <f t="shared" ref="Z136:Z141" si="75">$F136</f>
        <v>1946620.6626499998</v>
      </c>
      <c r="AA136" s="67">
        <f t="shared" ref="AA136:AA141" si="76">$G136</f>
        <v>0</v>
      </c>
      <c r="AB136" s="67">
        <f t="shared" ref="AB136:AB141" si="77">$H136</f>
        <v>2141085.2676508301</v>
      </c>
      <c r="AC136" s="67"/>
      <c r="AD136" s="67">
        <f t="shared" ref="AD136:AD141" si="78">$J136</f>
        <v>4233381.0101899998</v>
      </c>
      <c r="AE136" s="67"/>
      <c r="AF136" s="67">
        <f t="shared" ref="AF136:AF141" si="79">$L136</f>
        <v>2499868.3530000001</v>
      </c>
      <c r="AG136" s="64"/>
      <c r="AH136" s="67">
        <f t="shared" ref="AH136:AH141" si="80">$E136</f>
        <v>0</v>
      </c>
      <c r="AI136" s="67">
        <f t="shared" ref="AI136:AI141" si="81">$F136</f>
        <v>1946620.6626499998</v>
      </c>
      <c r="AJ136" s="67">
        <f t="shared" ref="AJ136:AJ141" si="82">$G136</f>
        <v>0</v>
      </c>
      <c r="AK136" s="67">
        <f t="shared" ref="AK136:AK141" si="83">$H136</f>
        <v>2141085.2676508301</v>
      </c>
      <c r="AL136" s="67"/>
      <c r="AM136" s="67">
        <f t="shared" ref="AM136:AM141" si="84">$J136</f>
        <v>4233381.0101899998</v>
      </c>
      <c r="AN136" s="67"/>
      <c r="AO136" s="67">
        <f t="shared" ref="AO136:AO141" si="85">$L136</f>
        <v>2499868.3530000001</v>
      </c>
      <c r="AP136" s="64"/>
      <c r="AQ136" s="67">
        <f t="shared" ref="AQ136:AQ141" si="86">$E136</f>
        <v>0</v>
      </c>
      <c r="AR136" s="67">
        <f t="shared" ref="AR136:AR141" si="87">$F136</f>
        <v>1946620.6626499998</v>
      </c>
      <c r="AS136" s="67">
        <f t="shared" ref="AS136:AS141" si="88">$G136</f>
        <v>0</v>
      </c>
      <c r="AT136" s="67">
        <f t="shared" ref="AT136:AT141" si="89">$H136</f>
        <v>2141085.2676508301</v>
      </c>
      <c r="AU136" s="67"/>
      <c r="AV136" s="67">
        <f t="shared" ref="AV136:AV141" si="90">$J136</f>
        <v>4233381.0101899998</v>
      </c>
      <c r="AW136" s="67"/>
      <c r="AX136" s="67">
        <f t="shared" ref="AX136:AX141" si="91">$L136</f>
        <v>2499868.3530000001</v>
      </c>
      <c r="AY136" s="190">
        <f t="shared" si="67"/>
        <v>-0.40948656712385012</v>
      </c>
      <c r="AZ136" s="64"/>
      <c r="BA136" s="67">
        <f t="shared" ref="BA136:BA141" si="92">$E136</f>
        <v>0</v>
      </c>
      <c r="BB136" s="67">
        <f t="shared" ref="BB136:BB141" si="93">$F136</f>
        <v>1946620.6626499998</v>
      </c>
      <c r="BC136" s="67">
        <f t="shared" ref="BC136:BC141" si="94">$G136</f>
        <v>0</v>
      </c>
      <c r="BD136" s="67">
        <f t="shared" ref="BD136:BD141" si="95">$H136</f>
        <v>2141085.2676508301</v>
      </c>
      <c r="BE136" s="67"/>
      <c r="BF136" s="67">
        <f t="shared" ref="BF136:BF141" si="96">$J136</f>
        <v>4233381.0101899998</v>
      </c>
      <c r="BG136" s="67"/>
      <c r="BH136" s="67">
        <f t="shared" ref="BH136:BH141" si="97">$L136</f>
        <v>2499868.3530000001</v>
      </c>
    </row>
    <row r="137" spans="2:60" x14ac:dyDescent="0.3">
      <c r="C137" s="65" t="s">
        <v>119</v>
      </c>
      <c r="D137" s="77"/>
      <c r="E137" s="97"/>
      <c r="F137" s="97">
        <f>SUM('Quarterly I.S'!G137:H137)</f>
        <v>201754.78641</v>
      </c>
      <c r="G137" s="97"/>
      <c r="H137" s="97">
        <f>SUM('Quarterly I.S'!K137:L137)</f>
        <v>359109.75051489001</v>
      </c>
      <c r="I137" s="97"/>
      <c r="J137" s="97">
        <f>SUM('Quarterly I.S'!O137:P137)</f>
        <v>405810.12099999998</v>
      </c>
      <c r="K137" s="97"/>
      <c r="L137" s="97">
        <f>SUM('Quarterly I.S'!S137:T137)</f>
        <v>246658.67499999999</v>
      </c>
      <c r="M137" s="190">
        <f t="shared" si="65"/>
        <v>-0.39218205205877554</v>
      </c>
      <c r="N137" s="132"/>
      <c r="O137" s="67">
        <f t="shared" si="68"/>
        <v>0</v>
      </c>
      <c r="P137" s="67">
        <f t="shared" si="69"/>
        <v>201754.78641</v>
      </c>
      <c r="Q137" s="67">
        <f t="shared" si="70"/>
        <v>0</v>
      </c>
      <c r="R137" s="67">
        <f t="shared" si="71"/>
        <v>359109.75051489001</v>
      </c>
      <c r="S137" s="67"/>
      <c r="T137" s="67">
        <f t="shared" si="72"/>
        <v>405810.12099999998</v>
      </c>
      <c r="U137" s="67"/>
      <c r="V137" s="67">
        <f t="shared" si="73"/>
        <v>246658.67499999999</v>
      </c>
      <c r="W137" s="190">
        <f t="shared" si="66"/>
        <v>-0.39218205205877554</v>
      </c>
      <c r="X137" s="64"/>
      <c r="Y137" s="67">
        <f t="shared" si="74"/>
        <v>0</v>
      </c>
      <c r="Z137" s="67">
        <f t="shared" si="75"/>
        <v>201754.78641</v>
      </c>
      <c r="AA137" s="67">
        <f t="shared" si="76"/>
        <v>0</v>
      </c>
      <c r="AB137" s="67">
        <f t="shared" si="77"/>
        <v>359109.75051489001</v>
      </c>
      <c r="AC137" s="67"/>
      <c r="AD137" s="67">
        <f t="shared" si="78"/>
        <v>405810.12099999998</v>
      </c>
      <c r="AE137" s="67"/>
      <c r="AF137" s="67">
        <f t="shared" si="79"/>
        <v>246658.67499999999</v>
      </c>
      <c r="AG137" s="64"/>
      <c r="AH137" s="67">
        <f t="shared" si="80"/>
        <v>0</v>
      </c>
      <c r="AI137" s="67">
        <f t="shared" si="81"/>
        <v>201754.78641</v>
      </c>
      <c r="AJ137" s="67">
        <f t="shared" si="82"/>
        <v>0</v>
      </c>
      <c r="AK137" s="67">
        <f t="shared" si="83"/>
        <v>359109.75051489001</v>
      </c>
      <c r="AL137" s="67"/>
      <c r="AM137" s="67">
        <f t="shared" si="84"/>
        <v>405810.12099999998</v>
      </c>
      <c r="AN137" s="67"/>
      <c r="AO137" s="67">
        <f t="shared" si="85"/>
        <v>246658.67499999999</v>
      </c>
      <c r="AP137" s="64"/>
      <c r="AQ137" s="67">
        <f t="shared" si="86"/>
        <v>0</v>
      </c>
      <c r="AR137" s="67">
        <f t="shared" si="87"/>
        <v>201754.78641</v>
      </c>
      <c r="AS137" s="67">
        <f t="shared" si="88"/>
        <v>0</v>
      </c>
      <c r="AT137" s="67">
        <f t="shared" si="89"/>
        <v>359109.75051489001</v>
      </c>
      <c r="AU137" s="67"/>
      <c r="AV137" s="67">
        <f t="shared" si="90"/>
        <v>405810.12099999998</v>
      </c>
      <c r="AW137" s="67"/>
      <c r="AX137" s="67">
        <f t="shared" si="91"/>
        <v>246658.67499999999</v>
      </c>
      <c r="AY137" s="190">
        <f t="shared" si="67"/>
        <v>-0.39218205205877554</v>
      </c>
      <c r="AZ137" s="64"/>
      <c r="BA137" s="67">
        <f t="shared" si="92"/>
        <v>0</v>
      </c>
      <c r="BB137" s="67">
        <f t="shared" si="93"/>
        <v>201754.78641</v>
      </c>
      <c r="BC137" s="67">
        <f t="shared" si="94"/>
        <v>0</v>
      </c>
      <c r="BD137" s="67">
        <f t="shared" si="95"/>
        <v>359109.75051489001</v>
      </c>
      <c r="BE137" s="67"/>
      <c r="BF137" s="67">
        <f t="shared" si="96"/>
        <v>405810.12099999998</v>
      </c>
      <c r="BG137" s="67"/>
      <c r="BH137" s="67">
        <f t="shared" si="97"/>
        <v>246658.67499999999</v>
      </c>
    </row>
    <row r="138" spans="2:60" x14ac:dyDescent="0.3">
      <c r="C138" s="65" t="s">
        <v>118</v>
      </c>
      <c r="D138" s="77"/>
      <c r="E138" s="97"/>
      <c r="F138" s="97">
        <f>SUM('Quarterly I.S'!G138:H138)</f>
        <v>176838.30086999992</v>
      </c>
      <c r="G138" s="97"/>
      <c r="H138" s="97">
        <f>SUM('Quarterly I.S'!K138:L138)</f>
        <v>886500.13990499964</v>
      </c>
      <c r="I138" s="97"/>
      <c r="J138" s="97">
        <f>SUM('Quarterly I.S'!O138:P138)</f>
        <v>1879681.1514868101</v>
      </c>
      <c r="K138" s="97"/>
      <c r="L138" s="97">
        <f>SUM('Quarterly I.S'!S138:T138)</f>
        <v>683225.12173000001</v>
      </c>
      <c r="M138" s="190">
        <f t="shared" si="65"/>
        <v>-0.63652073587609503</v>
      </c>
      <c r="N138" s="132"/>
      <c r="O138" s="67">
        <f t="shared" si="68"/>
        <v>0</v>
      </c>
      <c r="P138" s="67">
        <f t="shared" si="69"/>
        <v>176838.30086999992</v>
      </c>
      <c r="Q138" s="67">
        <f t="shared" si="70"/>
        <v>0</v>
      </c>
      <c r="R138" s="67">
        <f t="shared" si="71"/>
        <v>886500.13990499964</v>
      </c>
      <c r="S138" s="67"/>
      <c r="T138" s="67">
        <f t="shared" si="72"/>
        <v>1879681.1514868101</v>
      </c>
      <c r="U138" s="67"/>
      <c r="V138" s="67">
        <f t="shared" si="73"/>
        <v>683225.12173000001</v>
      </c>
      <c r="W138" s="190">
        <f t="shared" si="66"/>
        <v>-0.63652073587609503</v>
      </c>
      <c r="X138" s="64"/>
      <c r="Y138" s="67">
        <f t="shared" si="74"/>
        <v>0</v>
      </c>
      <c r="Z138" s="67">
        <f t="shared" si="75"/>
        <v>176838.30086999992</v>
      </c>
      <c r="AA138" s="67">
        <f t="shared" si="76"/>
        <v>0</v>
      </c>
      <c r="AB138" s="67">
        <f t="shared" si="77"/>
        <v>886500.13990499964</v>
      </c>
      <c r="AC138" s="67"/>
      <c r="AD138" s="67">
        <f t="shared" si="78"/>
        <v>1879681.1514868101</v>
      </c>
      <c r="AE138" s="67"/>
      <c r="AF138" s="67">
        <f t="shared" si="79"/>
        <v>683225.12173000001</v>
      </c>
      <c r="AG138" s="64"/>
      <c r="AH138" s="67">
        <f t="shared" si="80"/>
        <v>0</v>
      </c>
      <c r="AI138" s="67">
        <f t="shared" si="81"/>
        <v>176838.30086999992</v>
      </c>
      <c r="AJ138" s="67">
        <f t="shared" si="82"/>
        <v>0</v>
      </c>
      <c r="AK138" s="67">
        <f t="shared" si="83"/>
        <v>886500.13990499964</v>
      </c>
      <c r="AL138" s="67"/>
      <c r="AM138" s="67">
        <f t="shared" si="84"/>
        <v>1879681.1514868101</v>
      </c>
      <c r="AN138" s="67"/>
      <c r="AO138" s="67">
        <f t="shared" si="85"/>
        <v>683225.12173000001</v>
      </c>
      <c r="AP138" s="64"/>
      <c r="AQ138" s="67">
        <f t="shared" si="86"/>
        <v>0</v>
      </c>
      <c r="AR138" s="67">
        <f t="shared" si="87"/>
        <v>176838.30086999992</v>
      </c>
      <c r="AS138" s="67">
        <f t="shared" si="88"/>
        <v>0</v>
      </c>
      <c r="AT138" s="67">
        <f t="shared" si="89"/>
        <v>886500.13990499964</v>
      </c>
      <c r="AU138" s="67"/>
      <c r="AV138" s="67">
        <f t="shared" si="90"/>
        <v>1879681.1514868101</v>
      </c>
      <c r="AW138" s="67"/>
      <c r="AX138" s="67">
        <f t="shared" si="91"/>
        <v>683225.12173000001</v>
      </c>
      <c r="AY138" s="190">
        <f t="shared" si="67"/>
        <v>-0.63652073587609503</v>
      </c>
      <c r="AZ138" s="64"/>
      <c r="BA138" s="67">
        <f t="shared" si="92"/>
        <v>0</v>
      </c>
      <c r="BB138" s="67">
        <f t="shared" si="93"/>
        <v>176838.30086999992</v>
      </c>
      <c r="BC138" s="67">
        <f t="shared" si="94"/>
        <v>0</v>
      </c>
      <c r="BD138" s="67">
        <f t="shared" si="95"/>
        <v>886500.13990499964</v>
      </c>
      <c r="BE138" s="67"/>
      <c r="BF138" s="67">
        <f t="shared" si="96"/>
        <v>1879681.1514868101</v>
      </c>
      <c r="BG138" s="67"/>
      <c r="BH138" s="67">
        <f t="shared" si="97"/>
        <v>683225.12173000001</v>
      </c>
    </row>
    <row r="139" spans="2:60" x14ac:dyDescent="0.3">
      <c r="C139" s="65" t="s">
        <v>120</v>
      </c>
      <c r="D139" s="77"/>
      <c r="E139" s="97"/>
      <c r="F139" s="97">
        <f>SUM('Quarterly I.S'!G139:H139)</f>
        <v>143581.03375</v>
      </c>
      <c r="G139" s="97"/>
      <c r="H139" s="97">
        <f>SUM('Quarterly I.S'!K139:L139)</f>
        <v>426755.77879132004</v>
      </c>
      <c r="I139" s="97"/>
      <c r="J139" s="97">
        <f>SUM('Quarterly I.S'!O139:P139)</f>
        <v>211550.15053118003</v>
      </c>
      <c r="K139" s="97"/>
      <c r="L139" s="97">
        <f>SUM('Quarterly I.S'!S139:T139)</f>
        <v>153208.14550880002</v>
      </c>
      <c r="M139" s="190">
        <f t="shared" si="65"/>
        <v>-0.27578333022164914</v>
      </c>
      <c r="N139" s="132"/>
      <c r="O139" s="67">
        <f t="shared" si="68"/>
        <v>0</v>
      </c>
      <c r="P139" s="67">
        <f t="shared" si="69"/>
        <v>143581.03375</v>
      </c>
      <c r="Q139" s="67">
        <f t="shared" si="70"/>
        <v>0</v>
      </c>
      <c r="R139" s="67">
        <f t="shared" si="71"/>
        <v>426755.77879132004</v>
      </c>
      <c r="S139" s="67"/>
      <c r="T139" s="67">
        <f t="shared" si="72"/>
        <v>211550.15053118003</v>
      </c>
      <c r="U139" s="67"/>
      <c r="V139" s="67">
        <f t="shared" si="73"/>
        <v>153208.14550880002</v>
      </c>
      <c r="W139" s="190">
        <f t="shared" si="66"/>
        <v>-0.27578333022164914</v>
      </c>
      <c r="X139" s="64"/>
      <c r="Y139" s="67">
        <f t="shared" si="74"/>
        <v>0</v>
      </c>
      <c r="Z139" s="67">
        <f t="shared" si="75"/>
        <v>143581.03375</v>
      </c>
      <c r="AA139" s="67">
        <f t="shared" si="76"/>
        <v>0</v>
      </c>
      <c r="AB139" s="67">
        <f t="shared" si="77"/>
        <v>426755.77879132004</v>
      </c>
      <c r="AC139" s="67"/>
      <c r="AD139" s="67">
        <f t="shared" si="78"/>
        <v>211550.15053118003</v>
      </c>
      <c r="AE139" s="67"/>
      <c r="AF139" s="67">
        <f t="shared" si="79"/>
        <v>153208.14550880002</v>
      </c>
      <c r="AG139" s="64"/>
      <c r="AH139" s="67">
        <f t="shared" si="80"/>
        <v>0</v>
      </c>
      <c r="AI139" s="67">
        <f t="shared" si="81"/>
        <v>143581.03375</v>
      </c>
      <c r="AJ139" s="67">
        <f t="shared" si="82"/>
        <v>0</v>
      </c>
      <c r="AK139" s="67">
        <f t="shared" si="83"/>
        <v>426755.77879132004</v>
      </c>
      <c r="AL139" s="67"/>
      <c r="AM139" s="67">
        <f t="shared" si="84"/>
        <v>211550.15053118003</v>
      </c>
      <c r="AN139" s="67"/>
      <c r="AO139" s="67">
        <f t="shared" si="85"/>
        <v>153208.14550880002</v>
      </c>
      <c r="AP139" s="64"/>
      <c r="AQ139" s="67">
        <f t="shared" si="86"/>
        <v>0</v>
      </c>
      <c r="AR139" s="67">
        <f t="shared" si="87"/>
        <v>143581.03375</v>
      </c>
      <c r="AS139" s="67">
        <f t="shared" si="88"/>
        <v>0</v>
      </c>
      <c r="AT139" s="67">
        <f t="shared" si="89"/>
        <v>426755.77879132004</v>
      </c>
      <c r="AU139" s="67"/>
      <c r="AV139" s="67">
        <f t="shared" si="90"/>
        <v>211550.15053118003</v>
      </c>
      <c r="AW139" s="67"/>
      <c r="AX139" s="67">
        <f t="shared" si="91"/>
        <v>153208.14550880002</v>
      </c>
      <c r="AY139" s="190">
        <f t="shared" si="67"/>
        <v>-0.27578333022164914</v>
      </c>
      <c r="AZ139" s="64"/>
      <c r="BA139" s="67">
        <f t="shared" si="92"/>
        <v>0</v>
      </c>
      <c r="BB139" s="67">
        <f t="shared" si="93"/>
        <v>143581.03375</v>
      </c>
      <c r="BC139" s="67">
        <f t="shared" si="94"/>
        <v>0</v>
      </c>
      <c r="BD139" s="67">
        <f t="shared" si="95"/>
        <v>426755.77879132004</v>
      </c>
      <c r="BE139" s="67"/>
      <c r="BF139" s="67">
        <f t="shared" si="96"/>
        <v>211550.15053118003</v>
      </c>
      <c r="BG139" s="67"/>
      <c r="BH139" s="67">
        <f t="shared" si="97"/>
        <v>153208.14550880002</v>
      </c>
    </row>
    <row r="140" spans="2:60" x14ac:dyDescent="0.3">
      <c r="C140" s="65" t="s">
        <v>248</v>
      </c>
      <c r="D140" s="77"/>
      <c r="E140" s="97"/>
      <c r="F140" s="97">
        <f>SUM('Quarterly I.S'!G140:H140)</f>
        <v>401946.93170000002</v>
      </c>
      <c r="G140" s="97"/>
      <c r="H140" s="97">
        <f>SUM('Quarterly I.S'!K140:L140)</f>
        <v>286177.83409000002</v>
      </c>
      <c r="I140" s="97"/>
      <c r="J140" s="97">
        <f>SUM('Quarterly I.S'!O140:P140)</f>
        <v>226753.05804</v>
      </c>
      <c r="K140" s="97"/>
      <c r="L140" s="97">
        <f>SUM('Quarterly I.S'!S140:T140)</f>
        <v>262089.43600000002</v>
      </c>
      <c r="M140" s="190">
        <f t="shared" si="65"/>
        <v>0.15583638988351178</v>
      </c>
      <c r="N140" s="132"/>
      <c r="O140" s="67">
        <f t="shared" si="68"/>
        <v>0</v>
      </c>
      <c r="P140" s="67">
        <f t="shared" si="69"/>
        <v>401946.93170000002</v>
      </c>
      <c r="Q140" s="67">
        <f t="shared" si="70"/>
        <v>0</v>
      </c>
      <c r="R140" s="67">
        <f t="shared" si="71"/>
        <v>286177.83409000002</v>
      </c>
      <c r="S140" s="67"/>
      <c r="T140" s="67">
        <f t="shared" si="72"/>
        <v>226753.05804</v>
      </c>
      <c r="U140" s="67"/>
      <c r="V140" s="67">
        <f t="shared" si="73"/>
        <v>262089.43600000002</v>
      </c>
      <c r="W140" s="190">
        <f t="shared" si="66"/>
        <v>0.15583638988351178</v>
      </c>
      <c r="X140" s="64"/>
      <c r="Y140" s="67">
        <f t="shared" si="74"/>
        <v>0</v>
      </c>
      <c r="Z140" s="67">
        <f t="shared" si="75"/>
        <v>401946.93170000002</v>
      </c>
      <c r="AA140" s="67">
        <f t="shared" si="76"/>
        <v>0</v>
      </c>
      <c r="AB140" s="67">
        <f t="shared" si="77"/>
        <v>286177.83409000002</v>
      </c>
      <c r="AC140" s="67"/>
      <c r="AD140" s="67">
        <f t="shared" si="78"/>
        <v>226753.05804</v>
      </c>
      <c r="AE140" s="67"/>
      <c r="AF140" s="67">
        <f t="shared" si="79"/>
        <v>262089.43600000002</v>
      </c>
      <c r="AG140" s="64"/>
      <c r="AH140" s="67">
        <f t="shared" si="80"/>
        <v>0</v>
      </c>
      <c r="AI140" s="67">
        <f t="shared" si="81"/>
        <v>401946.93170000002</v>
      </c>
      <c r="AJ140" s="67">
        <f t="shared" si="82"/>
        <v>0</v>
      </c>
      <c r="AK140" s="67">
        <f t="shared" si="83"/>
        <v>286177.83409000002</v>
      </c>
      <c r="AL140" s="67"/>
      <c r="AM140" s="67">
        <f t="shared" si="84"/>
        <v>226753.05804</v>
      </c>
      <c r="AN140" s="67"/>
      <c r="AO140" s="67">
        <f t="shared" si="85"/>
        <v>262089.43600000002</v>
      </c>
      <c r="AP140" s="64"/>
      <c r="AQ140" s="67">
        <f t="shared" si="86"/>
        <v>0</v>
      </c>
      <c r="AR140" s="67">
        <f t="shared" si="87"/>
        <v>401946.93170000002</v>
      </c>
      <c r="AS140" s="67">
        <f t="shared" si="88"/>
        <v>0</v>
      </c>
      <c r="AT140" s="67">
        <f t="shared" si="89"/>
        <v>286177.83409000002</v>
      </c>
      <c r="AU140" s="67"/>
      <c r="AV140" s="67">
        <f t="shared" si="90"/>
        <v>226753.05804</v>
      </c>
      <c r="AW140" s="67"/>
      <c r="AX140" s="67">
        <f t="shared" si="91"/>
        <v>262089.43600000002</v>
      </c>
      <c r="AY140" s="190">
        <f t="shared" si="67"/>
        <v>0.15583638988351178</v>
      </c>
      <c r="AZ140" s="64"/>
      <c r="BA140" s="67">
        <f t="shared" si="92"/>
        <v>0</v>
      </c>
      <c r="BB140" s="67">
        <f t="shared" si="93"/>
        <v>401946.93170000002</v>
      </c>
      <c r="BC140" s="67">
        <f t="shared" si="94"/>
        <v>0</v>
      </c>
      <c r="BD140" s="67">
        <f t="shared" si="95"/>
        <v>286177.83409000002</v>
      </c>
      <c r="BE140" s="67"/>
      <c r="BF140" s="67">
        <f t="shared" si="96"/>
        <v>226753.05804</v>
      </c>
      <c r="BG140" s="67"/>
      <c r="BH140" s="67">
        <f t="shared" si="97"/>
        <v>262089.43600000002</v>
      </c>
    </row>
    <row r="141" spans="2:60" x14ac:dyDescent="0.3">
      <c r="C141" s="65" t="s">
        <v>168</v>
      </c>
      <c r="D141" s="77"/>
      <c r="E141" s="97"/>
      <c r="F141" s="97">
        <f>SUM('Quarterly I.S'!G141:H141)</f>
        <v>179597.77198413271</v>
      </c>
      <c r="G141" s="97"/>
      <c r="H141" s="97">
        <f>SUM('Quarterly I.S'!K141:L141)</f>
        <v>897300.7040250001</v>
      </c>
      <c r="I141" s="97"/>
      <c r="J141" s="97">
        <f>SUM('Quarterly I.S'!O141:P141)</f>
        <v>872220.32224000013</v>
      </c>
      <c r="K141" s="97"/>
      <c r="L141" s="97">
        <f>SUM('Quarterly I.S'!S141:T141)</f>
        <v>885722.69165000005</v>
      </c>
      <c r="M141" s="190">
        <f t="shared" si="65"/>
        <v>1.5480457248833401E-2</v>
      </c>
      <c r="N141" s="132"/>
      <c r="O141" s="67">
        <f t="shared" si="68"/>
        <v>0</v>
      </c>
      <c r="P141" s="67">
        <f t="shared" si="69"/>
        <v>179597.77198413271</v>
      </c>
      <c r="Q141" s="67">
        <f t="shared" si="70"/>
        <v>0</v>
      </c>
      <c r="R141" s="67">
        <f t="shared" si="71"/>
        <v>897300.7040250001</v>
      </c>
      <c r="S141" s="67"/>
      <c r="T141" s="67">
        <f t="shared" si="72"/>
        <v>872220.32224000013</v>
      </c>
      <c r="U141" s="67"/>
      <c r="V141" s="67">
        <f t="shared" si="73"/>
        <v>885722.69165000005</v>
      </c>
      <c r="W141" s="190">
        <f t="shared" si="66"/>
        <v>1.5480457248833401E-2</v>
      </c>
      <c r="X141" s="64"/>
      <c r="Y141" s="67">
        <f t="shared" si="74"/>
        <v>0</v>
      </c>
      <c r="Z141" s="67">
        <f t="shared" si="75"/>
        <v>179597.77198413271</v>
      </c>
      <c r="AA141" s="67">
        <f t="shared" si="76"/>
        <v>0</v>
      </c>
      <c r="AB141" s="67">
        <f t="shared" si="77"/>
        <v>897300.7040250001</v>
      </c>
      <c r="AC141" s="67"/>
      <c r="AD141" s="67">
        <f t="shared" si="78"/>
        <v>872220.32224000013</v>
      </c>
      <c r="AE141" s="67"/>
      <c r="AF141" s="67">
        <f t="shared" si="79"/>
        <v>885722.69165000005</v>
      </c>
      <c r="AG141" s="64"/>
      <c r="AH141" s="67">
        <f t="shared" si="80"/>
        <v>0</v>
      </c>
      <c r="AI141" s="67">
        <f t="shared" si="81"/>
        <v>179597.77198413271</v>
      </c>
      <c r="AJ141" s="67">
        <f t="shared" si="82"/>
        <v>0</v>
      </c>
      <c r="AK141" s="67">
        <f t="shared" si="83"/>
        <v>897300.7040250001</v>
      </c>
      <c r="AL141" s="67"/>
      <c r="AM141" s="67">
        <f t="shared" si="84"/>
        <v>872220.32224000013</v>
      </c>
      <c r="AN141" s="67"/>
      <c r="AO141" s="67">
        <f t="shared" si="85"/>
        <v>885722.69165000005</v>
      </c>
      <c r="AP141" s="64"/>
      <c r="AQ141" s="67">
        <f t="shared" si="86"/>
        <v>0</v>
      </c>
      <c r="AR141" s="67">
        <f t="shared" si="87"/>
        <v>179597.77198413271</v>
      </c>
      <c r="AS141" s="67">
        <f t="shared" si="88"/>
        <v>0</v>
      </c>
      <c r="AT141" s="67">
        <f t="shared" si="89"/>
        <v>897300.7040250001</v>
      </c>
      <c r="AU141" s="67"/>
      <c r="AV141" s="67">
        <f t="shared" si="90"/>
        <v>872220.32224000013</v>
      </c>
      <c r="AW141" s="67"/>
      <c r="AX141" s="67">
        <f t="shared" si="91"/>
        <v>885722.69165000005</v>
      </c>
      <c r="AY141" s="190">
        <f t="shared" si="67"/>
        <v>1.5480457248833401E-2</v>
      </c>
      <c r="AZ141" s="64"/>
      <c r="BA141" s="67">
        <f t="shared" si="92"/>
        <v>0</v>
      </c>
      <c r="BB141" s="67">
        <f t="shared" si="93"/>
        <v>179597.77198413271</v>
      </c>
      <c r="BC141" s="67">
        <f t="shared" si="94"/>
        <v>0</v>
      </c>
      <c r="BD141" s="67">
        <f t="shared" si="95"/>
        <v>897300.7040250001</v>
      </c>
      <c r="BE141" s="67"/>
      <c r="BF141" s="67">
        <f t="shared" si="96"/>
        <v>872220.32224000013</v>
      </c>
      <c r="BG141" s="67"/>
      <c r="BH141" s="67">
        <f t="shared" si="97"/>
        <v>885722.69165000005</v>
      </c>
    </row>
    <row r="142" spans="2:60" x14ac:dyDescent="0.3">
      <c r="C142" s="65"/>
      <c r="D142" s="77"/>
      <c r="E142" s="62"/>
      <c r="F142" s="62"/>
      <c r="G142" s="62"/>
      <c r="H142" s="62"/>
      <c r="I142" s="62"/>
      <c r="J142" s="62"/>
      <c r="K142" s="62"/>
      <c r="L142" s="62"/>
      <c r="M142" s="131"/>
      <c r="O142" s="62"/>
      <c r="P142" s="62"/>
      <c r="Q142" s="62"/>
      <c r="R142" s="62"/>
      <c r="S142" s="62"/>
      <c r="T142" s="62"/>
      <c r="U142" s="62"/>
      <c r="V142" s="62"/>
      <c r="W142" s="131"/>
      <c r="Y142" s="62"/>
      <c r="Z142" s="62"/>
      <c r="AA142" s="62"/>
      <c r="AB142" s="62"/>
      <c r="AC142" s="62"/>
      <c r="AD142" s="62"/>
      <c r="AE142" s="62"/>
      <c r="AF142" s="62"/>
      <c r="AH142" s="62"/>
      <c r="AI142" s="62"/>
      <c r="AJ142" s="62"/>
      <c r="AK142" s="62"/>
      <c r="AL142" s="62"/>
      <c r="AM142" s="62"/>
      <c r="AN142" s="62"/>
      <c r="AO142" s="62"/>
      <c r="AQ142" s="62"/>
      <c r="AR142" s="62"/>
      <c r="AS142" s="62"/>
      <c r="AT142" s="62"/>
      <c r="AU142" s="62"/>
      <c r="AV142" s="62"/>
      <c r="AW142" s="62"/>
      <c r="AX142" s="62"/>
      <c r="AY142" s="131"/>
      <c r="BA142" s="62"/>
      <c r="BB142" s="62"/>
      <c r="BC142" s="62"/>
      <c r="BD142" s="62"/>
      <c r="BE142" s="62"/>
      <c r="BF142" s="62"/>
      <c r="BG142" s="62"/>
      <c r="BH142" s="62"/>
    </row>
    <row r="143" spans="2:60" x14ac:dyDescent="0.3">
      <c r="C143" s="99" t="s">
        <v>123</v>
      </c>
      <c r="D143" s="125"/>
      <c r="E143" s="48">
        <f>E144</f>
        <v>0</v>
      </c>
      <c r="F143" s="48">
        <f>F144</f>
        <v>310443.05348999996</v>
      </c>
      <c r="G143" s="48">
        <f>G144</f>
        <v>0</v>
      </c>
      <c r="H143" s="48">
        <f>H144</f>
        <v>111147.43262884999</v>
      </c>
      <c r="I143" s="48"/>
      <c r="J143" s="48">
        <f>J144</f>
        <v>103972.371</v>
      </c>
      <c r="K143" s="48"/>
      <c r="L143" s="48">
        <f>L144</f>
        <v>37691</v>
      </c>
      <c r="M143" s="173">
        <f>L143/J143-1</f>
        <v>-0.63749023286195905</v>
      </c>
      <c r="O143" s="48">
        <f t="shared" ref="O143:BH143" si="98">O144</f>
        <v>0</v>
      </c>
      <c r="P143" s="48">
        <f t="shared" si="98"/>
        <v>310443.05348999996</v>
      </c>
      <c r="Q143" s="48">
        <f t="shared" si="98"/>
        <v>0</v>
      </c>
      <c r="R143" s="48">
        <f t="shared" si="98"/>
        <v>111147.43262884999</v>
      </c>
      <c r="S143" s="48"/>
      <c r="T143" s="48">
        <f t="shared" si="98"/>
        <v>103972.371</v>
      </c>
      <c r="U143" s="48"/>
      <c r="V143" s="48">
        <f t="shared" si="98"/>
        <v>37691</v>
      </c>
      <c r="W143" s="173">
        <f>V143/T143-1</f>
        <v>-0.63749023286195905</v>
      </c>
      <c r="Y143" s="48">
        <f t="shared" si="98"/>
        <v>0</v>
      </c>
      <c r="Z143" s="48">
        <f t="shared" si="98"/>
        <v>310443.05348999996</v>
      </c>
      <c r="AA143" s="48">
        <f t="shared" si="98"/>
        <v>0</v>
      </c>
      <c r="AB143" s="48">
        <f t="shared" si="98"/>
        <v>111147.43262884999</v>
      </c>
      <c r="AC143" s="48"/>
      <c r="AD143" s="48">
        <f t="shared" si="98"/>
        <v>103972.371</v>
      </c>
      <c r="AE143" s="48"/>
      <c r="AF143" s="48">
        <f t="shared" si="98"/>
        <v>37691</v>
      </c>
      <c r="AH143" s="48">
        <f t="shared" si="98"/>
        <v>0</v>
      </c>
      <c r="AI143" s="48">
        <f t="shared" si="98"/>
        <v>310443.05348999996</v>
      </c>
      <c r="AJ143" s="48">
        <f t="shared" si="98"/>
        <v>0</v>
      </c>
      <c r="AK143" s="48">
        <f t="shared" si="98"/>
        <v>111147.43262884999</v>
      </c>
      <c r="AL143" s="48"/>
      <c r="AM143" s="48">
        <f t="shared" si="98"/>
        <v>103972.371</v>
      </c>
      <c r="AN143" s="48"/>
      <c r="AO143" s="48">
        <f t="shared" si="98"/>
        <v>37691</v>
      </c>
      <c r="AQ143" s="48">
        <f t="shared" si="98"/>
        <v>0</v>
      </c>
      <c r="AR143" s="48">
        <f t="shared" si="98"/>
        <v>310443.05348999996</v>
      </c>
      <c r="AS143" s="48">
        <f t="shared" si="98"/>
        <v>0</v>
      </c>
      <c r="AT143" s="48">
        <f t="shared" si="98"/>
        <v>111147.43262884999</v>
      </c>
      <c r="AU143" s="48"/>
      <c r="AV143" s="48">
        <f t="shared" si="98"/>
        <v>103972.371</v>
      </c>
      <c r="AW143" s="48"/>
      <c r="AX143" s="48">
        <f t="shared" si="98"/>
        <v>37691</v>
      </c>
      <c r="AY143" s="173">
        <f>AX143/AV143-1</f>
        <v>-0.63749023286195905</v>
      </c>
      <c r="BA143" s="48">
        <f t="shared" si="98"/>
        <v>0</v>
      </c>
      <c r="BB143" s="48">
        <f t="shared" si="98"/>
        <v>310443.05348999996</v>
      </c>
      <c r="BC143" s="48">
        <f t="shared" si="98"/>
        <v>0</v>
      </c>
      <c r="BD143" s="48">
        <f t="shared" si="98"/>
        <v>111147.43262884999</v>
      </c>
      <c r="BE143" s="48"/>
      <c r="BF143" s="48">
        <f t="shared" si="98"/>
        <v>103972.371</v>
      </c>
      <c r="BG143" s="48"/>
      <c r="BH143" s="48">
        <f t="shared" si="98"/>
        <v>37691</v>
      </c>
    </row>
    <row r="144" spans="2:60" x14ac:dyDescent="0.3">
      <c r="C144" s="65" t="s">
        <v>117</v>
      </c>
      <c r="D144" s="77"/>
      <c r="E144" s="97"/>
      <c r="F144" s="97">
        <f>SUM('Quarterly I.S'!G144:H144)</f>
        <v>310443.05348999996</v>
      </c>
      <c r="G144" s="97"/>
      <c r="H144" s="97">
        <f>SUM('Quarterly I.S'!K144:L144)</f>
        <v>111147.43262884999</v>
      </c>
      <c r="I144" s="97"/>
      <c r="J144" s="97">
        <f>SUM('Quarterly I.S'!O144:P144)</f>
        <v>103972.371</v>
      </c>
      <c r="K144" s="97"/>
      <c r="L144" s="97">
        <f>SUM('Quarterly I.S'!S144:T144)</f>
        <v>37691</v>
      </c>
      <c r="M144" s="190"/>
      <c r="N144" s="132"/>
      <c r="O144" s="67">
        <f>$E144</f>
        <v>0</v>
      </c>
      <c r="P144" s="67">
        <f>$F144</f>
        <v>310443.05348999996</v>
      </c>
      <c r="Q144" s="67">
        <f>$G144</f>
        <v>0</v>
      </c>
      <c r="R144" s="67">
        <f>$H144</f>
        <v>111147.43262884999</v>
      </c>
      <c r="S144" s="67"/>
      <c r="T144" s="67">
        <f>$J144</f>
        <v>103972.371</v>
      </c>
      <c r="U144" s="67"/>
      <c r="V144" s="67">
        <f>$L144</f>
        <v>37691</v>
      </c>
      <c r="W144" s="190"/>
      <c r="X144" s="64"/>
      <c r="Y144" s="67">
        <f>$E144</f>
        <v>0</v>
      </c>
      <c r="Z144" s="67">
        <f>$F144</f>
        <v>310443.05348999996</v>
      </c>
      <c r="AA144" s="67">
        <f>$G144</f>
        <v>0</v>
      </c>
      <c r="AB144" s="67">
        <f>$H144</f>
        <v>111147.43262884999</v>
      </c>
      <c r="AC144" s="67"/>
      <c r="AD144" s="67">
        <f>$J144</f>
        <v>103972.371</v>
      </c>
      <c r="AE144" s="67"/>
      <c r="AF144" s="67">
        <f>$L144</f>
        <v>37691</v>
      </c>
      <c r="AG144" s="64"/>
      <c r="AH144" s="67">
        <f>$E144</f>
        <v>0</v>
      </c>
      <c r="AI144" s="67">
        <f>$F144</f>
        <v>310443.05348999996</v>
      </c>
      <c r="AJ144" s="67">
        <f>$G144</f>
        <v>0</v>
      </c>
      <c r="AK144" s="67">
        <f>$H144</f>
        <v>111147.43262884999</v>
      </c>
      <c r="AL144" s="67"/>
      <c r="AM144" s="67">
        <f>$J144</f>
        <v>103972.371</v>
      </c>
      <c r="AN144" s="67"/>
      <c r="AO144" s="67">
        <f>$L144</f>
        <v>37691</v>
      </c>
      <c r="AP144" s="64"/>
      <c r="AQ144" s="67">
        <f>$E144</f>
        <v>0</v>
      </c>
      <c r="AR144" s="67">
        <f>$F144</f>
        <v>310443.05348999996</v>
      </c>
      <c r="AS144" s="67">
        <f>$G144</f>
        <v>0</v>
      </c>
      <c r="AT144" s="67">
        <f>$H144</f>
        <v>111147.43262884999</v>
      </c>
      <c r="AU144" s="67"/>
      <c r="AV144" s="67">
        <f>$J144</f>
        <v>103972.371</v>
      </c>
      <c r="AW144" s="67"/>
      <c r="AX144" s="67">
        <f>$L144</f>
        <v>37691</v>
      </c>
      <c r="AY144" s="190"/>
      <c r="AZ144" s="64"/>
      <c r="BA144" s="67">
        <f>$E144</f>
        <v>0</v>
      </c>
      <c r="BB144" s="67">
        <f>$F144</f>
        <v>310443.05348999996</v>
      </c>
      <c r="BC144" s="67">
        <f>$G144</f>
        <v>0</v>
      </c>
      <c r="BD144" s="67">
        <f>$H144</f>
        <v>111147.43262884999</v>
      </c>
      <c r="BE144" s="67"/>
      <c r="BF144" s="67">
        <f>$J144</f>
        <v>103972.371</v>
      </c>
      <c r="BG144" s="67"/>
      <c r="BH144" s="67">
        <f>$L144</f>
        <v>37691</v>
      </c>
    </row>
    <row r="145" spans="2:60" x14ac:dyDescent="0.3">
      <c r="C145" s="65"/>
      <c r="D145" s="77"/>
      <c r="E145" s="62"/>
      <c r="F145" s="62"/>
      <c r="G145" s="62"/>
      <c r="H145" s="62"/>
      <c r="I145" s="62"/>
      <c r="J145" s="62"/>
      <c r="K145" s="62"/>
      <c r="L145" s="62"/>
      <c r="M145" s="131"/>
      <c r="O145" s="62"/>
      <c r="P145" s="62"/>
      <c r="Q145" s="62"/>
      <c r="R145" s="62"/>
      <c r="S145" s="62"/>
      <c r="T145" s="62"/>
      <c r="U145" s="62"/>
      <c r="V145" s="62"/>
      <c r="W145" s="131"/>
      <c r="Y145" s="62"/>
      <c r="Z145" s="62"/>
      <c r="AA145" s="62"/>
      <c r="AB145" s="62"/>
      <c r="AC145" s="62"/>
      <c r="AD145" s="62"/>
      <c r="AE145" s="62"/>
      <c r="AF145" s="62"/>
      <c r="AH145" s="62"/>
      <c r="AI145" s="62"/>
      <c r="AJ145" s="62"/>
      <c r="AK145" s="62"/>
      <c r="AL145" s="62"/>
      <c r="AM145" s="62"/>
      <c r="AN145" s="62"/>
      <c r="AO145" s="62"/>
      <c r="AQ145" s="62"/>
      <c r="AR145" s="62"/>
      <c r="AS145" s="62"/>
      <c r="AT145" s="62"/>
      <c r="AU145" s="62"/>
      <c r="AV145" s="62"/>
      <c r="AW145" s="62"/>
      <c r="AX145" s="62"/>
      <c r="AY145" s="131"/>
      <c r="BA145" s="62"/>
      <c r="BB145" s="62"/>
      <c r="BC145" s="62"/>
      <c r="BD145" s="62"/>
      <c r="BE145" s="62"/>
      <c r="BF145" s="62"/>
      <c r="BG145" s="62"/>
      <c r="BH145" s="62"/>
    </row>
    <row r="146" spans="2:60" ht="13.5" thickBot="1" x14ac:dyDescent="0.35">
      <c r="C146" s="74" t="s">
        <v>52</v>
      </c>
      <c r="D146" s="126"/>
      <c r="E146" s="75">
        <f>E135+E143</f>
        <v>0</v>
      </c>
      <c r="F146" s="75">
        <f>F135+F143</f>
        <v>3360782.5408541327</v>
      </c>
      <c r="G146" s="75">
        <f>G135+G143</f>
        <v>0</v>
      </c>
      <c r="H146" s="75">
        <f>H135+H143</f>
        <v>5108076.9076058902</v>
      </c>
      <c r="I146" s="75"/>
      <c r="J146" s="75">
        <f>J135+J143</f>
        <v>7933368.1844879901</v>
      </c>
      <c r="K146" s="75"/>
      <c r="L146" s="75">
        <f>L135+L143</f>
        <v>4768463.4228888005</v>
      </c>
      <c r="M146" s="191">
        <f>L146/J146-1</f>
        <v>-0.39893582246535408</v>
      </c>
      <c r="O146" s="75">
        <f>O135+O143</f>
        <v>0</v>
      </c>
      <c r="P146" s="75">
        <f>P135+P143</f>
        <v>3360782.5408541327</v>
      </c>
      <c r="Q146" s="75">
        <f>Q135+Q143</f>
        <v>0</v>
      </c>
      <c r="R146" s="75">
        <f>R135+R143</f>
        <v>5108076.9076058902</v>
      </c>
      <c r="S146" s="75"/>
      <c r="T146" s="75">
        <f>T135+T143</f>
        <v>7933368.1844879901</v>
      </c>
      <c r="U146" s="75"/>
      <c r="V146" s="75">
        <f>V135+V143</f>
        <v>4768463.4228888005</v>
      </c>
      <c r="W146" s="191">
        <f>V146/T146-1</f>
        <v>-0.39893582246535408</v>
      </c>
      <c r="Y146" s="75">
        <f>Y135+Y143</f>
        <v>0</v>
      </c>
      <c r="Z146" s="75">
        <f>Z135+Z143</f>
        <v>3360782.5408541327</v>
      </c>
      <c r="AA146" s="75">
        <f>AA135+AA143</f>
        <v>0</v>
      </c>
      <c r="AB146" s="75">
        <f>AB135+AB143</f>
        <v>5108076.9076058902</v>
      </c>
      <c r="AC146" s="75"/>
      <c r="AD146" s="75">
        <f>AD135+AD143</f>
        <v>7933368.1844879901</v>
      </c>
      <c r="AE146" s="75"/>
      <c r="AF146" s="75">
        <f>AF135+AF143</f>
        <v>4768463.4228888005</v>
      </c>
      <c r="AH146" s="75">
        <f>AH135+AH143</f>
        <v>0</v>
      </c>
      <c r="AI146" s="75">
        <f>AI135+AI143</f>
        <v>3360782.5408541327</v>
      </c>
      <c r="AJ146" s="75">
        <f>AJ135+AJ143</f>
        <v>0</v>
      </c>
      <c r="AK146" s="75">
        <f>AK135+AK143</f>
        <v>5108076.9076058902</v>
      </c>
      <c r="AL146" s="75"/>
      <c r="AM146" s="75">
        <f>AM135+AM143</f>
        <v>7933368.1844879901</v>
      </c>
      <c r="AN146" s="75"/>
      <c r="AO146" s="75">
        <f>AO135+AO143</f>
        <v>4768463.4228888005</v>
      </c>
      <c r="AQ146" s="75">
        <f>AQ135+AQ143</f>
        <v>0</v>
      </c>
      <c r="AR146" s="75">
        <f>AR135+AR143</f>
        <v>3360782.5408541327</v>
      </c>
      <c r="AS146" s="75">
        <f>AS135+AS143</f>
        <v>0</v>
      </c>
      <c r="AT146" s="75">
        <f>AT135+AT143</f>
        <v>5108076.9076058902</v>
      </c>
      <c r="AU146" s="75"/>
      <c r="AV146" s="75">
        <f>AV135+AV143</f>
        <v>7933368.1844879901</v>
      </c>
      <c r="AW146" s="75"/>
      <c r="AX146" s="75">
        <f>AX135+AX143</f>
        <v>4768463.4228888005</v>
      </c>
      <c r="AY146" s="191">
        <f>AX146/AV146-1</f>
        <v>-0.39893582246535408</v>
      </c>
      <c r="BA146" s="75">
        <f>BA135+BA143</f>
        <v>0</v>
      </c>
      <c r="BB146" s="75">
        <f>BB135+BB143</f>
        <v>3360782.5408541327</v>
      </c>
      <c r="BC146" s="75">
        <f>BC135+BC143</f>
        <v>0</v>
      </c>
      <c r="BD146" s="75">
        <f>BD135+BD143</f>
        <v>5108076.9076058902</v>
      </c>
      <c r="BE146" s="75"/>
      <c r="BF146" s="75">
        <f>BF135+BF143</f>
        <v>7933368.1844879901</v>
      </c>
      <c r="BG146" s="75"/>
      <c r="BH146" s="75">
        <f>BH135+BH143</f>
        <v>4768463.4228888005</v>
      </c>
    </row>
    <row r="147" spans="2:60" x14ac:dyDescent="0.3">
      <c r="C147" s="65"/>
      <c r="D147" s="77"/>
      <c r="E147" s="62"/>
      <c r="F147" s="62">
        <f>F146-SUM('Quarterly I.S'!G146:H146)</f>
        <v>0</v>
      </c>
      <c r="G147" s="131"/>
      <c r="H147" s="62">
        <f>H146-SUM('Quarterly I.S'!K146:L146)</f>
        <v>0</v>
      </c>
      <c r="I147" s="62"/>
      <c r="J147" s="62">
        <f>J146-SUM('Quarterly I.S'!O146:P146)</f>
        <v>0</v>
      </c>
      <c r="K147" s="62"/>
      <c r="L147" s="62">
        <f>L146-SUM('Quarterly I.S'!S146:T146)</f>
        <v>0</v>
      </c>
      <c r="M147" s="131"/>
      <c r="O147" s="62"/>
      <c r="P147" s="62"/>
      <c r="Q147" s="62"/>
      <c r="R147" s="62"/>
      <c r="S147" s="62"/>
      <c r="T147" s="62"/>
      <c r="U147" s="62"/>
      <c r="V147" s="62"/>
      <c r="W147" s="131"/>
      <c r="Y147" s="62"/>
      <c r="Z147" s="62"/>
      <c r="AA147" s="62"/>
      <c r="AB147" s="62"/>
      <c r="AC147" s="62"/>
      <c r="AD147" s="62"/>
      <c r="AE147" s="62"/>
      <c r="AF147" s="62"/>
      <c r="AH147" s="62"/>
      <c r="AI147" s="62"/>
      <c r="AJ147" s="62"/>
      <c r="AK147" s="62"/>
      <c r="AL147" s="62"/>
      <c r="AM147" s="62"/>
      <c r="AN147" s="62"/>
      <c r="AO147" s="62"/>
      <c r="AQ147" s="62"/>
      <c r="AR147" s="62"/>
      <c r="AS147" s="62"/>
      <c r="AT147" s="62"/>
      <c r="AU147" s="62"/>
      <c r="AV147" s="62"/>
      <c r="AW147" s="62"/>
      <c r="AX147" s="62"/>
      <c r="AY147" s="131"/>
      <c r="BA147" s="62"/>
      <c r="BB147" s="62"/>
      <c r="BC147" s="62"/>
      <c r="BD147" s="62"/>
      <c r="BE147" s="62"/>
      <c r="BF147" s="62"/>
      <c r="BG147" s="62"/>
      <c r="BH147" s="62"/>
    </row>
    <row r="148" spans="2:60" s="45" customFormat="1" x14ac:dyDescent="0.3">
      <c r="C148" s="93" t="s">
        <v>67</v>
      </c>
      <c r="D148" s="127"/>
      <c r="E148" s="94">
        <f>SUM(E149:E150)</f>
        <v>0</v>
      </c>
      <c r="F148" s="94">
        <f>SUM(F149:F150)</f>
        <v>2500827</v>
      </c>
      <c r="G148" s="94">
        <f>SUM(G149:G150)</f>
        <v>0</v>
      </c>
      <c r="H148" s="94">
        <f>SUM(H149:H150)</f>
        <v>3264465.609000003</v>
      </c>
      <c r="I148" s="94"/>
      <c r="J148" s="94">
        <f>SUM(J149:J150)</f>
        <v>5577759.8320599953</v>
      </c>
      <c r="K148" s="94"/>
      <c r="L148" s="94">
        <f>SUM(L149:L150)</f>
        <v>2683785.2845999994</v>
      </c>
      <c r="M148" s="192">
        <f>L148/J148-1</f>
        <v>-0.51884172761005809</v>
      </c>
      <c r="O148" s="94">
        <f>SUM(O149:O150)</f>
        <v>0</v>
      </c>
      <c r="P148" s="94">
        <f>SUM(P149:P150)</f>
        <v>2500827</v>
      </c>
      <c r="Q148" s="94">
        <f>$G148</f>
        <v>0</v>
      </c>
      <c r="R148" s="94">
        <f>SUM(R149:R150)</f>
        <v>3264465.609000003</v>
      </c>
      <c r="S148" s="94"/>
      <c r="T148" s="94">
        <f>SUM(T149:T150)</f>
        <v>5577759.8320599953</v>
      </c>
      <c r="U148" s="94"/>
      <c r="V148" s="94">
        <f>SUM(V149:V150)</f>
        <v>2683785.2845999994</v>
      </c>
      <c r="W148" s="192">
        <f>V148/T148-1</f>
        <v>-0.51884172761005809</v>
      </c>
      <c r="Y148" s="94">
        <f>SUM(Y149:Y150)</f>
        <v>0</v>
      </c>
      <c r="Z148" s="94">
        <f>SUM(Z149:Z150)</f>
        <v>2500827</v>
      </c>
      <c r="AA148" s="94">
        <f>$G148</f>
        <v>0</v>
      </c>
      <c r="AB148" s="94">
        <f>SUM(AB149:AB150)</f>
        <v>3264465.609000003</v>
      </c>
      <c r="AC148" s="94"/>
      <c r="AD148" s="94">
        <f>SUM(AD149:AD150)</f>
        <v>5577759.8320599953</v>
      </c>
      <c r="AE148" s="94"/>
      <c r="AF148" s="94">
        <f>SUM(AF149:AF150)</f>
        <v>2683785.2845999994</v>
      </c>
      <c r="AH148" s="94">
        <f>SUM(AH149:AH150)</f>
        <v>0</v>
      </c>
      <c r="AI148" s="94">
        <f>SUM(AI149:AI150)</f>
        <v>2500827</v>
      </c>
      <c r="AJ148" s="94">
        <f>$G148</f>
        <v>0</v>
      </c>
      <c r="AK148" s="94">
        <f>SUM(AK149:AK150)</f>
        <v>3264465.609000003</v>
      </c>
      <c r="AL148" s="94"/>
      <c r="AM148" s="94">
        <f>SUM(AM149:AM150)</f>
        <v>5577759.8320599953</v>
      </c>
      <c r="AN148" s="94"/>
      <c r="AO148" s="94">
        <f>SUM(AO149:AO150)</f>
        <v>2683785.2845999994</v>
      </c>
      <c r="AQ148" s="94">
        <f>SUM(AQ149:AQ150)</f>
        <v>0</v>
      </c>
      <c r="AR148" s="94">
        <f>SUM(AR149:AR150)</f>
        <v>2500827</v>
      </c>
      <c r="AS148" s="94">
        <f>$G148</f>
        <v>0</v>
      </c>
      <c r="AT148" s="94">
        <f>SUM(AT149:AT150)</f>
        <v>3264465.609000003</v>
      </c>
      <c r="AU148" s="94"/>
      <c r="AV148" s="94">
        <f>SUM(AV149:AV150)</f>
        <v>5577759.8320599953</v>
      </c>
      <c r="AW148" s="94"/>
      <c r="AX148" s="94">
        <f>SUM(AX149:AX150)</f>
        <v>2683785.2845999994</v>
      </c>
      <c r="AY148" s="192">
        <f>AX148/AV148-1</f>
        <v>-0.51884172761005809</v>
      </c>
      <c r="BA148" s="94">
        <f>SUM(BA149:BA150)</f>
        <v>0</v>
      </c>
      <c r="BB148" s="94">
        <f>SUM(BB149:BB150)</f>
        <v>2500827</v>
      </c>
      <c r="BC148" s="94">
        <f>$G148</f>
        <v>0</v>
      </c>
      <c r="BD148" s="94">
        <f>SUM(BD149:BD150)</f>
        <v>3264465.609000003</v>
      </c>
      <c r="BE148" s="94"/>
      <c r="BF148" s="94">
        <f>SUM(BF149:BF150)</f>
        <v>5577759.8320599953</v>
      </c>
      <c r="BG148" s="94"/>
      <c r="BH148" s="94">
        <f>SUM(BH149:BH150)</f>
        <v>2683785.2845999994</v>
      </c>
    </row>
    <row r="149" spans="2:60" x14ac:dyDescent="0.3">
      <c r="C149" s="36" t="s">
        <v>68</v>
      </c>
      <c r="E149" s="97"/>
      <c r="F149" s="97">
        <f>SUM('Quarterly I.S'!G149:H149)</f>
        <v>2130624</v>
      </c>
      <c r="G149" s="97"/>
      <c r="H149" s="97">
        <f>SUM('Quarterly I.S'!K149:L149)</f>
        <v>3138046.2610000027</v>
      </c>
      <c r="I149" s="97"/>
      <c r="J149" s="97">
        <f>SUM('Quarterly I.S'!O149:P149)</f>
        <v>5478182.9147899952</v>
      </c>
      <c r="K149" s="97"/>
      <c r="L149" s="97">
        <f>SUM('Quarterly I.S'!S149:T149)</f>
        <v>2667719.7493799995</v>
      </c>
      <c r="M149" s="190"/>
      <c r="O149" s="92">
        <f>$E149</f>
        <v>0</v>
      </c>
      <c r="P149" s="92">
        <f>$F149</f>
        <v>2130624</v>
      </c>
      <c r="Q149" s="92">
        <f>$G149</f>
        <v>0</v>
      </c>
      <c r="R149" s="92">
        <f>$H149</f>
        <v>3138046.2610000027</v>
      </c>
      <c r="S149" s="92"/>
      <c r="T149" s="67">
        <f>$J149</f>
        <v>5478182.9147899952</v>
      </c>
      <c r="U149" s="67"/>
      <c r="V149" s="67">
        <f>$L149</f>
        <v>2667719.7493799995</v>
      </c>
      <c r="W149" s="190"/>
      <c r="Y149" s="92">
        <f>$E149</f>
        <v>0</v>
      </c>
      <c r="Z149" s="92">
        <f>$F149</f>
        <v>2130624</v>
      </c>
      <c r="AA149" s="92">
        <f>$G149</f>
        <v>0</v>
      </c>
      <c r="AB149" s="92">
        <f>$H149</f>
        <v>3138046.2610000027</v>
      </c>
      <c r="AC149" s="92"/>
      <c r="AD149" s="67">
        <f>$J149</f>
        <v>5478182.9147899952</v>
      </c>
      <c r="AE149" s="67"/>
      <c r="AF149" s="67">
        <f>$L149</f>
        <v>2667719.7493799995</v>
      </c>
      <c r="AH149" s="92">
        <f>$E149</f>
        <v>0</v>
      </c>
      <c r="AI149" s="92">
        <f>$F149</f>
        <v>2130624</v>
      </c>
      <c r="AJ149" s="92">
        <f>$G149</f>
        <v>0</v>
      </c>
      <c r="AK149" s="92">
        <f>$H149</f>
        <v>3138046.2610000027</v>
      </c>
      <c r="AL149" s="92"/>
      <c r="AM149" s="67">
        <f>$J149</f>
        <v>5478182.9147899952</v>
      </c>
      <c r="AN149" s="67"/>
      <c r="AO149" s="67">
        <f>$L149</f>
        <v>2667719.7493799995</v>
      </c>
      <c r="AQ149" s="92">
        <f>$E149</f>
        <v>0</v>
      </c>
      <c r="AR149" s="92">
        <f>$F149</f>
        <v>2130624</v>
      </c>
      <c r="AS149" s="92">
        <f>$G149</f>
        <v>0</v>
      </c>
      <c r="AT149" s="92">
        <f>$H149</f>
        <v>3138046.2610000027</v>
      </c>
      <c r="AU149" s="92"/>
      <c r="AV149" s="67">
        <f>$J149</f>
        <v>5478182.9147899952</v>
      </c>
      <c r="AW149" s="67"/>
      <c r="AX149" s="67">
        <f>$L149</f>
        <v>2667719.7493799995</v>
      </c>
      <c r="AY149" s="190"/>
      <c r="BA149" s="92">
        <f>$E149</f>
        <v>0</v>
      </c>
      <c r="BB149" s="92">
        <f>$F149</f>
        <v>2130624</v>
      </c>
      <c r="BC149" s="92">
        <f>$G149</f>
        <v>0</v>
      </c>
      <c r="BD149" s="92">
        <f>$H149</f>
        <v>3138046.2610000027</v>
      </c>
      <c r="BE149" s="92"/>
      <c r="BF149" s="67">
        <f>$J149</f>
        <v>5478182.9147899952</v>
      </c>
      <c r="BG149" s="67"/>
      <c r="BH149" s="67">
        <f>$L149</f>
        <v>2667719.7493799995</v>
      </c>
    </row>
    <row r="150" spans="2:60" x14ac:dyDescent="0.3">
      <c r="C150" s="36" t="s">
        <v>121</v>
      </c>
      <c r="E150" s="97"/>
      <c r="F150" s="97">
        <f>SUM('Quarterly I.S'!G150:H150)</f>
        <v>370203</v>
      </c>
      <c r="G150" s="97"/>
      <c r="H150" s="97">
        <f>SUM('Quarterly I.S'!K150:L150)</f>
        <v>126419.348</v>
      </c>
      <c r="I150" s="97"/>
      <c r="J150" s="97">
        <f>SUM('Quarterly I.S'!O150:P150)</f>
        <v>99576.917270000005</v>
      </c>
      <c r="K150" s="97"/>
      <c r="L150" s="97">
        <f>SUM('Quarterly I.S'!S150:T150)</f>
        <v>16065.53522</v>
      </c>
      <c r="M150" s="190"/>
      <c r="O150" s="92">
        <f>$E150</f>
        <v>0</v>
      </c>
      <c r="P150" s="92">
        <f>$F150</f>
        <v>370203</v>
      </c>
      <c r="Q150" s="92">
        <f>$G150</f>
        <v>0</v>
      </c>
      <c r="R150" s="92">
        <f>$H150</f>
        <v>126419.348</v>
      </c>
      <c r="S150" s="92"/>
      <c r="T150" s="67">
        <f>$J150</f>
        <v>99576.917270000005</v>
      </c>
      <c r="U150" s="67"/>
      <c r="V150" s="67">
        <f>$L150</f>
        <v>16065.53522</v>
      </c>
      <c r="W150" s="190"/>
      <c r="Y150" s="92">
        <f>$E150</f>
        <v>0</v>
      </c>
      <c r="Z150" s="92">
        <f>$F150</f>
        <v>370203</v>
      </c>
      <c r="AA150" s="92">
        <f>$G150</f>
        <v>0</v>
      </c>
      <c r="AB150" s="92">
        <f>$H150</f>
        <v>126419.348</v>
      </c>
      <c r="AC150" s="92"/>
      <c r="AD150" s="67">
        <f>$J150</f>
        <v>99576.917270000005</v>
      </c>
      <c r="AE150" s="67"/>
      <c r="AF150" s="67">
        <f>$L150</f>
        <v>16065.53522</v>
      </c>
      <c r="AH150" s="92">
        <f>$E150</f>
        <v>0</v>
      </c>
      <c r="AI150" s="92">
        <f>$F150</f>
        <v>370203</v>
      </c>
      <c r="AJ150" s="92">
        <f>$G150</f>
        <v>0</v>
      </c>
      <c r="AK150" s="92">
        <f>$H150</f>
        <v>126419.348</v>
      </c>
      <c r="AL150" s="92"/>
      <c r="AM150" s="67">
        <f>$J150</f>
        <v>99576.917270000005</v>
      </c>
      <c r="AN150" s="67"/>
      <c r="AO150" s="67">
        <f>$L150</f>
        <v>16065.53522</v>
      </c>
      <c r="AQ150" s="92">
        <f>$E150</f>
        <v>0</v>
      </c>
      <c r="AR150" s="92">
        <f>$F150</f>
        <v>370203</v>
      </c>
      <c r="AS150" s="92">
        <f>$G150</f>
        <v>0</v>
      </c>
      <c r="AT150" s="92">
        <f>$H150</f>
        <v>126419.348</v>
      </c>
      <c r="AU150" s="92"/>
      <c r="AV150" s="67">
        <f>$J150</f>
        <v>99576.917270000005</v>
      </c>
      <c r="AW150" s="67"/>
      <c r="AX150" s="67">
        <f>$L150</f>
        <v>16065.53522</v>
      </c>
      <c r="AY150" s="190"/>
      <c r="BA150" s="92">
        <f>$E150</f>
        <v>0</v>
      </c>
      <c r="BB150" s="92">
        <f>$F150</f>
        <v>370203</v>
      </c>
      <c r="BC150" s="92">
        <f>$G150</f>
        <v>0</v>
      </c>
      <c r="BD150" s="92">
        <f>$H150</f>
        <v>126419.348</v>
      </c>
      <c r="BE150" s="92"/>
      <c r="BF150" s="67">
        <f>$J150</f>
        <v>99576.917270000005</v>
      </c>
      <c r="BG150" s="67"/>
      <c r="BH150" s="67">
        <f>$L150</f>
        <v>16065.53522</v>
      </c>
    </row>
    <row r="151" spans="2:60" x14ac:dyDescent="0.3">
      <c r="C151" s="71"/>
      <c r="D151" s="120"/>
      <c r="E151" s="68"/>
      <c r="F151" s="68"/>
      <c r="G151" s="68"/>
      <c r="H151" s="68"/>
      <c r="I151" s="68"/>
      <c r="J151" s="68"/>
      <c r="K151" s="68"/>
      <c r="L151" s="68"/>
      <c r="M151" s="193"/>
      <c r="O151" s="70"/>
      <c r="P151" s="70"/>
      <c r="Q151" s="70"/>
      <c r="R151" s="70"/>
      <c r="S151" s="70"/>
      <c r="T151" s="70"/>
      <c r="U151" s="70"/>
      <c r="V151" s="70"/>
      <c r="W151" s="193"/>
      <c r="Y151" s="70"/>
      <c r="Z151" s="70"/>
      <c r="AA151" s="70"/>
      <c r="AB151" s="70"/>
      <c r="AC151" s="70"/>
      <c r="AD151" s="70"/>
      <c r="AE151" s="70"/>
      <c r="AF151" s="70"/>
      <c r="AH151" s="70"/>
      <c r="AI151" s="70"/>
      <c r="AJ151" s="70"/>
      <c r="AK151" s="70"/>
      <c r="AL151" s="70"/>
      <c r="AM151" s="70"/>
      <c r="AN151" s="70"/>
      <c r="AO151" s="70"/>
      <c r="AQ151" s="70"/>
      <c r="AR151" s="70"/>
      <c r="AS151" s="70"/>
      <c r="AT151" s="70"/>
      <c r="AU151" s="70"/>
      <c r="AV151" s="70"/>
      <c r="AW151" s="70"/>
      <c r="AX151" s="70"/>
      <c r="AY151" s="193"/>
      <c r="BA151" s="70"/>
      <c r="BB151" s="70"/>
      <c r="BC151" s="70"/>
      <c r="BD151" s="70"/>
      <c r="BE151" s="70"/>
      <c r="BF151" s="70"/>
      <c r="BG151" s="70"/>
      <c r="BH151" s="70"/>
    </row>
    <row r="152" spans="2:60" s="35" customFormat="1" x14ac:dyDescent="0.3">
      <c r="B152" s="33"/>
      <c r="C152" s="63" t="s">
        <v>115</v>
      </c>
      <c r="D152" s="63"/>
      <c r="E152" s="34"/>
      <c r="F152" s="34"/>
      <c r="G152" s="34"/>
      <c r="H152" s="34"/>
      <c r="I152" s="34"/>
      <c r="J152" s="34"/>
      <c r="K152" s="34"/>
      <c r="L152" s="34"/>
      <c r="M152" s="168"/>
      <c r="O152" s="34"/>
      <c r="P152" s="34"/>
      <c r="Q152" s="34"/>
      <c r="R152" s="34"/>
      <c r="S152" s="34"/>
      <c r="T152" s="34"/>
      <c r="U152" s="34"/>
      <c r="V152" s="34"/>
      <c r="W152" s="168"/>
      <c r="Y152" s="34"/>
      <c r="Z152" s="34"/>
      <c r="AA152" s="34"/>
      <c r="AB152" s="34"/>
      <c r="AC152" s="34"/>
      <c r="AD152" s="34"/>
      <c r="AE152" s="34"/>
      <c r="AF152" s="34"/>
      <c r="AG152" s="205"/>
      <c r="AH152" s="34"/>
      <c r="AI152" s="34"/>
      <c r="AJ152" s="34"/>
      <c r="AK152" s="34"/>
      <c r="AL152" s="34"/>
      <c r="AM152" s="34"/>
      <c r="AN152" s="34"/>
      <c r="AO152" s="34"/>
      <c r="AP152" s="205"/>
      <c r="AQ152" s="34"/>
      <c r="AR152" s="34"/>
      <c r="AS152" s="34"/>
      <c r="AT152" s="34"/>
      <c r="AU152" s="34"/>
      <c r="AV152" s="34"/>
      <c r="AW152" s="34"/>
      <c r="AX152" s="34"/>
      <c r="AY152" s="168"/>
      <c r="BA152" s="34"/>
      <c r="BB152" s="34"/>
      <c r="BC152" s="34"/>
      <c r="BD152" s="34"/>
      <c r="BE152" s="34"/>
      <c r="BF152" s="34"/>
      <c r="BG152" s="34"/>
      <c r="BH152" s="34"/>
    </row>
    <row r="153" spans="2:60" x14ac:dyDescent="0.3">
      <c r="C153" s="79" t="s">
        <v>111</v>
      </c>
      <c r="D153" s="121"/>
      <c r="E153" s="48">
        <f>SUM(E154)</f>
        <v>0</v>
      </c>
      <c r="F153" s="48">
        <f>SUM(F154)</f>
        <v>1769944.159</v>
      </c>
      <c r="G153" s="48">
        <f>SUM(G154)</f>
        <v>0</v>
      </c>
      <c r="H153" s="48">
        <f>SUM(H154)</f>
        <v>3648827.4890000001</v>
      </c>
      <c r="I153" s="48"/>
      <c r="J153" s="48">
        <f>SUM(J154)</f>
        <v>5075884.318</v>
      </c>
      <c r="K153" s="48"/>
      <c r="L153" s="48">
        <f>SUM(L154)</f>
        <v>6998142.2419999996</v>
      </c>
      <c r="M153" s="173">
        <f>L153/J153-1</f>
        <v>0.37870404516181089</v>
      </c>
      <c r="O153" s="100">
        <f t="shared" ref="O153:BH153" si="99">O154</f>
        <v>0</v>
      </c>
      <c r="P153" s="100">
        <f t="shared" si="99"/>
        <v>1769944.159</v>
      </c>
      <c r="Q153" s="100">
        <f t="shared" si="99"/>
        <v>0</v>
      </c>
      <c r="R153" s="100">
        <f t="shared" si="99"/>
        <v>3648827.4890000001</v>
      </c>
      <c r="S153" s="100"/>
      <c r="T153" s="100">
        <f t="shared" si="99"/>
        <v>5075884.318</v>
      </c>
      <c r="U153" s="100"/>
      <c r="V153" s="100">
        <f t="shared" si="99"/>
        <v>6998142.2419999996</v>
      </c>
      <c r="W153" s="173">
        <f>V153/T153-1</f>
        <v>0.37870404516181089</v>
      </c>
      <c r="Y153" s="100">
        <f t="shared" si="99"/>
        <v>0</v>
      </c>
      <c r="Z153" s="100">
        <f t="shared" si="99"/>
        <v>1769944.159</v>
      </c>
      <c r="AA153" s="100">
        <f t="shared" si="99"/>
        <v>0</v>
      </c>
      <c r="AB153" s="100">
        <f t="shared" si="99"/>
        <v>3648827.4890000001</v>
      </c>
      <c r="AC153" s="100"/>
      <c r="AD153" s="100">
        <f t="shared" si="99"/>
        <v>5075884.318</v>
      </c>
      <c r="AE153" s="100"/>
      <c r="AF153" s="100">
        <f t="shared" si="99"/>
        <v>6998142.2419999996</v>
      </c>
      <c r="AH153" s="100">
        <f t="shared" si="99"/>
        <v>0</v>
      </c>
      <c r="AI153" s="100">
        <f t="shared" si="99"/>
        <v>1769944.159</v>
      </c>
      <c r="AJ153" s="100">
        <f t="shared" si="99"/>
        <v>0</v>
      </c>
      <c r="AK153" s="100">
        <f t="shared" si="99"/>
        <v>3648827.4890000001</v>
      </c>
      <c r="AL153" s="100"/>
      <c r="AM153" s="100">
        <f t="shared" si="99"/>
        <v>5075884.318</v>
      </c>
      <c r="AN153" s="100"/>
      <c r="AO153" s="100">
        <f t="shared" si="99"/>
        <v>6998142.2419999996</v>
      </c>
      <c r="AQ153" s="100">
        <f t="shared" si="99"/>
        <v>0</v>
      </c>
      <c r="AR153" s="100">
        <f t="shared" si="99"/>
        <v>1769944.159</v>
      </c>
      <c r="AS153" s="100">
        <f t="shared" si="99"/>
        <v>0</v>
      </c>
      <c r="AT153" s="100">
        <f t="shared" si="99"/>
        <v>3648827.4890000001</v>
      </c>
      <c r="AU153" s="100"/>
      <c r="AV153" s="100">
        <f t="shared" si="99"/>
        <v>5075884.318</v>
      </c>
      <c r="AW153" s="100"/>
      <c r="AX153" s="100">
        <f t="shared" si="99"/>
        <v>6998142.2419999996</v>
      </c>
      <c r="AY153" s="173">
        <f>AX153/AV153-1</f>
        <v>0.37870404516181089</v>
      </c>
      <c r="BA153" s="100">
        <f t="shared" si="99"/>
        <v>0</v>
      </c>
      <c r="BB153" s="100">
        <f t="shared" si="99"/>
        <v>1769944.159</v>
      </c>
      <c r="BC153" s="100">
        <f t="shared" si="99"/>
        <v>0</v>
      </c>
      <c r="BD153" s="100">
        <f t="shared" si="99"/>
        <v>3648827.4890000001</v>
      </c>
      <c r="BE153" s="100"/>
      <c r="BF153" s="100">
        <f t="shared" si="99"/>
        <v>5075884.318</v>
      </c>
      <c r="BG153" s="100"/>
      <c r="BH153" s="100">
        <f t="shared" si="99"/>
        <v>6998142.2419999996</v>
      </c>
    </row>
    <row r="154" spans="2:60" x14ac:dyDescent="0.3">
      <c r="C154" s="65" t="s">
        <v>112</v>
      </c>
      <c r="D154" s="77">
        <v>37</v>
      </c>
      <c r="E154" s="97"/>
      <c r="F154" s="97">
        <f>'Quarterly I.S'!H154</f>
        <v>1769944.159</v>
      </c>
      <c r="G154" s="97"/>
      <c r="H154" s="97">
        <f>'Quarterly I.S'!L154</f>
        <v>3648827.4890000001</v>
      </c>
      <c r="I154" s="97"/>
      <c r="J154" s="97">
        <f>'Quarterly I.S'!P154</f>
        <v>5075884.318</v>
      </c>
      <c r="K154" s="97"/>
      <c r="L154" s="97">
        <f>'Quarterly I.S'!T154</f>
        <v>6998142.2419999996</v>
      </c>
      <c r="M154" s="190"/>
      <c r="O154" s="67">
        <f>$E154</f>
        <v>0</v>
      </c>
      <c r="P154" s="67">
        <f>$F154</f>
        <v>1769944.159</v>
      </c>
      <c r="Q154" s="67">
        <f>$G154</f>
        <v>0</v>
      </c>
      <c r="R154" s="67">
        <f>$H154</f>
        <v>3648827.4890000001</v>
      </c>
      <c r="S154" s="67"/>
      <c r="T154" s="67">
        <f>$J154</f>
        <v>5075884.318</v>
      </c>
      <c r="U154" s="67"/>
      <c r="V154" s="67">
        <f>$L154</f>
        <v>6998142.2419999996</v>
      </c>
      <c r="W154" s="190"/>
      <c r="X154" s="64"/>
      <c r="Y154" s="67">
        <f>$E154</f>
        <v>0</v>
      </c>
      <c r="Z154" s="67">
        <f>$F154</f>
        <v>1769944.159</v>
      </c>
      <c r="AA154" s="67">
        <f>$G154</f>
        <v>0</v>
      </c>
      <c r="AB154" s="67">
        <f>$H154</f>
        <v>3648827.4890000001</v>
      </c>
      <c r="AC154" s="67"/>
      <c r="AD154" s="67">
        <f>$J154</f>
        <v>5075884.318</v>
      </c>
      <c r="AE154" s="67"/>
      <c r="AF154" s="67">
        <f>$L154</f>
        <v>6998142.2419999996</v>
      </c>
      <c r="AG154" s="64"/>
      <c r="AH154" s="67">
        <f>$E154</f>
        <v>0</v>
      </c>
      <c r="AI154" s="67">
        <f>$F154</f>
        <v>1769944.159</v>
      </c>
      <c r="AJ154" s="67">
        <f>$G154</f>
        <v>0</v>
      </c>
      <c r="AK154" s="67">
        <f>$H154</f>
        <v>3648827.4890000001</v>
      </c>
      <c r="AL154" s="67"/>
      <c r="AM154" s="67">
        <f>$J154</f>
        <v>5075884.318</v>
      </c>
      <c r="AN154" s="67"/>
      <c r="AO154" s="67">
        <f>$L154</f>
        <v>6998142.2419999996</v>
      </c>
      <c r="AP154" s="64"/>
      <c r="AQ154" s="67">
        <f>$E154</f>
        <v>0</v>
      </c>
      <c r="AR154" s="67">
        <f>$F154</f>
        <v>1769944.159</v>
      </c>
      <c r="AS154" s="67">
        <f>$G154</f>
        <v>0</v>
      </c>
      <c r="AT154" s="67">
        <f>$H154</f>
        <v>3648827.4890000001</v>
      </c>
      <c r="AU154" s="67"/>
      <c r="AV154" s="67">
        <f>$J154</f>
        <v>5075884.318</v>
      </c>
      <c r="AW154" s="67"/>
      <c r="AX154" s="67">
        <f>$L154</f>
        <v>6998142.2419999996</v>
      </c>
      <c r="AY154" s="190"/>
      <c r="AZ154" s="64"/>
      <c r="BA154" s="67">
        <f>$E154</f>
        <v>0</v>
      </c>
      <c r="BB154" s="67">
        <f>$F154</f>
        <v>1769944.159</v>
      </c>
      <c r="BC154" s="67">
        <f>$G154</f>
        <v>0</v>
      </c>
      <c r="BD154" s="67">
        <f>$H154</f>
        <v>3648827.4890000001</v>
      </c>
      <c r="BE154" s="67"/>
      <c r="BF154" s="67">
        <f>$J154</f>
        <v>5075884.318</v>
      </c>
      <c r="BG154" s="67"/>
      <c r="BH154" s="67">
        <f>$L154</f>
        <v>6998142.2419999996</v>
      </c>
    </row>
    <row r="155" spans="2:60" x14ac:dyDescent="0.3">
      <c r="C155" s="65"/>
      <c r="D155" s="77"/>
      <c r="E155" s="41"/>
      <c r="F155" s="41"/>
      <c r="G155" s="41"/>
      <c r="H155" s="41"/>
      <c r="I155" s="41"/>
      <c r="J155" s="41"/>
      <c r="K155" s="41"/>
      <c r="L155" s="41"/>
      <c r="M155" s="169"/>
      <c r="O155" s="40"/>
      <c r="P155" s="40"/>
      <c r="Q155" s="40"/>
      <c r="R155" s="40"/>
      <c r="S155" s="40"/>
      <c r="T155" s="40"/>
      <c r="U155" s="40"/>
      <c r="V155" s="40"/>
      <c r="W155" s="169"/>
      <c r="Y155" s="40"/>
      <c r="Z155" s="40"/>
      <c r="AA155" s="40"/>
      <c r="AB155" s="40"/>
      <c r="AC155" s="40"/>
      <c r="AD155" s="40"/>
      <c r="AE155" s="40"/>
      <c r="AF155" s="40"/>
      <c r="AH155" s="40"/>
      <c r="AI155" s="40"/>
      <c r="AJ155" s="40"/>
      <c r="AK155" s="40"/>
      <c r="AL155" s="40"/>
      <c r="AM155" s="40"/>
      <c r="AN155" s="40"/>
      <c r="AO155" s="40"/>
      <c r="AQ155" s="40"/>
      <c r="AR155" s="40"/>
      <c r="AS155" s="40"/>
      <c r="AT155" s="40"/>
      <c r="AU155" s="40"/>
      <c r="AV155" s="40"/>
      <c r="AW155" s="40"/>
      <c r="AX155" s="40"/>
      <c r="AY155" s="169"/>
      <c r="BA155" s="40"/>
      <c r="BB155" s="40"/>
      <c r="BC155" s="40"/>
      <c r="BD155" s="40"/>
      <c r="BE155" s="40"/>
      <c r="BF155" s="40"/>
      <c r="BG155" s="40"/>
      <c r="BH155" s="40"/>
    </row>
    <row r="156" spans="2:60" x14ac:dyDescent="0.3">
      <c r="C156" s="80" t="s">
        <v>114</v>
      </c>
      <c r="D156" s="122"/>
      <c r="E156" s="48">
        <f>SUM(E157:E160)</f>
        <v>0</v>
      </c>
      <c r="F156" s="48">
        <f>SUM(F157:F160)</f>
        <v>6952792.6654900005</v>
      </c>
      <c r="G156" s="48">
        <f>SUM(G157:G160)</f>
        <v>0</v>
      </c>
      <c r="H156" s="48">
        <f>SUM(H157:H160)</f>
        <v>8587769.36309921</v>
      </c>
      <c r="I156" s="48"/>
      <c r="J156" s="48">
        <f>SUM(J157:J160)</f>
        <v>13374967.718999999</v>
      </c>
      <c r="K156" s="48"/>
      <c r="L156" s="48">
        <f>SUM(L157:L160)</f>
        <v>13747813.077329999</v>
      </c>
      <c r="M156" s="173">
        <f>L156/J156-1</f>
        <v>2.7876355753767568E-2</v>
      </c>
      <c r="O156" s="100">
        <f>SUM(O157:O160)</f>
        <v>0</v>
      </c>
      <c r="P156" s="100">
        <f>SUM(P157:P160)</f>
        <v>6952792.6654900005</v>
      </c>
      <c r="Q156" s="100">
        <f>SUM(Q157:Q160)</f>
        <v>0</v>
      </c>
      <c r="R156" s="100">
        <f>SUM(R157:R160)</f>
        <v>8587769.36309921</v>
      </c>
      <c r="S156" s="100"/>
      <c r="T156" s="100">
        <f>SUM(T157:T160)</f>
        <v>13374967.718999999</v>
      </c>
      <c r="U156" s="100"/>
      <c r="V156" s="100">
        <f>SUM(V157:V160)</f>
        <v>13747813.077329999</v>
      </c>
      <c r="W156" s="173">
        <f>V156/T156-1</f>
        <v>2.7876355753767568E-2</v>
      </c>
      <c r="Y156" s="100">
        <f>SUM(Y157:Y160)</f>
        <v>0</v>
      </c>
      <c r="Z156" s="100">
        <f>SUM(Z157:Z160)</f>
        <v>6952792.6654900005</v>
      </c>
      <c r="AA156" s="100">
        <f>SUM(AA157:AA160)</f>
        <v>0</v>
      </c>
      <c r="AB156" s="100">
        <f>SUM(AB157:AB160)</f>
        <v>8587769.36309921</v>
      </c>
      <c r="AC156" s="100"/>
      <c r="AD156" s="100">
        <f>SUM(AD157:AD160)</f>
        <v>13374967.718999999</v>
      </c>
      <c r="AE156" s="100"/>
      <c r="AF156" s="100">
        <f>SUM(AF157:AF160)</f>
        <v>13747813.077329999</v>
      </c>
      <c r="AG156" s="70"/>
      <c r="AH156" s="100">
        <f>SUM(AH157:AH160)</f>
        <v>0</v>
      </c>
      <c r="AI156" s="100">
        <f>SUM(AI157:AI160)</f>
        <v>6952792.6654900005</v>
      </c>
      <c r="AJ156" s="100">
        <f>SUM(AJ157:AJ160)</f>
        <v>0</v>
      </c>
      <c r="AK156" s="100">
        <f>SUM(AK157:AK160)</f>
        <v>8587769.36309921</v>
      </c>
      <c r="AL156" s="100"/>
      <c r="AM156" s="100">
        <f>SUM(AM157:AM160)</f>
        <v>13374967.718999999</v>
      </c>
      <c r="AN156" s="100"/>
      <c r="AO156" s="100">
        <f>SUM(AO157:AO160)</f>
        <v>13747813.077329999</v>
      </c>
      <c r="AP156" s="70"/>
      <c r="AQ156" s="100">
        <f>SUM(AQ157:AQ160)</f>
        <v>0</v>
      </c>
      <c r="AR156" s="100">
        <f>SUM(AR157:AR160)</f>
        <v>6952792.6654900005</v>
      </c>
      <c r="AS156" s="100">
        <f>SUM(AS157:AS160)</f>
        <v>0</v>
      </c>
      <c r="AT156" s="100">
        <f>SUM(AT157:AT160)</f>
        <v>8587769.36309921</v>
      </c>
      <c r="AU156" s="100"/>
      <c r="AV156" s="100">
        <f>SUM(AV157:AV160)</f>
        <v>13374967.718999999</v>
      </c>
      <c r="AW156" s="100"/>
      <c r="AX156" s="100">
        <f>SUM(AX157:AX160)</f>
        <v>13747813.077329999</v>
      </c>
      <c r="AY156" s="173">
        <f>AX156/AV156-1</f>
        <v>2.7876355753767568E-2</v>
      </c>
      <c r="AZ156" s="100"/>
      <c r="BA156" s="100">
        <f>SUM(BA157:BA160)</f>
        <v>0</v>
      </c>
      <c r="BB156" s="100">
        <f>SUM(BB157:BB160)</f>
        <v>6952792.6654900005</v>
      </c>
      <c r="BC156" s="100">
        <f>SUM(BC157:BC160)</f>
        <v>0</v>
      </c>
      <c r="BD156" s="100">
        <f>SUM(BD157:BD160)</f>
        <v>8587769.36309921</v>
      </c>
      <c r="BE156" s="100"/>
      <c r="BF156" s="100">
        <f>SUM(BF157:BF160)</f>
        <v>13374967.718999999</v>
      </c>
      <c r="BG156" s="100"/>
      <c r="BH156" s="100">
        <f>SUM(BH157:BH160)</f>
        <v>13747813.077329999</v>
      </c>
    </row>
    <row r="157" spans="2:60" x14ac:dyDescent="0.3">
      <c r="C157" s="77" t="s">
        <v>142</v>
      </c>
      <c r="D157" s="77">
        <v>48.2</v>
      </c>
      <c r="E157" s="97"/>
      <c r="F157" s="97">
        <f>'Quarterly I.S'!H157</f>
        <v>3434489.79</v>
      </c>
      <c r="G157" s="97"/>
      <c r="H157" s="97">
        <f>'Quarterly I.S'!L157</f>
        <v>1635653.6646199999</v>
      </c>
      <c r="I157" s="97"/>
      <c r="J157" s="97">
        <f>'Quarterly I.S'!P157</f>
        <v>5170920.2549999999</v>
      </c>
      <c r="K157" s="97"/>
      <c r="L157" s="97">
        <f>'Quarterly I.S'!T157</f>
        <v>6266540.9663300002</v>
      </c>
      <c r="M157" s="190">
        <f>L157/J157-1</f>
        <v>0.21188118503096121</v>
      </c>
      <c r="O157" s="67">
        <f>$E157</f>
        <v>0</v>
      </c>
      <c r="P157" s="67">
        <f>$F157</f>
        <v>3434489.79</v>
      </c>
      <c r="Q157" s="67">
        <f>$G157</f>
        <v>0</v>
      </c>
      <c r="R157" s="67">
        <f>$H157</f>
        <v>1635653.6646199999</v>
      </c>
      <c r="S157" s="67"/>
      <c r="T157" s="67">
        <f>$J157</f>
        <v>5170920.2549999999</v>
      </c>
      <c r="U157" s="67"/>
      <c r="V157" s="67">
        <f>$L157</f>
        <v>6266540.9663300002</v>
      </c>
      <c r="W157" s="190">
        <f>V157/T157-1</f>
        <v>0.21188118503096121</v>
      </c>
      <c r="X157" s="64"/>
      <c r="Y157" s="67">
        <f>$E157</f>
        <v>0</v>
      </c>
      <c r="Z157" s="67">
        <f>$F157</f>
        <v>3434489.79</v>
      </c>
      <c r="AA157" s="67">
        <f>$G157</f>
        <v>0</v>
      </c>
      <c r="AB157" s="67">
        <f>$H157</f>
        <v>1635653.6646199999</v>
      </c>
      <c r="AC157" s="67"/>
      <c r="AD157" s="67">
        <f>$J157</f>
        <v>5170920.2549999999</v>
      </c>
      <c r="AE157" s="67"/>
      <c r="AF157" s="67">
        <f>$L157</f>
        <v>6266540.9663300002</v>
      </c>
      <c r="AG157" s="64"/>
      <c r="AH157" s="67">
        <f>$E157</f>
        <v>0</v>
      </c>
      <c r="AI157" s="67">
        <f>$F157</f>
        <v>3434489.79</v>
      </c>
      <c r="AJ157" s="67">
        <f>$G157</f>
        <v>0</v>
      </c>
      <c r="AK157" s="67">
        <f>$H157</f>
        <v>1635653.6646199999</v>
      </c>
      <c r="AL157" s="67"/>
      <c r="AM157" s="67">
        <f>$J157</f>
        <v>5170920.2549999999</v>
      </c>
      <c r="AN157" s="67"/>
      <c r="AO157" s="67">
        <f>$L157</f>
        <v>6266540.9663300002</v>
      </c>
      <c r="AP157" s="64"/>
      <c r="AQ157" s="67">
        <f>$E157</f>
        <v>0</v>
      </c>
      <c r="AR157" s="67">
        <f>$F157</f>
        <v>3434489.79</v>
      </c>
      <c r="AS157" s="67">
        <f>$G157</f>
        <v>0</v>
      </c>
      <c r="AT157" s="67">
        <f>$H157</f>
        <v>1635653.6646199999</v>
      </c>
      <c r="AU157" s="67"/>
      <c r="AV157" s="67">
        <f>$J157</f>
        <v>5170920.2549999999</v>
      </c>
      <c r="AW157" s="67"/>
      <c r="AX157" s="67">
        <f>$L157</f>
        <v>6266540.9663300002</v>
      </c>
      <c r="AY157" s="190">
        <f>AX157/AV157-1</f>
        <v>0.21188118503096121</v>
      </c>
      <c r="AZ157" s="64"/>
      <c r="BA157" s="67">
        <f>$E157</f>
        <v>0</v>
      </c>
      <c r="BB157" s="67">
        <f>$F157</f>
        <v>3434489.79</v>
      </c>
      <c r="BC157" s="67">
        <f>$G157</f>
        <v>0</v>
      </c>
      <c r="BD157" s="67">
        <f>$H157</f>
        <v>1635653.6646199999</v>
      </c>
      <c r="BE157" s="67"/>
      <c r="BF157" s="67">
        <f>$J157</f>
        <v>5170920.2549999999</v>
      </c>
      <c r="BG157" s="67"/>
      <c r="BH157" s="67">
        <f>$L157</f>
        <v>6266540.9663300002</v>
      </c>
    </row>
    <row r="158" spans="2:60" x14ac:dyDescent="0.3">
      <c r="C158" s="77" t="s">
        <v>107</v>
      </c>
      <c r="D158" s="77" t="s">
        <v>149</v>
      </c>
      <c r="E158" s="97"/>
      <c r="F158" s="97">
        <f>'Quarterly I.S'!H158</f>
        <v>1832841.2210899999</v>
      </c>
      <c r="G158" s="97"/>
      <c r="H158" s="97">
        <f>'Quarterly I.S'!L158</f>
        <v>3779873.5290100002</v>
      </c>
      <c r="I158" s="97"/>
      <c r="J158" s="97">
        <f>'Quarterly I.S'!P158</f>
        <v>4325457</v>
      </c>
      <c r="K158" s="97"/>
      <c r="L158" s="97">
        <f>'Quarterly I.S'!T158</f>
        <v>3237260</v>
      </c>
      <c r="M158" s="190">
        <f>L158/J158-1</f>
        <v>-0.25157965967526663</v>
      </c>
      <c r="O158" s="67">
        <f>$E158</f>
        <v>0</v>
      </c>
      <c r="P158" s="67">
        <f>$F158</f>
        <v>1832841.2210899999</v>
      </c>
      <c r="Q158" s="67">
        <f>$G158</f>
        <v>0</v>
      </c>
      <c r="R158" s="67">
        <f>$H158</f>
        <v>3779873.5290100002</v>
      </c>
      <c r="S158" s="67"/>
      <c r="T158" s="67">
        <f>$J158</f>
        <v>4325457</v>
      </c>
      <c r="U158" s="67"/>
      <c r="V158" s="67">
        <f>$L158</f>
        <v>3237260</v>
      </c>
      <c r="W158" s="190">
        <f>V158/T158-1</f>
        <v>-0.25157965967526663</v>
      </c>
      <c r="X158" s="64"/>
      <c r="Y158" s="67">
        <f>$E158</f>
        <v>0</v>
      </c>
      <c r="Z158" s="67">
        <f>$F158</f>
        <v>1832841.2210899999</v>
      </c>
      <c r="AA158" s="67">
        <f>$G158</f>
        <v>0</v>
      </c>
      <c r="AB158" s="67">
        <f>$H158</f>
        <v>3779873.5290100002</v>
      </c>
      <c r="AC158" s="67"/>
      <c r="AD158" s="67">
        <f>$J158</f>
        <v>4325457</v>
      </c>
      <c r="AE158" s="67"/>
      <c r="AF158" s="67">
        <f>$L158</f>
        <v>3237260</v>
      </c>
      <c r="AG158" s="64"/>
      <c r="AH158" s="67">
        <f>$E158</f>
        <v>0</v>
      </c>
      <c r="AI158" s="67">
        <f>$F158</f>
        <v>1832841.2210899999</v>
      </c>
      <c r="AJ158" s="67">
        <f>$G158</f>
        <v>0</v>
      </c>
      <c r="AK158" s="67">
        <f>$H158</f>
        <v>3779873.5290100002</v>
      </c>
      <c r="AL158" s="67"/>
      <c r="AM158" s="67">
        <f>$J158</f>
        <v>4325457</v>
      </c>
      <c r="AN158" s="67"/>
      <c r="AO158" s="67">
        <f>$L158</f>
        <v>3237260</v>
      </c>
      <c r="AP158" s="64"/>
      <c r="AQ158" s="67">
        <f>$E158</f>
        <v>0</v>
      </c>
      <c r="AR158" s="67">
        <f>$F158</f>
        <v>1832841.2210899999</v>
      </c>
      <c r="AS158" s="67">
        <f>$G158</f>
        <v>0</v>
      </c>
      <c r="AT158" s="67">
        <f>$H158</f>
        <v>3779873.5290100002</v>
      </c>
      <c r="AU158" s="67"/>
      <c r="AV158" s="67">
        <f>$J158</f>
        <v>4325457</v>
      </c>
      <c r="AW158" s="67"/>
      <c r="AX158" s="67">
        <f>$L158</f>
        <v>3237260</v>
      </c>
      <c r="AY158" s="190">
        <f>AX158/AV158-1</f>
        <v>-0.25157965967526663</v>
      </c>
      <c r="AZ158" s="64"/>
      <c r="BA158" s="67">
        <f>$E158</f>
        <v>0</v>
      </c>
      <c r="BB158" s="67">
        <f>$F158</f>
        <v>1832841.2210899999</v>
      </c>
      <c r="BC158" s="67">
        <f>$G158</f>
        <v>0</v>
      </c>
      <c r="BD158" s="67">
        <f>$H158</f>
        <v>3779873.5290100002</v>
      </c>
      <c r="BE158" s="67"/>
      <c r="BF158" s="67">
        <f>$J158</f>
        <v>4325457</v>
      </c>
      <c r="BG158" s="67"/>
      <c r="BH158" s="67">
        <f>$L158</f>
        <v>3237260</v>
      </c>
    </row>
    <row r="159" spans="2:60" x14ac:dyDescent="0.3">
      <c r="C159" s="77" t="s">
        <v>108</v>
      </c>
      <c r="D159" s="77" t="s">
        <v>150</v>
      </c>
      <c r="E159" s="97"/>
      <c r="F159" s="97">
        <f>'Quarterly I.S'!H159</f>
        <v>1669323.1994100001</v>
      </c>
      <c r="G159" s="97"/>
      <c r="H159" s="97">
        <f>'Quarterly I.S'!L159</f>
        <v>3151717.1597192101</v>
      </c>
      <c r="I159" s="97"/>
      <c r="J159" s="97">
        <f>'Quarterly I.S'!P159</f>
        <v>3570998</v>
      </c>
      <c r="K159" s="97"/>
      <c r="L159" s="97">
        <f>'Quarterly I.S'!T159</f>
        <v>3367094.16</v>
      </c>
      <c r="M159" s="190">
        <f>L159/J159-1</f>
        <v>-5.7099959171077574E-2</v>
      </c>
      <c r="O159" s="67">
        <f>$E159</f>
        <v>0</v>
      </c>
      <c r="P159" s="67">
        <f>$F159</f>
        <v>1669323.1994100001</v>
      </c>
      <c r="Q159" s="67">
        <f>$G159</f>
        <v>0</v>
      </c>
      <c r="R159" s="67">
        <f>$H159</f>
        <v>3151717.1597192101</v>
      </c>
      <c r="S159" s="67"/>
      <c r="T159" s="67">
        <f>$J159</f>
        <v>3570998</v>
      </c>
      <c r="U159" s="67"/>
      <c r="V159" s="67">
        <f>$L159</f>
        <v>3367094.16</v>
      </c>
      <c r="W159" s="190">
        <f>V159/T159-1</f>
        <v>-5.7099959171077574E-2</v>
      </c>
      <c r="X159" s="64"/>
      <c r="Y159" s="67">
        <f>$E159</f>
        <v>0</v>
      </c>
      <c r="Z159" s="67">
        <f>$F159</f>
        <v>1669323.1994100001</v>
      </c>
      <c r="AA159" s="67">
        <f>$G159</f>
        <v>0</v>
      </c>
      <c r="AB159" s="67">
        <f>$H159</f>
        <v>3151717.1597192101</v>
      </c>
      <c r="AC159" s="67"/>
      <c r="AD159" s="67">
        <f>$J159</f>
        <v>3570998</v>
      </c>
      <c r="AE159" s="67"/>
      <c r="AF159" s="67">
        <f>$L159</f>
        <v>3367094.16</v>
      </c>
      <c r="AG159" s="64"/>
      <c r="AH159" s="67">
        <f>$E159</f>
        <v>0</v>
      </c>
      <c r="AI159" s="67">
        <f>$F159</f>
        <v>1669323.1994100001</v>
      </c>
      <c r="AJ159" s="67">
        <f>$G159</f>
        <v>0</v>
      </c>
      <c r="AK159" s="67">
        <f>$H159</f>
        <v>3151717.1597192101</v>
      </c>
      <c r="AL159" s="67"/>
      <c r="AM159" s="67">
        <f>$J159</f>
        <v>3570998</v>
      </c>
      <c r="AN159" s="67"/>
      <c r="AO159" s="67">
        <f>$L159</f>
        <v>3367094.16</v>
      </c>
      <c r="AP159" s="64"/>
      <c r="AQ159" s="67">
        <f>$E159</f>
        <v>0</v>
      </c>
      <c r="AR159" s="67">
        <f>$F159</f>
        <v>1669323.1994100001</v>
      </c>
      <c r="AS159" s="67">
        <f>$G159</f>
        <v>0</v>
      </c>
      <c r="AT159" s="67">
        <f>$H159</f>
        <v>3151717.1597192101</v>
      </c>
      <c r="AU159" s="67"/>
      <c r="AV159" s="67">
        <f>$J159</f>
        <v>3570998</v>
      </c>
      <c r="AW159" s="67"/>
      <c r="AX159" s="67">
        <f>$L159</f>
        <v>3367094.16</v>
      </c>
      <c r="AY159" s="190">
        <f>AX159/AV159-1</f>
        <v>-5.7099959171077574E-2</v>
      </c>
      <c r="AZ159" s="64"/>
      <c r="BA159" s="67">
        <f>$E159</f>
        <v>0</v>
      </c>
      <c r="BB159" s="67">
        <f>$F159</f>
        <v>1669323.1994100001</v>
      </c>
      <c r="BC159" s="67">
        <f>$G159</f>
        <v>0</v>
      </c>
      <c r="BD159" s="67">
        <f>$H159</f>
        <v>3151717.1597192101</v>
      </c>
      <c r="BE159" s="67"/>
      <c r="BF159" s="67">
        <f>$J159</f>
        <v>3570998</v>
      </c>
      <c r="BG159" s="67"/>
      <c r="BH159" s="67">
        <f>$L159</f>
        <v>3367094.16</v>
      </c>
    </row>
    <row r="160" spans="2:60" x14ac:dyDescent="0.3">
      <c r="C160" s="77" t="s">
        <v>109</v>
      </c>
      <c r="D160" s="77">
        <v>46</v>
      </c>
      <c r="E160" s="97"/>
      <c r="F160" s="97">
        <f>'Quarterly I.S'!H160</f>
        <v>16138.454990000002</v>
      </c>
      <c r="G160" s="97"/>
      <c r="H160" s="97">
        <f>'Quarterly I.S'!L160</f>
        <v>20525.009750000001</v>
      </c>
      <c r="I160" s="97"/>
      <c r="J160" s="97">
        <f>'Quarterly I.S'!P160</f>
        <v>307592.46399999998</v>
      </c>
      <c r="K160" s="97"/>
      <c r="L160" s="97">
        <f>'Quarterly I.S'!T160</f>
        <v>876917.951</v>
      </c>
      <c r="M160" s="190">
        <f>L160/J160-1</f>
        <v>1.8509084377307765</v>
      </c>
      <c r="O160" s="67">
        <f>$E160</f>
        <v>0</v>
      </c>
      <c r="P160" s="67">
        <f>$F160</f>
        <v>16138.454990000002</v>
      </c>
      <c r="Q160" s="67">
        <f>$G160</f>
        <v>0</v>
      </c>
      <c r="R160" s="67">
        <f>$H160</f>
        <v>20525.009750000001</v>
      </c>
      <c r="S160" s="67"/>
      <c r="T160" s="67">
        <f>$J160</f>
        <v>307592.46399999998</v>
      </c>
      <c r="U160" s="67"/>
      <c r="V160" s="67">
        <f>$L160</f>
        <v>876917.951</v>
      </c>
      <c r="W160" s="190">
        <f>V160/T160-1</f>
        <v>1.8509084377307765</v>
      </c>
      <c r="X160" s="64"/>
      <c r="Y160" s="67">
        <f>$E160</f>
        <v>0</v>
      </c>
      <c r="Z160" s="67">
        <f>$F160</f>
        <v>16138.454990000002</v>
      </c>
      <c r="AA160" s="67">
        <f>$G160</f>
        <v>0</v>
      </c>
      <c r="AB160" s="67">
        <f>$H160</f>
        <v>20525.009750000001</v>
      </c>
      <c r="AC160" s="67"/>
      <c r="AD160" s="67">
        <f>$J160</f>
        <v>307592.46399999998</v>
      </c>
      <c r="AE160" s="67"/>
      <c r="AF160" s="67">
        <f>$L160</f>
        <v>876917.951</v>
      </c>
      <c r="AG160" s="64"/>
      <c r="AH160" s="67">
        <f>$E160</f>
        <v>0</v>
      </c>
      <c r="AI160" s="67">
        <f>$F160</f>
        <v>16138.454990000002</v>
      </c>
      <c r="AJ160" s="67">
        <f>$G160</f>
        <v>0</v>
      </c>
      <c r="AK160" s="67">
        <f>$H160</f>
        <v>20525.009750000001</v>
      </c>
      <c r="AL160" s="67"/>
      <c r="AM160" s="67">
        <f>$J160</f>
        <v>307592.46399999998</v>
      </c>
      <c r="AN160" s="67"/>
      <c r="AO160" s="67">
        <f>$L160</f>
        <v>876917.951</v>
      </c>
      <c r="AP160" s="64"/>
      <c r="AQ160" s="67">
        <f>$E160</f>
        <v>0</v>
      </c>
      <c r="AR160" s="67">
        <f>$F160</f>
        <v>16138.454990000002</v>
      </c>
      <c r="AS160" s="67">
        <f>$G160</f>
        <v>0</v>
      </c>
      <c r="AT160" s="67">
        <f>$H160</f>
        <v>20525.009750000001</v>
      </c>
      <c r="AU160" s="67"/>
      <c r="AV160" s="67">
        <f>$J160</f>
        <v>307592.46399999998</v>
      </c>
      <c r="AW160" s="67"/>
      <c r="AX160" s="67">
        <f>$L160</f>
        <v>876917.951</v>
      </c>
      <c r="AY160" s="190">
        <f>AX160/AV160-1</f>
        <v>1.8509084377307765</v>
      </c>
      <c r="AZ160" s="64"/>
      <c r="BA160" s="67">
        <f>$E160</f>
        <v>0</v>
      </c>
      <c r="BB160" s="67">
        <f>$F160</f>
        <v>16138.454990000002</v>
      </c>
      <c r="BC160" s="67">
        <f>$G160</f>
        <v>0</v>
      </c>
      <c r="BD160" s="67">
        <f>$H160</f>
        <v>20525.009750000001</v>
      </c>
      <c r="BE160" s="67"/>
      <c r="BF160" s="67">
        <f>$J160</f>
        <v>307592.46399999998</v>
      </c>
      <c r="BG160" s="67"/>
      <c r="BH160" s="67">
        <f>$L160</f>
        <v>876917.951</v>
      </c>
    </row>
    <row r="161" spans="2:60" x14ac:dyDescent="0.3">
      <c r="C161" s="77"/>
      <c r="D161" s="77"/>
      <c r="E161" s="41"/>
      <c r="F161" s="41"/>
      <c r="G161" s="41"/>
      <c r="H161" s="41"/>
      <c r="I161" s="41"/>
      <c r="J161" s="41"/>
      <c r="K161" s="41"/>
      <c r="L161" s="41"/>
      <c r="M161" s="169"/>
      <c r="O161" s="40"/>
      <c r="P161" s="40"/>
      <c r="Q161" s="40"/>
      <c r="R161" s="40"/>
      <c r="S161" s="40"/>
      <c r="T161" s="40"/>
      <c r="U161" s="40"/>
      <c r="V161" s="40"/>
      <c r="W161" s="169"/>
      <c r="Y161" s="40"/>
      <c r="Z161" s="40"/>
      <c r="AA161" s="40"/>
      <c r="AB161" s="40"/>
      <c r="AC161" s="40"/>
      <c r="AD161" s="40"/>
      <c r="AE161" s="40"/>
      <c r="AF161" s="40"/>
      <c r="AH161" s="40"/>
      <c r="AI161" s="40"/>
      <c r="AJ161" s="40"/>
      <c r="AK161" s="40"/>
      <c r="AL161" s="40"/>
      <c r="AM161" s="40"/>
      <c r="AN161" s="40"/>
      <c r="AO161" s="40"/>
      <c r="AQ161" s="40"/>
      <c r="AR161" s="40"/>
      <c r="AS161" s="40"/>
      <c r="AT161" s="40"/>
      <c r="AU161" s="40"/>
      <c r="AV161" s="40"/>
      <c r="AW161" s="40"/>
      <c r="AX161" s="40"/>
      <c r="AY161" s="169"/>
      <c r="BA161" s="40"/>
      <c r="BB161" s="40"/>
      <c r="BC161" s="40"/>
      <c r="BD161" s="40"/>
      <c r="BE161" s="40"/>
      <c r="BF161" s="40"/>
      <c r="BG161" s="40"/>
      <c r="BH161" s="40"/>
    </row>
    <row r="162" spans="2:60" ht="13.5" thickBot="1" x14ac:dyDescent="0.35">
      <c r="C162" s="78" t="s">
        <v>113</v>
      </c>
      <c r="D162" s="124"/>
      <c r="E162" s="102">
        <f>E153+E156</f>
        <v>0</v>
      </c>
      <c r="F162" s="102">
        <f>F153+F156</f>
        <v>8722736.8244899996</v>
      </c>
      <c r="G162" s="102">
        <f>G153+G156</f>
        <v>0</v>
      </c>
      <c r="H162" s="102">
        <f>H153+H156</f>
        <v>12236596.85209921</v>
      </c>
      <c r="I162" s="102"/>
      <c r="J162" s="102">
        <f>J153+J156</f>
        <v>18450852.037</v>
      </c>
      <c r="K162" s="102"/>
      <c r="L162" s="102">
        <f>L153+L156</f>
        <v>20745955.319329999</v>
      </c>
      <c r="M162" s="194">
        <f>L162/J162-1</f>
        <v>0.12439009741813356</v>
      </c>
      <c r="N162" s="71"/>
      <c r="O162" s="102">
        <f>O153+O156</f>
        <v>0</v>
      </c>
      <c r="P162" s="102">
        <f>P153+P156</f>
        <v>8722736.8244899996</v>
      </c>
      <c r="Q162" s="102">
        <f>Q153+Q156</f>
        <v>0</v>
      </c>
      <c r="R162" s="102">
        <f>R153+R156</f>
        <v>12236596.85209921</v>
      </c>
      <c r="S162" s="102"/>
      <c r="T162" s="102">
        <f>T153+T156</f>
        <v>18450852.037</v>
      </c>
      <c r="U162" s="102"/>
      <c r="V162" s="102">
        <f>V153+V156</f>
        <v>20745955.319329999</v>
      </c>
      <c r="W162" s="194">
        <f>V162/T162-1</f>
        <v>0.12439009741813356</v>
      </c>
      <c r="X162" s="71"/>
      <c r="Y162" s="102">
        <f>Y153+Y156</f>
        <v>0</v>
      </c>
      <c r="Z162" s="102">
        <f>Z153+Z156</f>
        <v>8722736.8244899996</v>
      </c>
      <c r="AA162" s="102">
        <f>AA153+AA156</f>
        <v>0</v>
      </c>
      <c r="AB162" s="102">
        <f>AB153+AB156</f>
        <v>12236596.85209921</v>
      </c>
      <c r="AC162" s="102"/>
      <c r="AD162" s="102">
        <f>AD153+AD156</f>
        <v>18450852.037</v>
      </c>
      <c r="AE162" s="102"/>
      <c r="AF162" s="102">
        <f>AF153+AF156</f>
        <v>20745955.319329999</v>
      </c>
      <c r="AG162" s="70"/>
      <c r="AH162" s="102">
        <f>AH153+AH156</f>
        <v>0</v>
      </c>
      <c r="AI162" s="102">
        <f>AI153+AI156</f>
        <v>8722736.8244899996</v>
      </c>
      <c r="AJ162" s="102">
        <f>AJ153+AJ156</f>
        <v>0</v>
      </c>
      <c r="AK162" s="102">
        <f>AK153+AK156</f>
        <v>12236596.85209921</v>
      </c>
      <c r="AL162" s="102"/>
      <c r="AM162" s="102">
        <f>AM153+AM156</f>
        <v>18450852.037</v>
      </c>
      <c r="AN162" s="102"/>
      <c r="AO162" s="102">
        <f>AO153+AO156</f>
        <v>20745955.319329999</v>
      </c>
      <c r="AP162" s="70"/>
      <c r="AQ162" s="102">
        <f>AQ153+AQ156</f>
        <v>0</v>
      </c>
      <c r="AR162" s="102">
        <f>AR153+AR156</f>
        <v>8722736.8244899996</v>
      </c>
      <c r="AS162" s="102">
        <f>AS153+AS156</f>
        <v>0</v>
      </c>
      <c r="AT162" s="102">
        <f>AT153+AT156</f>
        <v>12236596.85209921</v>
      </c>
      <c r="AU162" s="102"/>
      <c r="AV162" s="102">
        <f>AV153+AV156</f>
        <v>18450852.037</v>
      </c>
      <c r="AW162" s="102"/>
      <c r="AX162" s="102">
        <f>AX153+AX156</f>
        <v>20745955.319329999</v>
      </c>
      <c r="AY162" s="194">
        <f>AX162/AV162-1</f>
        <v>0.12439009741813356</v>
      </c>
      <c r="AZ162" s="100"/>
      <c r="BA162" s="102">
        <f>BA153+BA156</f>
        <v>0</v>
      </c>
      <c r="BB162" s="102">
        <f>BB153+BB156</f>
        <v>8722736.8244899996</v>
      </c>
      <c r="BC162" s="102">
        <f>BC153+BC156</f>
        <v>0</v>
      </c>
      <c r="BD162" s="102">
        <f>BD153+BD156</f>
        <v>12236596.85209921</v>
      </c>
      <c r="BE162" s="102"/>
      <c r="BF162" s="102">
        <f>BF153+BF156</f>
        <v>18450852.037</v>
      </c>
      <c r="BG162" s="102"/>
      <c r="BH162" s="102">
        <f>BH153+BH156</f>
        <v>20745955.319329999</v>
      </c>
    </row>
    <row r="163" spans="2:60" x14ac:dyDescent="0.3">
      <c r="C163" s="65"/>
      <c r="D163" s="77"/>
      <c r="E163" s="62"/>
      <c r="F163" s="62"/>
      <c r="G163" s="62"/>
      <c r="H163" s="62"/>
      <c r="I163" s="62"/>
      <c r="J163" s="62"/>
      <c r="K163" s="62"/>
      <c r="L163" s="62"/>
      <c r="M163" s="131"/>
      <c r="O163" s="62"/>
      <c r="P163" s="62"/>
      <c r="Q163" s="62"/>
      <c r="R163" s="62"/>
      <c r="S163" s="62"/>
      <c r="T163" s="62"/>
      <c r="U163" s="62"/>
      <c r="V163" s="62"/>
      <c r="W163" s="131"/>
      <c r="Y163" s="62"/>
      <c r="Z163" s="62"/>
      <c r="AA163" s="62"/>
      <c r="AB163" s="62"/>
      <c r="AC163" s="62"/>
      <c r="AD163" s="62"/>
      <c r="AE163" s="62"/>
      <c r="AF163" s="62"/>
      <c r="AH163" s="62"/>
      <c r="AI163" s="62"/>
      <c r="AJ163" s="62"/>
      <c r="AK163" s="62"/>
      <c r="AL163" s="62"/>
      <c r="AM163" s="62"/>
      <c r="AN163" s="62"/>
      <c r="AO163" s="62"/>
      <c r="AQ163" s="62"/>
      <c r="AR163" s="62"/>
      <c r="AS163" s="62"/>
      <c r="AT163" s="62"/>
      <c r="AU163" s="62"/>
      <c r="AV163" s="62"/>
      <c r="AW163" s="62"/>
      <c r="AX163" s="62"/>
      <c r="AY163" s="131"/>
      <c r="BA163" s="62"/>
      <c r="BB163" s="62"/>
      <c r="BC163" s="62"/>
      <c r="BD163" s="62"/>
      <c r="BE163" s="62"/>
      <c r="BF163" s="62"/>
      <c r="BG163" s="62"/>
      <c r="BH163" s="62"/>
    </row>
    <row r="164" spans="2:60" s="82" customFormat="1" x14ac:dyDescent="0.3">
      <c r="B164" s="81"/>
      <c r="C164" s="30" t="s">
        <v>95</v>
      </c>
      <c r="D164" s="30"/>
      <c r="E164" s="30"/>
      <c r="F164" s="30"/>
      <c r="G164" s="30"/>
      <c r="H164" s="30"/>
      <c r="I164" s="30"/>
      <c r="J164" s="30"/>
      <c r="K164" s="30"/>
      <c r="L164" s="30"/>
      <c r="M164" s="185"/>
      <c r="O164" s="30"/>
      <c r="P164" s="30"/>
      <c r="Q164" s="30"/>
      <c r="R164" s="30"/>
      <c r="S164" s="30"/>
      <c r="T164" s="30"/>
      <c r="U164" s="30"/>
      <c r="V164" s="30"/>
      <c r="W164" s="185"/>
      <c r="Y164" s="30"/>
      <c r="Z164" s="30"/>
      <c r="AA164" s="30"/>
      <c r="AB164" s="30"/>
      <c r="AC164" s="30"/>
      <c r="AD164" s="30"/>
      <c r="AE164" s="30"/>
      <c r="AF164" s="30"/>
      <c r="AG164" s="110"/>
      <c r="AH164" s="30"/>
      <c r="AI164" s="30"/>
      <c r="AJ164" s="30"/>
      <c r="AK164" s="30"/>
      <c r="AL164" s="30"/>
      <c r="AM164" s="30"/>
      <c r="AN164" s="30"/>
      <c r="AO164" s="30"/>
      <c r="AP164" s="110"/>
      <c r="AQ164" s="30"/>
      <c r="AR164" s="30"/>
      <c r="AS164" s="30"/>
      <c r="AT164" s="30"/>
      <c r="AU164" s="30"/>
      <c r="AV164" s="30"/>
      <c r="AW164" s="30"/>
      <c r="AX164" s="30"/>
      <c r="AY164" s="185"/>
      <c r="BA164" s="30"/>
      <c r="BB164" s="30"/>
      <c r="BC164" s="30"/>
      <c r="BD164" s="30"/>
      <c r="BE164" s="30"/>
      <c r="BF164" s="30"/>
      <c r="BG164" s="30"/>
      <c r="BH164" s="30"/>
    </row>
    <row r="165" spans="2:60" s="85" customFormat="1" x14ac:dyDescent="0.3">
      <c r="B165" s="84"/>
      <c r="C165" s="63" t="s">
        <v>135</v>
      </c>
      <c r="D165" s="63"/>
      <c r="E165" s="63"/>
      <c r="F165" s="63"/>
      <c r="G165" s="63"/>
      <c r="H165" s="63"/>
      <c r="I165" s="63"/>
      <c r="J165" s="63"/>
      <c r="K165" s="63"/>
      <c r="L165" s="63"/>
      <c r="M165" s="186"/>
      <c r="O165" s="63"/>
      <c r="P165" s="63"/>
      <c r="Q165" s="63"/>
      <c r="R165" s="63"/>
      <c r="S165" s="63"/>
      <c r="T165" s="63"/>
      <c r="U165" s="63"/>
      <c r="V165" s="63"/>
      <c r="W165" s="186"/>
      <c r="Y165" s="63"/>
      <c r="Z165" s="63"/>
      <c r="AA165" s="63"/>
      <c r="AB165" s="63"/>
      <c r="AC165" s="63"/>
      <c r="AD165" s="63"/>
      <c r="AE165" s="63"/>
      <c r="AF165" s="63"/>
      <c r="AG165" s="110"/>
      <c r="AH165" s="63"/>
      <c r="AI165" s="63"/>
      <c r="AJ165" s="63"/>
      <c r="AK165" s="63"/>
      <c r="AL165" s="63"/>
      <c r="AM165" s="63"/>
      <c r="AN165" s="63"/>
      <c r="AO165" s="63"/>
      <c r="AP165" s="110"/>
      <c r="AQ165" s="63"/>
      <c r="AR165" s="63"/>
      <c r="AS165" s="63"/>
      <c r="AT165" s="63"/>
      <c r="AU165" s="63"/>
      <c r="AV165" s="63"/>
      <c r="AW165" s="63"/>
      <c r="AX165" s="63"/>
      <c r="AY165" s="186"/>
      <c r="BA165" s="63"/>
      <c r="BB165" s="63"/>
      <c r="BC165" s="63"/>
      <c r="BD165" s="63"/>
      <c r="BE165" s="63"/>
      <c r="BF165" s="63"/>
      <c r="BG165" s="63"/>
      <c r="BH165" s="63"/>
    </row>
    <row r="166" spans="2:60" x14ac:dyDescent="0.3">
      <c r="C166" s="105" t="s">
        <v>24</v>
      </c>
      <c r="D166" s="128"/>
      <c r="E166" s="106">
        <f>SUM(E167:E168)</f>
        <v>0</v>
      </c>
      <c r="F166" s="106">
        <f>SUM(F167:F168)</f>
        <v>254282.57258451771</v>
      </c>
      <c r="G166" s="106"/>
      <c r="H166" s="106">
        <f>SUM(H167:H168)</f>
        <v>504334.17700000003</v>
      </c>
      <c r="I166" s="106"/>
      <c r="J166" s="106">
        <f>SUM(J167:J168)</f>
        <v>832374.55997005675</v>
      </c>
      <c r="K166" s="106"/>
      <c r="L166" s="106">
        <f>SUM(L167:L168)</f>
        <v>1216006.7012194796</v>
      </c>
      <c r="M166" s="195">
        <f>L166/J166-1</f>
        <v>0.46088883502545208</v>
      </c>
      <c r="O166" s="106">
        <f>$E166</f>
        <v>0</v>
      </c>
      <c r="P166" s="106">
        <f>$F166</f>
        <v>254282.57258451771</v>
      </c>
      <c r="Q166" s="106">
        <f>$G166</f>
        <v>0</v>
      </c>
      <c r="R166" s="106">
        <f>$H166</f>
        <v>504334.17700000003</v>
      </c>
      <c r="S166" s="106"/>
      <c r="T166" s="106">
        <f>SUM(T167:T168)</f>
        <v>832374.55997005675</v>
      </c>
      <c r="U166" s="106"/>
      <c r="V166" s="106">
        <f>SUM(V167:V168)</f>
        <v>1216006.7012194796</v>
      </c>
      <c r="W166" s="195">
        <f>V166/T166-1</f>
        <v>0.46088883502545208</v>
      </c>
      <c r="X166" s="64"/>
      <c r="Y166" s="106">
        <f>$E166</f>
        <v>0</v>
      </c>
      <c r="Z166" s="106">
        <f>$F166</f>
        <v>254282.57258451771</v>
      </c>
      <c r="AA166" s="106">
        <f>$G166</f>
        <v>0</v>
      </c>
      <c r="AB166" s="106">
        <f>$H166</f>
        <v>504334.17700000003</v>
      </c>
      <c r="AC166" s="106"/>
      <c r="AD166" s="106">
        <f>SUM(AD167:AD168)</f>
        <v>832374.55997005675</v>
      </c>
      <c r="AE166" s="106"/>
      <c r="AF166" s="106">
        <f>SUM(AF167:AF168)</f>
        <v>1216006.7012194796</v>
      </c>
      <c r="AG166" s="64"/>
      <c r="AH166" s="106">
        <f>$E166</f>
        <v>0</v>
      </c>
      <c r="AI166" s="106">
        <f>$F166</f>
        <v>254282.57258451771</v>
      </c>
      <c r="AJ166" s="106">
        <f>$G166</f>
        <v>0</v>
      </c>
      <c r="AK166" s="106">
        <f>$H166</f>
        <v>504334.17700000003</v>
      </c>
      <c r="AL166" s="106"/>
      <c r="AM166" s="106">
        <f>SUM(AM167:AM168)</f>
        <v>832374.55997005675</v>
      </c>
      <c r="AN166" s="106"/>
      <c r="AO166" s="106">
        <f>SUM(AO167:AO168)</f>
        <v>1216006.7012194796</v>
      </c>
      <c r="AP166" s="64"/>
      <c r="AQ166" s="106">
        <f>$E166</f>
        <v>0</v>
      </c>
      <c r="AR166" s="106">
        <f>$F166</f>
        <v>254282.57258451771</v>
      </c>
      <c r="AS166" s="106">
        <f>$G166</f>
        <v>0</v>
      </c>
      <c r="AT166" s="106">
        <f>$H166</f>
        <v>504334.17700000003</v>
      </c>
      <c r="AU166" s="106"/>
      <c r="AV166" s="106">
        <f>SUM(AV167:AV168)</f>
        <v>832374.55997005675</v>
      </c>
      <c r="AW166" s="106"/>
      <c r="AX166" s="106">
        <f>SUM(AX167:AX168)</f>
        <v>1216006.7012194796</v>
      </c>
      <c r="AY166" s="195">
        <f>AX166/AV166-1</f>
        <v>0.46088883502545208</v>
      </c>
      <c r="AZ166" s="64"/>
      <c r="BA166" s="106">
        <f>$E166</f>
        <v>0</v>
      </c>
      <c r="BB166" s="106">
        <f>$F166</f>
        <v>254282.57258451771</v>
      </c>
      <c r="BC166" s="106">
        <f>$G166</f>
        <v>0</v>
      </c>
      <c r="BD166" s="106">
        <f>$H166</f>
        <v>504334.17700000003</v>
      </c>
      <c r="BE166" s="106"/>
      <c r="BF166" s="106">
        <f>SUM(BF167:BF168)</f>
        <v>832374.55997005675</v>
      </c>
      <c r="BG166" s="106"/>
      <c r="BH166" s="106">
        <f>SUM(BH167:BH168)</f>
        <v>1216006.7012194796</v>
      </c>
    </row>
    <row r="167" spans="2:60" x14ac:dyDescent="0.3">
      <c r="C167" s="65" t="s">
        <v>137</v>
      </c>
      <c r="D167" s="77"/>
      <c r="E167" s="98"/>
      <c r="F167" s="97">
        <f>SUM('Quarterly I.S'!G167:H167)</f>
        <v>171150.70039308703</v>
      </c>
      <c r="G167" s="98"/>
      <c r="H167" s="97">
        <f>SUM('Quarterly I.S'!K167:L167)</f>
        <v>259223.02705509646</v>
      </c>
      <c r="I167" s="97"/>
      <c r="J167" s="97">
        <f>SUM('Quarterly I.S'!O167:P167)</f>
        <v>361018.54602999997</v>
      </c>
      <c r="K167" s="97"/>
      <c r="L167" s="97">
        <f>SUM('Quarterly I.S'!S167:T167)</f>
        <v>472759.87618365744</v>
      </c>
      <c r="M167" s="190">
        <f>L167/J167-1</f>
        <v>0.30951686937538092</v>
      </c>
      <c r="N167" s="132"/>
      <c r="O167" s="67">
        <f>$E167</f>
        <v>0</v>
      </c>
      <c r="P167" s="67">
        <f>$F167</f>
        <v>171150.70039308703</v>
      </c>
      <c r="Q167" s="67">
        <f>$G167</f>
        <v>0</v>
      </c>
      <c r="R167" s="67">
        <f>$H167</f>
        <v>259223.02705509646</v>
      </c>
      <c r="S167" s="67"/>
      <c r="T167" s="67">
        <f>$J167</f>
        <v>361018.54602999997</v>
      </c>
      <c r="U167" s="67"/>
      <c r="V167" s="67">
        <f>$L167</f>
        <v>472759.87618365744</v>
      </c>
      <c r="W167" s="190">
        <f>V167/T167-1</f>
        <v>0.30951686937538092</v>
      </c>
      <c r="X167" s="64"/>
      <c r="Y167" s="67">
        <f>$E167</f>
        <v>0</v>
      </c>
      <c r="Z167" s="67">
        <f>$F167</f>
        <v>171150.70039308703</v>
      </c>
      <c r="AA167" s="67">
        <f>$G167</f>
        <v>0</v>
      </c>
      <c r="AB167" s="67">
        <f>$H167</f>
        <v>259223.02705509646</v>
      </c>
      <c r="AC167" s="67"/>
      <c r="AD167" s="67">
        <f>$J167</f>
        <v>361018.54602999997</v>
      </c>
      <c r="AE167" s="67"/>
      <c r="AF167" s="67">
        <f>$L167</f>
        <v>472759.87618365744</v>
      </c>
      <c r="AG167" s="64"/>
      <c r="AH167" s="67">
        <f>$E167</f>
        <v>0</v>
      </c>
      <c r="AI167" s="67">
        <f>$F167</f>
        <v>171150.70039308703</v>
      </c>
      <c r="AJ167" s="67">
        <f>$G167</f>
        <v>0</v>
      </c>
      <c r="AK167" s="67">
        <f>$H167</f>
        <v>259223.02705509646</v>
      </c>
      <c r="AL167" s="67"/>
      <c r="AM167" s="67">
        <f>$J167</f>
        <v>361018.54602999997</v>
      </c>
      <c r="AN167" s="67"/>
      <c r="AO167" s="67">
        <f>$L167</f>
        <v>472759.87618365744</v>
      </c>
      <c r="AP167" s="64"/>
      <c r="AQ167" s="67">
        <f>$E167</f>
        <v>0</v>
      </c>
      <c r="AR167" s="67">
        <f>$F167</f>
        <v>171150.70039308703</v>
      </c>
      <c r="AS167" s="67">
        <f>$G167</f>
        <v>0</v>
      </c>
      <c r="AT167" s="67">
        <f>$H167</f>
        <v>259223.02705509646</v>
      </c>
      <c r="AU167" s="67"/>
      <c r="AV167" s="67">
        <f>$J167</f>
        <v>361018.54602999997</v>
      </c>
      <c r="AW167" s="67"/>
      <c r="AX167" s="67">
        <f>$L167</f>
        <v>472759.87618365744</v>
      </c>
      <c r="AY167" s="190">
        <f>AX167/AV167-1</f>
        <v>0.30951686937538092</v>
      </c>
      <c r="AZ167" s="134"/>
      <c r="BA167" s="67">
        <f>$E167</f>
        <v>0</v>
      </c>
      <c r="BB167" s="67">
        <f>$F167</f>
        <v>171150.70039308703</v>
      </c>
      <c r="BC167" s="67">
        <f>$G167</f>
        <v>0</v>
      </c>
      <c r="BD167" s="67">
        <f>$H167</f>
        <v>259223.02705509646</v>
      </c>
      <c r="BE167" s="67"/>
      <c r="BF167" s="67">
        <f>$J167</f>
        <v>361018.54602999997</v>
      </c>
      <c r="BG167" s="67"/>
      <c r="BH167" s="67">
        <f>$L167</f>
        <v>472759.87618365744</v>
      </c>
    </row>
    <row r="168" spans="2:60" x14ac:dyDescent="0.3">
      <c r="C168" s="65" t="s">
        <v>138</v>
      </c>
      <c r="D168" s="77"/>
      <c r="E168" s="98"/>
      <c r="F168" s="97">
        <f>SUM('Quarterly I.S'!G168:H168)</f>
        <v>83131.872191430695</v>
      </c>
      <c r="G168" s="98"/>
      <c r="H168" s="97">
        <f>SUM('Quarterly I.S'!K168:L168)</f>
        <v>245111.14994490356</v>
      </c>
      <c r="I168" s="97"/>
      <c r="J168" s="97">
        <f>SUM('Quarterly I.S'!O168:P168)</f>
        <v>471356.01394005679</v>
      </c>
      <c r="K168" s="97"/>
      <c r="L168" s="97">
        <f>SUM('Quarterly I.S'!S168:T168)</f>
        <v>743246.82503582211</v>
      </c>
      <c r="M168" s="190">
        <f>L168/J168-1</f>
        <v>0.5768268634636371</v>
      </c>
      <c r="N168" s="132"/>
      <c r="O168" s="67">
        <f>$E168</f>
        <v>0</v>
      </c>
      <c r="P168" s="67">
        <f>$F168</f>
        <v>83131.872191430695</v>
      </c>
      <c r="Q168" s="67">
        <f>$G168</f>
        <v>0</v>
      </c>
      <c r="R168" s="67">
        <f>$H168</f>
        <v>245111.14994490356</v>
      </c>
      <c r="S168" s="67"/>
      <c r="T168" s="67">
        <f>$J168</f>
        <v>471356.01394005679</v>
      </c>
      <c r="U168" s="67"/>
      <c r="V168" s="67">
        <f>$L168</f>
        <v>743246.82503582211</v>
      </c>
      <c r="W168" s="190">
        <f>V168/T168-1</f>
        <v>0.5768268634636371</v>
      </c>
      <c r="X168" s="64"/>
      <c r="Y168" s="67">
        <f>$E168</f>
        <v>0</v>
      </c>
      <c r="Z168" s="67">
        <f>$F168</f>
        <v>83131.872191430695</v>
      </c>
      <c r="AA168" s="67">
        <f>$G168</f>
        <v>0</v>
      </c>
      <c r="AB168" s="67">
        <f>$H168</f>
        <v>245111.14994490356</v>
      </c>
      <c r="AC168" s="67"/>
      <c r="AD168" s="67">
        <f>$J168</f>
        <v>471356.01394005679</v>
      </c>
      <c r="AE168" s="67"/>
      <c r="AF168" s="67">
        <f>$L168</f>
        <v>743246.82503582211</v>
      </c>
      <c r="AG168" s="64"/>
      <c r="AH168" s="67">
        <f>$E168</f>
        <v>0</v>
      </c>
      <c r="AI168" s="67">
        <f>$F168</f>
        <v>83131.872191430695</v>
      </c>
      <c r="AJ168" s="67">
        <f>$G168</f>
        <v>0</v>
      </c>
      <c r="AK168" s="67">
        <f>$H168</f>
        <v>245111.14994490356</v>
      </c>
      <c r="AL168" s="67"/>
      <c r="AM168" s="67">
        <f>$J168</f>
        <v>471356.01394005679</v>
      </c>
      <c r="AN168" s="67"/>
      <c r="AO168" s="67">
        <f>$L168</f>
        <v>743246.82503582211</v>
      </c>
      <c r="AP168" s="64"/>
      <c r="AQ168" s="67">
        <f>$E168</f>
        <v>0</v>
      </c>
      <c r="AR168" s="67">
        <f>$F168</f>
        <v>83131.872191430695</v>
      </c>
      <c r="AS168" s="67">
        <f>$G168</f>
        <v>0</v>
      </c>
      <c r="AT168" s="67">
        <f>$H168</f>
        <v>245111.14994490356</v>
      </c>
      <c r="AU168" s="67"/>
      <c r="AV168" s="67">
        <f>$J168</f>
        <v>471356.01394005679</v>
      </c>
      <c r="AW168" s="67"/>
      <c r="AX168" s="67">
        <f>$L168</f>
        <v>743246.82503582211</v>
      </c>
      <c r="AY168" s="190">
        <f>AX168/AV168-1</f>
        <v>0.5768268634636371</v>
      </c>
      <c r="AZ168" s="134"/>
      <c r="BA168" s="67">
        <f>$E168</f>
        <v>0</v>
      </c>
      <c r="BB168" s="67">
        <f>$F168</f>
        <v>83131.872191430695</v>
      </c>
      <c r="BC168" s="67">
        <f>$G168</f>
        <v>0</v>
      </c>
      <c r="BD168" s="67">
        <f>$H168</f>
        <v>245111.14994490356</v>
      </c>
      <c r="BE168" s="67"/>
      <c r="BF168" s="67">
        <f>$J168</f>
        <v>471356.01394005679</v>
      </c>
      <c r="BG168" s="67"/>
      <c r="BH168" s="67">
        <f>$L168</f>
        <v>743246.82503582211</v>
      </c>
    </row>
    <row r="169" spans="2:60" x14ac:dyDescent="0.3">
      <c r="C169" s="65" t="s">
        <v>51</v>
      </c>
      <c r="D169" s="77"/>
      <c r="E169" s="148"/>
      <c r="F169" s="148">
        <f>F166-F41</f>
        <v>5.8451772201806307E-4</v>
      </c>
      <c r="G169" s="148"/>
      <c r="H169" s="148">
        <f>H166-H41</f>
        <v>0</v>
      </c>
      <c r="I169" s="148"/>
      <c r="J169" s="148">
        <f>J166-J41</f>
        <v>5.9700567508116364E-3</v>
      </c>
      <c r="K169" s="148"/>
      <c r="L169" s="148">
        <f>L166-L41</f>
        <v>-6.8780520465224981E-2</v>
      </c>
      <c r="M169" s="149"/>
      <c r="N169" s="132"/>
      <c r="O169" s="67"/>
      <c r="P169" s="67"/>
      <c r="Q169" s="67"/>
      <c r="R169" s="67"/>
      <c r="S169" s="67"/>
      <c r="T169" s="67"/>
      <c r="U169" s="67"/>
      <c r="V169" s="67"/>
      <c r="W169" s="149"/>
      <c r="X169" s="64"/>
      <c r="Y169" s="67"/>
      <c r="Z169" s="67"/>
      <c r="AA169" s="67"/>
      <c r="AB169" s="67"/>
      <c r="AC169" s="67"/>
      <c r="AD169" s="67"/>
      <c r="AE169" s="67"/>
      <c r="AF169" s="67"/>
      <c r="AG169" s="64"/>
      <c r="AH169" s="67"/>
      <c r="AI169" s="67"/>
      <c r="AJ169" s="67"/>
      <c r="AK169" s="67"/>
      <c r="AL169" s="67"/>
      <c r="AM169" s="67"/>
      <c r="AN169" s="67"/>
      <c r="AO169" s="67"/>
      <c r="AP169" s="64"/>
      <c r="AQ169" s="67"/>
      <c r="AR169" s="67"/>
      <c r="AS169" s="67"/>
      <c r="AT169" s="67"/>
      <c r="AU169" s="67"/>
      <c r="AV169" s="67"/>
      <c r="AW169" s="67"/>
      <c r="AX169" s="67"/>
      <c r="AY169" s="149"/>
      <c r="AZ169" s="134"/>
      <c r="BA169" s="67"/>
      <c r="BB169" s="67"/>
      <c r="BC169" s="67"/>
      <c r="BD169" s="67"/>
      <c r="BE169" s="67"/>
      <c r="BF169" s="67"/>
      <c r="BG169" s="67"/>
      <c r="BH169" s="67"/>
    </row>
    <row r="170" spans="2:60" x14ac:dyDescent="0.3">
      <c r="C170" s="65"/>
      <c r="D170" s="77"/>
      <c r="E170" s="148"/>
      <c r="F170" s="148"/>
      <c r="G170" s="148"/>
      <c r="H170" s="149"/>
      <c r="I170" s="149"/>
      <c r="J170" s="149"/>
      <c r="K170" s="149"/>
      <c r="L170" s="149"/>
      <c r="M170" s="149"/>
      <c r="N170" s="132"/>
      <c r="O170" s="67"/>
      <c r="P170" s="67"/>
      <c r="Q170" s="67"/>
      <c r="R170" s="67"/>
      <c r="S170" s="67"/>
      <c r="T170" s="67"/>
      <c r="U170" s="67"/>
      <c r="V170" s="67"/>
      <c r="W170" s="149"/>
      <c r="X170" s="64"/>
      <c r="Y170" s="67"/>
      <c r="Z170" s="67"/>
      <c r="AA170" s="67"/>
      <c r="AB170" s="67"/>
      <c r="AC170" s="67"/>
      <c r="AD170" s="67"/>
      <c r="AE170" s="67"/>
      <c r="AF170" s="67"/>
      <c r="AG170" s="64"/>
      <c r="AH170" s="67"/>
      <c r="AI170" s="67"/>
      <c r="AJ170" s="67"/>
      <c r="AK170" s="67"/>
      <c r="AL170" s="67"/>
      <c r="AM170" s="67"/>
      <c r="AN170" s="67"/>
      <c r="AO170" s="67"/>
      <c r="AP170" s="64"/>
      <c r="AQ170" s="67"/>
      <c r="AR170" s="67"/>
      <c r="AS170" s="67"/>
      <c r="AT170" s="67"/>
      <c r="AU170" s="67"/>
      <c r="AV170" s="67"/>
      <c r="AW170" s="67"/>
      <c r="AX170" s="67"/>
      <c r="AY170" s="149"/>
      <c r="AZ170" s="134"/>
      <c r="BA170" s="67"/>
      <c r="BB170" s="67"/>
      <c r="BC170" s="67"/>
      <c r="BD170" s="67"/>
      <c r="BE170" s="67"/>
      <c r="BF170" s="67"/>
      <c r="BG170" s="67"/>
      <c r="BH170" s="67"/>
    </row>
    <row r="171" spans="2:60" x14ac:dyDescent="0.3">
      <c r="C171" s="65" t="s">
        <v>170</v>
      </c>
      <c r="D171" s="77"/>
      <c r="E171" s="149"/>
      <c r="F171" s="149">
        <f>F167/F$166</f>
        <v>0.67307286792609611</v>
      </c>
      <c r="G171" s="149"/>
      <c r="H171" s="149">
        <f>H167/H$166</f>
        <v>0.51399060162265475</v>
      </c>
      <c r="I171" s="149"/>
      <c r="J171" s="149">
        <f>J167/J$166</f>
        <v>0.43372126370967778</v>
      </c>
      <c r="K171" s="149"/>
      <c r="L171" s="149">
        <f>L167/L$166</f>
        <v>0.3887806503940705</v>
      </c>
      <c r="M171" s="149"/>
      <c r="N171" s="132"/>
      <c r="O171" s="67"/>
      <c r="P171" s="67"/>
      <c r="Q171" s="67"/>
      <c r="R171" s="67"/>
      <c r="S171" s="67"/>
      <c r="T171" s="67"/>
      <c r="U171" s="67"/>
      <c r="V171" s="67"/>
      <c r="W171" s="149"/>
      <c r="X171" s="64"/>
      <c r="Y171" s="67"/>
      <c r="Z171" s="67"/>
      <c r="AA171" s="67"/>
      <c r="AB171" s="67"/>
      <c r="AC171" s="67"/>
      <c r="AD171" s="67"/>
      <c r="AE171" s="67"/>
      <c r="AF171" s="67"/>
      <c r="AG171" s="64"/>
      <c r="AH171" s="67"/>
      <c r="AI171" s="67"/>
      <c r="AJ171" s="67"/>
      <c r="AK171" s="67"/>
      <c r="AL171" s="67"/>
      <c r="AM171" s="67"/>
      <c r="AN171" s="67"/>
      <c r="AO171" s="67"/>
      <c r="AP171" s="64"/>
      <c r="AQ171" s="67"/>
      <c r="AR171" s="67"/>
      <c r="AS171" s="67"/>
      <c r="AT171" s="67"/>
      <c r="AU171" s="67"/>
      <c r="AV171" s="67"/>
      <c r="AW171" s="67"/>
      <c r="AX171" s="67"/>
      <c r="AY171" s="149"/>
      <c r="AZ171" s="134"/>
      <c r="BA171" s="67"/>
      <c r="BB171" s="67"/>
      <c r="BC171" s="67"/>
      <c r="BD171" s="67"/>
      <c r="BE171" s="67"/>
      <c r="BF171" s="67"/>
      <c r="BG171" s="67"/>
      <c r="BH171" s="67"/>
    </row>
    <row r="172" spans="2:60" x14ac:dyDescent="0.3">
      <c r="C172" s="65" t="s">
        <v>169</v>
      </c>
      <c r="D172" s="77"/>
      <c r="E172" s="149"/>
      <c r="F172" s="149">
        <f>F168/F$166</f>
        <v>0.326927132073904</v>
      </c>
      <c r="G172" s="149"/>
      <c r="H172" s="149">
        <f>H168/H$166</f>
        <v>0.48600939837734525</v>
      </c>
      <c r="I172" s="149"/>
      <c r="J172" s="149">
        <f>J168/J$166</f>
        <v>0.56627873629032222</v>
      </c>
      <c r="K172" s="149"/>
      <c r="L172" s="149">
        <f>L168/L$166</f>
        <v>0.6112193496059295</v>
      </c>
      <c r="M172" s="149"/>
      <c r="N172" s="132"/>
      <c r="O172" s="67"/>
      <c r="P172" s="67"/>
      <c r="Q172" s="67"/>
      <c r="R172" s="67"/>
      <c r="S172" s="67"/>
      <c r="T172" s="67"/>
      <c r="U172" s="67"/>
      <c r="V172" s="67"/>
      <c r="W172" s="149"/>
      <c r="X172" s="64"/>
      <c r="Y172" s="67"/>
      <c r="Z172" s="67"/>
      <c r="AA172" s="67"/>
      <c r="AB172" s="67"/>
      <c r="AC172" s="67"/>
      <c r="AD172" s="67"/>
      <c r="AE172" s="67"/>
      <c r="AF172" s="67"/>
      <c r="AG172" s="64"/>
      <c r="AH172" s="67"/>
      <c r="AI172" s="67"/>
      <c r="AJ172" s="67"/>
      <c r="AK172" s="67"/>
      <c r="AL172" s="67"/>
      <c r="AM172" s="67"/>
      <c r="AN172" s="67"/>
      <c r="AO172" s="67"/>
      <c r="AP172" s="64"/>
      <c r="AQ172" s="67"/>
      <c r="AR172" s="67"/>
      <c r="AS172" s="67"/>
      <c r="AT172" s="67"/>
      <c r="AU172" s="67"/>
      <c r="AV172" s="67"/>
      <c r="AW172" s="67"/>
      <c r="AX172" s="67"/>
      <c r="AY172" s="149"/>
      <c r="AZ172" s="134"/>
      <c r="BA172" s="67"/>
      <c r="BB172" s="67"/>
      <c r="BC172" s="67"/>
      <c r="BD172" s="67"/>
      <c r="BE172" s="67"/>
      <c r="BF172" s="67"/>
      <c r="BG172" s="67"/>
      <c r="BH172" s="67"/>
    </row>
    <row r="173" spans="2:60" x14ac:dyDescent="0.3">
      <c r="C173" s="65"/>
      <c r="D173" s="77"/>
      <c r="E173" s="42"/>
      <c r="F173" s="42"/>
      <c r="G173" s="42"/>
      <c r="H173" s="42"/>
      <c r="I173" s="42"/>
      <c r="J173" s="42"/>
      <c r="K173" s="42"/>
      <c r="L173" s="42"/>
      <c r="O173" s="67"/>
      <c r="P173" s="67"/>
      <c r="Q173" s="67"/>
      <c r="R173" s="67"/>
      <c r="S173" s="67"/>
      <c r="T173" s="67"/>
      <c r="U173" s="67"/>
      <c r="V173" s="67"/>
      <c r="X173" s="64"/>
      <c r="Y173" s="67"/>
      <c r="Z173" s="67"/>
      <c r="AA173" s="67"/>
      <c r="AB173" s="67"/>
      <c r="AC173" s="67"/>
      <c r="AD173" s="67"/>
      <c r="AE173" s="67"/>
      <c r="AF173" s="67"/>
      <c r="AG173" s="64"/>
      <c r="AH173" s="67"/>
      <c r="AI173" s="67"/>
      <c r="AJ173" s="67"/>
      <c r="AK173" s="67"/>
      <c r="AL173" s="67"/>
      <c r="AM173" s="67"/>
      <c r="AN173" s="67"/>
      <c r="AO173" s="67"/>
      <c r="AP173" s="64"/>
      <c r="AQ173" s="67"/>
      <c r="AR173" s="67"/>
      <c r="AS173" s="67"/>
      <c r="AT173" s="67"/>
      <c r="AU173" s="67"/>
      <c r="AV173" s="67"/>
      <c r="AW173" s="67"/>
      <c r="AX173" s="67"/>
      <c r="AZ173" s="64"/>
      <c r="BA173" s="67"/>
      <c r="BB173" s="67"/>
      <c r="BC173" s="67"/>
      <c r="BD173" s="67"/>
      <c r="BE173" s="67"/>
      <c r="BF173" s="67"/>
      <c r="BG173" s="67"/>
      <c r="BH173" s="67"/>
    </row>
    <row r="174" spans="2:60" x14ac:dyDescent="0.3">
      <c r="C174" s="105" t="s">
        <v>139</v>
      </c>
      <c r="D174" s="128"/>
      <c r="E174" s="106">
        <f>SUM(E175:E176)</f>
        <v>0</v>
      </c>
      <c r="F174" s="106">
        <f>SUM(F175:F176)</f>
        <v>36011</v>
      </c>
      <c r="G174" s="106"/>
      <c r="H174" s="106">
        <f>SUM(H175:H176)</f>
        <v>37315</v>
      </c>
      <c r="I174" s="106"/>
      <c r="J174" s="106">
        <f>SUM(J175:J176)</f>
        <v>40221</v>
      </c>
      <c r="K174" s="106"/>
      <c r="L174" s="106">
        <f>SUM(L175:L176)</f>
        <v>74551</v>
      </c>
      <c r="M174" s="195">
        <f>L174/J174-1</f>
        <v>0.85353422341562868</v>
      </c>
      <c r="O174" s="106">
        <f>$E174</f>
        <v>0</v>
      </c>
      <c r="P174" s="106">
        <f>$F174</f>
        <v>36011</v>
      </c>
      <c r="Q174" s="106">
        <f>$G174</f>
        <v>0</v>
      </c>
      <c r="R174" s="106">
        <f t="shared" ref="R174:R179" si="100">$H174</f>
        <v>37315</v>
      </c>
      <c r="S174" s="106"/>
      <c r="T174" s="106">
        <f>SUM(T175:T176)</f>
        <v>40221</v>
      </c>
      <c r="U174" s="106"/>
      <c r="V174" s="106">
        <f>SUM(V175:V176)</f>
        <v>74551</v>
      </c>
      <c r="W174" s="195">
        <f>V174/T174-1</f>
        <v>0.85353422341562868</v>
      </c>
      <c r="X174" s="64"/>
      <c r="Y174" s="106">
        <f>$E174</f>
        <v>0</v>
      </c>
      <c r="Z174" s="106">
        <f>$F174</f>
        <v>36011</v>
      </c>
      <c r="AA174" s="106">
        <f>$G174</f>
        <v>0</v>
      </c>
      <c r="AB174" s="106">
        <f t="shared" ref="AB174:AB179" si="101">$H174</f>
        <v>37315</v>
      </c>
      <c r="AC174" s="106"/>
      <c r="AD174" s="106">
        <f>SUM(AD175:AD176)</f>
        <v>40221</v>
      </c>
      <c r="AE174" s="106"/>
      <c r="AF174" s="106">
        <f>SUM(AF175:AF176)</f>
        <v>74551</v>
      </c>
      <c r="AG174" s="64"/>
      <c r="AH174" s="106">
        <f>$E174</f>
        <v>0</v>
      </c>
      <c r="AI174" s="106">
        <f>$F174</f>
        <v>36011</v>
      </c>
      <c r="AJ174" s="106">
        <f>$G174</f>
        <v>0</v>
      </c>
      <c r="AK174" s="106">
        <f t="shared" ref="AK174:AK179" si="102">$H174</f>
        <v>37315</v>
      </c>
      <c r="AL174" s="106"/>
      <c r="AM174" s="106">
        <f>SUM(AM175:AM176)</f>
        <v>40221</v>
      </c>
      <c r="AN174" s="106"/>
      <c r="AO174" s="106">
        <f>SUM(AO175:AO176)</f>
        <v>74551</v>
      </c>
      <c r="AP174" s="64"/>
      <c r="AQ174" s="106">
        <f>$E174</f>
        <v>0</v>
      </c>
      <c r="AR174" s="106">
        <f>$F174</f>
        <v>36011</v>
      </c>
      <c r="AS174" s="106">
        <f>$G174</f>
        <v>0</v>
      </c>
      <c r="AT174" s="106">
        <f t="shared" ref="AT174:AT179" si="103">$H174</f>
        <v>37315</v>
      </c>
      <c r="AU174" s="106"/>
      <c r="AV174" s="106">
        <f>SUM(AV175:AV176)</f>
        <v>40221</v>
      </c>
      <c r="AW174" s="106"/>
      <c r="AX174" s="106">
        <f>SUM(AX175:AX176)</f>
        <v>74551</v>
      </c>
      <c r="AY174" s="195">
        <f>AX174/AV174-1</f>
        <v>0.85353422341562868</v>
      </c>
      <c r="AZ174" s="64"/>
      <c r="BA174" s="106">
        <f>$E174</f>
        <v>0</v>
      </c>
      <c r="BB174" s="106">
        <f>$F174</f>
        <v>36011</v>
      </c>
      <c r="BC174" s="106">
        <f>$G174</f>
        <v>0</v>
      </c>
      <c r="BD174" s="106">
        <f t="shared" ref="BD174:BD179" si="104">$H174</f>
        <v>37315</v>
      </c>
      <c r="BE174" s="106"/>
      <c r="BF174" s="106">
        <f>SUM(BF175:BF176)</f>
        <v>40221</v>
      </c>
      <c r="BG174" s="106"/>
      <c r="BH174" s="106">
        <f>SUM(BH175:BH176)</f>
        <v>74551</v>
      </c>
    </row>
    <row r="175" spans="2:60" x14ac:dyDescent="0.3">
      <c r="C175" s="65" t="s">
        <v>137</v>
      </c>
      <c r="D175" s="77"/>
      <c r="E175" s="98"/>
      <c r="F175" s="97">
        <f>SUM('Quarterly I.S'!G175:H175)</f>
        <v>35822</v>
      </c>
      <c r="G175" s="98"/>
      <c r="H175" s="97">
        <f>SUM('Quarterly I.S'!K175:L175)</f>
        <v>36016</v>
      </c>
      <c r="I175" s="97"/>
      <c r="J175" s="97">
        <f>SUM('Quarterly I.S'!O175:P175)</f>
        <v>35275</v>
      </c>
      <c r="K175" s="97"/>
      <c r="L175" s="97">
        <f>SUM('Quarterly I.S'!S175:T175)</f>
        <v>57500</v>
      </c>
      <c r="M175" s="190">
        <f>L175/J175-1</f>
        <v>0.63004961020552797</v>
      </c>
      <c r="O175" s="67">
        <f>$E175</f>
        <v>0</v>
      </c>
      <c r="P175" s="67">
        <f>$F175</f>
        <v>35822</v>
      </c>
      <c r="Q175" s="67">
        <f>$G175</f>
        <v>0</v>
      </c>
      <c r="R175" s="67">
        <f t="shared" si="100"/>
        <v>36016</v>
      </c>
      <c r="S175" s="67"/>
      <c r="T175" s="67">
        <f>$J175</f>
        <v>35275</v>
      </c>
      <c r="U175" s="67"/>
      <c r="V175" s="67">
        <f>$L175</f>
        <v>57500</v>
      </c>
      <c r="W175" s="190">
        <f>V175/T175-1</f>
        <v>0.63004961020552797</v>
      </c>
      <c r="X175" s="64"/>
      <c r="Y175" s="67">
        <f>$E175</f>
        <v>0</v>
      </c>
      <c r="Z175" s="67">
        <f>$F175</f>
        <v>35822</v>
      </c>
      <c r="AA175" s="67">
        <f>$G175</f>
        <v>0</v>
      </c>
      <c r="AB175" s="67">
        <f t="shared" si="101"/>
        <v>36016</v>
      </c>
      <c r="AC175" s="67"/>
      <c r="AD175" s="67">
        <f>$J175</f>
        <v>35275</v>
      </c>
      <c r="AE175" s="67"/>
      <c r="AF175" s="67">
        <f>$L175</f>
        <v>57500</v>
      </c>
      <c r="AG175" s="64"/>
      <c r="AH175" s="67">
        <f>$E175</f>
        <v>0</v>
      </c>
      <c r="AI175" s="67">
        <f>$F175</f>
        <v>35822</v>
      </c>
      <c r="AJ175" s="67">
        <f>$G175</f>
        <v>0</v>
      </c>
      <c r="AK175" s="67">
        <f t="shared" si="102"/>
        <v>36016</v>
      </c>
      <c r="AL175" s="67"/>
      <c r="AM175" s="67">
        <f>$J175</f>
        <v>35275</v>
      </c>
      <c r="AN175" s="67"/>
      <c r="AO175" s="67">
        <f>$L175</f>
        <v>57500</v>
      </c>
      <c r="AP175" s="64"/>
      <c r="AQ175" s="67">
        <f>$E175</f>
        <v>0</v>
      </c>
      <c r="AR175" s="67">
        <f>$F175</f>
        <v>35822</v>
      </c>
      <c r="AS175" s="67">
        <f>$G175</f>
        <v>0</v>
      </c>
      <c r="AT175" s="67">
        <f t="shared" si="103"/>
        <v>36016</v>
      </c>
      <c r="AU175" s="67"/>
      <c r="AV175" s="67">
        <f>$J175</f>
        <v>35275</v>
      </c>
      <c r="AW175" s="67"/>
      <c r="AX175" s="67">
        <f>$L175</f>
        <v>57500</v>
      </c>
      <c r="AY175" s="190">
        <f>AX175/AV175-1</f>
        <v>0.63004961020552797</v>
      </c>
      <c r="AZ175" s="64"/>
      <c r="BA175" s="67">
        <f>$E175</f>
        <v>0</v>
      </c>
      <c r="BB175" s="67">
        <f>$F175</f>
        <v>35822</v>
      </c>
      <c r="BC175" s="67">
        <f>$G175</f>
        <v>0</v>
      </c>
      <c r="BD175" s="67">
        <f t="shared" si="104"/>
        <v>36016</v>
      </c>
      <c r="BE175" s="67"/>
      <c r="BF175" s="67">
        <f>$J175</f>
        <v>35275</v>
      </c>
      <c r="BG175" s="67"/>
      <c r="BH175" s="67">
        <f>$L175</f>
        <v>57500</v>
      </c>
    </row>
    <row r="176" spans="2:60" x14ac:dyDescent="0.3">
      <c r="C176" s="65" t="s">
        <v>138</v>
      </c>
      <c r="D176" s="77"/>
      <c r="E176" s="98"/>
      <c r="F176" s="97">
        <f>SUM('Quarterly I.S'!G176:H176)</f>
        <v>189</v>
      </c>
      <c r="G176" s="98"/>
      <c r="H176" s="97">
        <f>SUM('Quarterly I.S'!K176:L176)</f>
        <v>1299</v>
      </c>
      <c r="I176" s="97"/>
      <c r="J176" s="97">
        <f>SUM('Quarterly I.S'!O176:P176)</f>
        <v>4946</v>
      </c>
      <c r="K176" s="97"/>
      <c r="L176" s="97">
        <f>SUM('Quarterly I.S'!S176:T176)</f>
        <v>17051</v>
      </c>
      <c r="M176" s="190">
        <f>L176/J176-1</f>
        <v>2.447432268499798</v>
      </c>
      <c r="O176" s="67">
        <f>$E176</f>
        <v>0</v>
      </c>
      <c r="P176" s="67">
        <f>$F176</f>
        <v>189</v>
      </c>
      <c r="Q176" s="67">
        <f>$G176</f>
        <v>0</v>
      </c>
      <c r="R176" s="67">
        <f t="shared" si="100"/>
        <v>1299</v>
      </c>
      <c r="S176" s="67"/>
      <c r="T176" s="67">
        <f>$J176</f>
        <v>4946</v>
      </c>
      <c r="U176" s="67"/>
      <c r="V176" s="67">
        <f>$L176</f>
        <v>17051</v>
      </c>
      <c r="W176" s="190">
        <f>V176/T176-1</f>
        <v>2.447432268499798</v>
      </c>
      <c r="X176" s="64"/>
      <c r="Y176" s="67">
        <f>$E176</f>
        <v>0</v>
      </c>
      <c r="Z176" s="67">
        <f>$F176</f>
        <v>189</v>
      </c>
      <c r="AA176" s="67">
        <f>$G176</f>
        <v>0</v>
      </c>
      <c r="AB176" s="67">
        <f t="shared" si="101"/>
        <v>1299</v>
      </c>
      <c r="AC176" s="67"/>
      <c r="AD176" s="67">
        <f>$J176</f>
        <v>4946</v>
      </c>
      <c r="AE176" s="67"/>
      <c r="AF176" s="67">
        <f>$L176</f>
        <v>17051</v>
      </c>
      <c r="AG176" s="64"/>
      <c r="AH176" s="67">
        <f>$E176</f>
        <v>0</v>
      </c>
      <c r="AI176" s="67">
        <f>$F176</f>
        <v>189</v>
      </c>
      <c r="AJ176" s="67">
        <f>$G176</f>
        <v>0</v>
      </c>
      <c r="AK176" s="67">
        <f t="shared" si="102"/>
        <v>1299</v>
      </c>
      <c r="AL176" s="67"/>
      <c r="AM176" s="67">
        <f>$J176</f>
        <v>4946</v>
      </c>
      <c r="AN176" s="67"/>
      <c r="AO176" s="67">
        <f>$L176</f>
        <v>17051</v>
      </c>
      <c r="AP176" s="64"/>
      <c r="AQ176" s="67">
        <f>$E176</f>
        <v>0</v>
      </c>
      <c r="AR176" s="67">
        <f>$F176</f>
        <v>189</v>
      </c>
      <c r="AS176" s="67">
        <f>$G176</f>
        <v>0</v>
      </c>
      <c r="AT176" s="67">
        <f t="shared" si="103"/>
        <v>1299</v>
      </c>
      <c r="AU176" s="67"/>
      <c r="AV176" s="67">
        <f>$J176</f>
        <v>4946</v>
      </c>
      <c r="AW176" s="67"/>
      <c r="AX176" s="67">
        <f>$L176</f>
        <v>17051</v>
      </c>
      <c r="AY176" s="190">
        <f>AX176/AV176-1</f>
        <v>2.447432268499798</v>
      </c>
      <c r="AZ176" s="64"/>
      <c r="BA176" s="67">
        <f>$E176</f>
        <v>0</v>
      </c>
      <c r="BB176" s="67">
        <f>$F176</f>
        <v>189</v>
      </c>
      <c r="BC176" s="67">
        <f>$G176</f>
        <v>0</v>
      </c>
      <c r="BD176" s="67">
        <f t="shared" si="104"/>
        <v>1299</v>
      </c>
      <c r="BE176" s="67"/>
      <c r="BF176" s="67">
        <f>$J176</f>
        <v>4946</v>
      </c>
      <c r="BG176" s="67"/>
      <c r="BH176" s="67">
        <f>$L176</f>
        <v>17051</v>
      </c>
    </row>
    <row r="177" spans="2:60" x14ac:dyDescent="0.3">
      <c r="C177" s="65"/>
      <c r="D177" s="77"/>
      <c r="E177" s="42"/>
      <c r="F177" s="42"/>
      <c r="G177" s="42"/>
      <c r="H177" s="42"/>
      <c r="I177" s="42"/>
      <c r="J177" s="42"/>
      <c r="K177" s="42"/>
      <c r="L177" s="42"/>
      <c r="O177" s="67"/>
      <c r="P177" s="67"/>
      <c r="Q177" s="67"/>
      <c r="R177" s="67"/>
      <c r="S177" s="67"/>
      <c r="T177" s="67"/>
      <c r="U177" s="67"/>
      <c r="V177" s="67"/>
      <c r="X177" s="64"/>
      <c r="Y177" s="67"/>
      <c r="Z177" s="67"/>
      <c r="AA177" s="67"/>
      <c r="AB177" s="67"/>
      <c r="AC177" s="67"/>
      <c r="AD177" s="67"/>
      <c r="AE177" s="67"/>
      <c r="AF177" s="67"/>
      <c r="AG177" s="64"/>
      <c r="AH177" s="67"/>
      <c r="AI177" s="67"/>
      <c r="AJ177" s="67"/>
      <c r="AK177" s="67"/>
      <c r="AL177" s="67"/>
      <c r="AM177" s="67"/>
      <c r="AN177" s="67"/>
      <c r="AO177" s="67"/>
      <c r="AP177" s="64"/>
      <c r="AQ177" s="67"/>
      <c r="AR177" s="67"/>
      <c r="AS177" s="67"/>
      <c r="AT177" s="67"/>
      <c r="AU177" s="67"/>
      <c r="AV177" s="67"/>
      <c r="AW177" s="67"/>
      <c r="AX177" s="67"/>
      <c r="AZ177" s="64"/>
      <c r="BA177" s="67"/>
      <c r="BB177" s="67"/>
      <c r="BC177" s="67"/>
      <c r="BD177" s="67"/>
      <c r="BE177" s="67"/>
      <c r="BF177" s="67"/>
      <c r="BG177" s="67"/>
      <c r="BH177" s="67"/>
    </row>
    <row r="178" spans="2:60" x14ac:dyDescent="0.3">
      <c r="C178" s="65" t="s">
        <v>122</v>
      </c>
      <c r="D178" s="77"/>
      <c r="E178" s="98"/>
      <c r="F178" s="98">
        <f>'Quarterly I.S'!H178</f>
        <v>347460.58600000001</v>
      </c>
      <c r="G178" s="98"/>
      <c r="H178" s="98">
        <f>'Quarterly I.S'!L178</f>
        <v>460329.424</v>
      </c>
      <c r="I178" s="98"/>
      <c r="J178" s="98">
        <f>'Quarterly I.S'!P178</f>
        <v>725821.01500000001</v>
      </c>
      <c r="K178" s="98"/>
      <c r="L178" s="98">
        <f>'Quarterly I.S'!T178</f>
        <v>1029517.4450000001</v>
      </c>
      <c r="M178" s="196">
        <f>L178/J178-1</f>
        <v>0.41841779684485991</v>
      </c>
      <c r="O178" s="67">
        <f>$E178</f>
        <v>0</v>
      </c>
      <c r="P178" s="67">
        <f>$F178</f>
        <v>347460.58600000001</v>
      </c>
      <c r="Q178" s="67">
        <f>$G178</f>
        <v>0</v>
      </c>
      <c r="R178" s="67">
        <f t="shared" si="100"/>
        <v>460329.424</v>
      </c>
      <c r="S178" s="67"/>
      <c r="T178" s="67">
        <f>$J178</f>
        <v>725821.01500000001</v>
      </c>
      <c r="U178" s="67"/>
      <c r="V178" s="67">
        <f>$L178</f>
        <v>1029517.4450000001</v>
      </c>
      <c r="W178" s="196">
        <f>V178/T178-1</f>
        <v>0.41841779684485991</v>
      </c>
      <c r="X178" s="64"/>
      <c r="Y178" s="67">
        <f>$E178</f>
        <v>0</v>
      </c>
      <c r="Z178" s="67">
        <f>$F178</f>
        <v>347460.58600000001</v>
      </c>
      <c r="AA178" s="67">
        <f>$G178</f>
        <v>0</v>
      </c>
      <c r="AB178" s="67">
        <f t="shared" si="101"/>
        <v>460329.424</v>
      </c>
      <c r="AC178" s="67"/>
      <c r="AD178" s="67">
        <f>$J178</f>
        <v>725821.01500000001</v>
      </c>
      <c r="AE178" s="67"/>
      <c r="AF178" s="67">
        <f>$L178</f>
        <v>1029517.4450000001</v>
      </c>
      <c r="AG178" s="64"/>
      <c r="AH178" s="67">
        <f>$E178</f>
        <v>0</v>
      </c>
      <c r="AI178" s="67">
        <f>$F178</f>
        <v>347460.58600000001</v>
      </c>
      <c r="AJ178" s="67">
        <f>$G178</f>
        <v>0</v>
      </c>
      <c r="AK178" s="67">
        <f t="shared" si="102"/>
        <v>460329.424</v>
      </c>
      <c r="AL178" s="67"/>
      <c r="AM178" s="67">
        <f>$J178</f>
        <v>725821.01500000001</v>
      </c>
      <c r="AN178" s="67"/>
      <c r="AO178" s="67">
        <f>$L178</f>
        <v>1029517.4450000001</v>
      </c>
      <c r="AP178" s="64"/>
      <c r="AQ178" s="67">
        <f>$E178</f>
        <v>0</v>
      </c>
      <c r="AR178" s="67">
        <f>$F178</f>
        <v>347460.58600000001</v>
      </c>
      <c r="AS178" s="67">
        <f>$G178</f>
        <v>0</v>
      </c>
      <c r="AT178" s="67">
        <f t="shared" si="103"/>
        <v>460329.424</v>
      </c>
      <c r="AU178" s="67"/>
      <c r="AV178" s="67">
        <f>$J178</f>
        <v>725821.01500000001</v>
      </c>
      <c r="AW178" s="67"/>
      <c r="AX178" s="67">
        <f>$L178</f>
        <v>1029517.4450000001</v>
      </c>
      <c r="AY178" s="196">
        <f>AX178/AV178-1</f>
        <v>0.41841779684485991</v>
      </c>
      <c r="AZ178" s="64"/>
      <c r="BA178" s="67">
        <f>$E178</f>
        <v>0</v>
      </c>
      <c r="BB178" s="67">
        <f>$F178</f>
        <v>347460.58600000001</v>
      </c>
      <c r="BC178" s="67">
        <f>$G178</f>
        <v>0</v>
      </c>
      <c r="BD178" s="67">
        <f t="shared" si="104"/>
        <v>460329.424</v>
      </c>
      <c r="BE178" s="67"/>
      <c r="BF178" s="67">
        <f>$J178</f>
        <v>725821.01500000001</v>
      </c>
      <c r="BG178" s="67"/>
      <c r="BH178" s="67">
        <f>$L178</f>
        <v>1029517.4450000001</v>
      </c>
    </row>
    <row r="179" spans="2:60" x14ac:dyDescent="0.3">
      <c r="C179" s="65" t="s">
        <v>133</v>
      </c>
      <c r="D179" s="77"/>
      <c r="E179" s="98"/>
      <c r="F179" s="98">
        <f>'Quarterly I.S'!H179</f>
        <v>317355.261</v>
      </c>
      <c r="G179" s="98"/>
      <c r="H179" s="98">
        <f>'Quarterly I.S'!L179</f>
        <v>471232.0955</v>
      </c>
      <c r="I179" s="98"/>
      <c r="J179" s="98">
        <f>'Quarterly I.S'!P179</f>
        <v>191979.61535000001</v>
      </c>
      <c r="K179" s="98"/>
      <c r="L179" s="98">
        <f>'Quarterly I.S'!T179</f>
        <v>237447.18884000002</v>
      </c>
      <c r="M179" s="196">
        <f>L179/J179-1</f>
        <v>0.23683542342299013</v>
      </c>
      <c r="O179" s="67">
        <f>$E179</f>
        <v>0</v>
      </c>
      <c r="P179" s="67">
        <f>$F179</f>
        <v>317355.261</v>
      </c>
      <c r="Q179" s="67">
        <f>$G179</f>
        <v>0</v>
      </c>
      <c r="R179" s="67">
        <f t="shared" si="100"/>
        <v>471232.0955</v>
      </c>
      <c r="S179" s="67"/>
      <c r="T179" s="67">
        <f>$J179</f>
        <v>191979.61535000001</v>
      </c>
      <c r="U179" s="67"/>
      <c r="V179" s="67">
        <f>$L179</f>
        <v>237447.18884000002</v>
      </c>
      <c r="W179" s="196">
        <f>V179/T179-1</f>
        <v>0.23683542342299013</v>
      </c>
      <c r="X179" s="64"/>
      <c r="Y179" s="67">
        <f>$E179</f>
        <v>0</v>
      </c>
      <c r="Z179" s="67">
        <f>$F179</f>
        <v>317355.261</v>
      </c>
      <c r="AA179" s="67">
        <f>$G179</f>
        <v>0</v>
      </c>
      <c r="AB179" s="67">
        <f t="shared" si="101"/>
        <v>471232.0955</v>
      </c>
      <c r="AC179" s="67"/>
      <c r="AD179" s="67">
        <f>$J179</f>
        <v>191979.61535000001</v>
      </c>
      <c r="AE179" s="67"/>
      <c r="AF179" s="67">
        <f>$L179</f>
        <v>237447.18884000002</v>
      </c>
      <c r="AG179" s="64"/>
      <c r="AH179" s="67">
        <f>$E179</f>
        <v>0</v>
      </c>
      <c r="AI179" s="67">
        <f>$F179</f>
        <v>317355.261</v>
      </c>
      <c r="AJ179" s="67">
        <f>$G179</f>
        <v>0</v>
      </c>
      <c r="AK179" s="67">
        <f t="shared" si="102"/>
        <v>471232.0955</v>
      </c>
      <c r="AL179" s="67"/>
      <c r="AM179" s="67">
        <f>$J179</f>
        <v>191979.61535000001</v>
      </c>
      <c r="AN179" s="67"/>
      <c r="AO179" s="67">
        <f>$L179</f>
        <v>237447.18884000002</v>
      </c>
      <c r="AP179" s="64"/>
      <c r="AQ179" s="67">
        <f>$E179</f>
        <v>0</v>
      </c>
      <c r="AR179" s="67">
        <f>$F179</f>
        <v>317355.261</v>
      </c>
      <c r="AS179" s="67">
        <f>$G179</f>
        <v>0</v>
      </c>
      <c r="AT179" s="67">
        <f t="shared" si="103"/>
        <v>471232.0955</v>
      </c>
      <c r="AU179" s="67"/>
      <c r="AV179" s="67">
        <f>$J179</f>
        <v>191979.61535000001</v>
      </c>
      <c r="AW179" s="67"/>
      <c r="AX179" s="67">
        <f>$L179</f>
        <v>237447.18884000002</v>
      </c>
      <c r="AY179" s="196">
        <f>AX179/AV179-1</f>
        <v>0.23683542342299013</v>
      </c>
      <c r="AZ179" s="64"/>
      <c r="BA179" s="67">
        <f>$E179</f>
        <v>0</v>
      </c>
      <c r="BB179" s="67">
        <f>$F179</f>
        <v>317355.261</v>
      </c>
      <c r="BC179" s="67">
        <f>$G179</f>
        <v>0</v>
      </c>
      <c r="BD179" s="67">
        <f t="shared" si="104"/>
        <v>471232.0955</v>
      </c>
      <c r="BE179" s="67"/>
      <c r="BF179" s="67">
        <f>$J179</f>
        <v>191979.61535000001</v>
      </c>
      <c r="BG179" s="67"/>
      <c r="BH179" s="67">
        <f>$L179</f>
        <v>237447.18884000002</v>
      </c>
    </row>
    <row r="180" spans="2:60" x14ac:dyDescent="0.3">
      <c r="C180" s="65"/>
      <c r="D180" s="77"/>
      <c r="E180" s="62"/>
      <c r="F180" s="62"/>
      <c r="G180" s="62"/>
      <c r="H180" s="62"/>
      <c r="I180" s="62"/>
      <c r="J180" s="62"/>
      <c r="K180" s="62"/>
      <c r="L180" s="62"/>
      <c r="M180" s="131"/>
      <c r="O180" s="62"/>
      <c r="P180" s="62"/>
      <c r="Q180" s="62"/>
      <c r="R180" s="62"/>
      <c r="S180" s="62"/>
      <c r="T180" s="62"/>
      <c r="U180" s="62"/>
      <c r="V180" s="62"/>
      <c r="W180" s="131"/>
      <c r="Y180" s="62"/>
      <c r="Z180" s="62"/>
      <c r="AA180" s="62"/>
      <c r="AB180" s="62"/>
      <c r="AC180" s="62"/>
      <c r="AD180" s="62"/>
      <c r="AE180" s="62"/>
      <c r="AF180" s="62"/>
      <c r="AH180" s="62"/>
      <c r="AI180" s="62"/>
      <c r="AJ180" s="62"/>
      <c r="AK180" s="62"/>
      <c r="AL180" s="62"/>
      <c r="AM180" s="62"/>
      <c r="AN180" s="62"/>
      <c r="AO180" s="62"/>
      <c r="AQ180" s="62"/>
      <c r="AR180" s="62"/>
      <c r="AS180" s="62"/>
      <c r="AT180" s="62"/>
      <c r="AU180" s="62"/>
      <c r="AV180" s="62"/>
      <c r="AW180" s="62"/>
      <c r="AX180" s="62"/>
      <c r="AY180" s="131"/>
      <c r="BA180" s="62"/>
      <c r="BB180" s="62"/>
      <c r="BC180" s="62"/>
      <c r="BD180" s="62"/>
      <c r="BE180" s="62"/>
      <c r="BF180" s="62"/>
      <c r="BG180" s="62"/>
      <c r="BH180" s="62"/>
    </row>
    <row r="181" spans="2:60" x14ac:dyDescent="0.3">
      <c r="C181" s="65"/>
      <c r="D181" s="77"/>
      <c r="E181" s="62"/>
      <c r="F181" s="62"/>
      <c r="G181" s="62"/>
      <c r="H181" s="62"/>
      <c r="I181" s="62"/>
      <c r="J181" s="62"/>
      <c r="K181" s="62"/>
      <c r="L181" s="62"/>
      <c r="M181" s="131"/>
      <c r="O181" s="62"/>
      <c r="P181" s="62"/>
      <c r="Q181" s="62"/>
      <c r="R181" s="62"/>
      <c r="S181" s="62"/>
      <c r="T181" s="62"/>
      <c r="U181" s="62"/>
      <c r="V181" s="62"/>
      <c r="W181" s="131"/>
      <c r="Y181" s="62"/>
      <c r="Z181" s="62"/>
      <c r="AA181" s="62"/>
      <c r="AB181" s="62"/>
      <c r="AC181" s="62"/>
      <c r="AD181" s="62"/>
      <c r="AE181" s="62"/>
      <c r="AF181" s="62"/>
      <c r="AH181" s="62"/>
      <c r="AI181" s="62"/>
      <c r="AJ181" s="62"/>
      <c r="AK181" s="62"/>
      <c r="AL181" s="62"/>
      <c r="AM181" s="62"/>
      <c r="AN181" s="62"/>
      <c r="AO181" s="62"/>
      <c r="AQ181" s="62"/>
      <c r="AR181" s="62"/>
      <c r="AS181" s="62"/>
      <c r="AT181" s="62"/>
      <c r="AU181" s="62"/>
      <c r="AV181" s="62"/>
      <c r="AW181" s="62"/>
      <c r="AX181" s="62"/>
      <c r="AY181" s="131"/>
      <c r="BA181" s="62"/>
      <c r="BB181" s="62"/>
      <c r="BC181" s="62"/>
      <c r="BD181" s="62"/>
      <c r="BE181" s="62"/>
      <c r="BF181" s="62"/>
      <c r="BG181" s="62"/>
      <c r="BH181" s="62"/>
    </row>
    <row r="182" spans="2:60" s="85" customFormat="1" x14ac:dyDescent="0.3">
      <c r="B182" s="84"/>
      <c r="C182" s="63" t="s">
        <v>136</v>
      </c>
      <c r="D182" s="63"/>
      <c r="E182" s="63"/>
      <c r="F182" s="63"/>
      <c r="G182" s="63"/>
      <c r="H182" s="63"/>
      <c r="I182" s="63"/>
      <c r="J182" s="63"/>
      <c r="K182" s="63"/>
      <c r="L182" s="63"/>
      <c r="M182" s="186"/>
      <c r="O182" s="63"/>
      <c r="P182" s="63"/>
      <c r="Q182" s="63"/>
      <c r="R182" s="63"/>
      <c r="S182" s="63"/>
      <c r="T182" s="63"/>
      <c r="U182" s="63"/>
      <c r="V182" s="63"/>
      <c r="W182" s="186"/>
      <c r="Y182" s="63"/>
      <c r="Z182" s="63"/>
      <c r="AA182" s="63"/>
      <c r="AB182" s="63"/>
      <c r="AC182" s="63"/>
      <c r="AD182" s="63"/>
      <c r="AE182" s="63"/>
      <c r="AF182" s="63"/>
      <c r="AG182" s="110"/>
      <c r="AH182" s="63"/>
      <c r="AI182" s="63"/>
      <c r="AJ182" s="63"/>
      <c r="AK182" s="63"/>
      <c r="AL182" s="63"/>
      <c r="AM182" s="63"/>
      <c r="AN182" s="63"/>
      <c r="AO182" s="63"/>
      <c r="AP182" s="110"/>
      <c r="AQ182" s="63"/>
      <c r="AR182" s="63"/>
      <c r="AS182" s="63"/>
      <c r="AT182" s="63"/>
      <c r="AU182" s="63"/>
      <c r="AV182" s="63"/>
      <c r="AW182" s="63"/>
      <c r="AX182" s="63"/>
      <c r="AY182" s="186"/>
      <c r="BA182" s="63"/>
      <c r="BB182" s="63"/>
      <c r="BC182" s="63"/>
      <c r="BD182" s="63"/>
      <c r="BE182" s="63"/>
      <c r="BF182" s="63"/>
      <c r="BG182" s="63"/>
      <c r="BH182" s="63"/>
    </row>
    <row r="183" spans="2:60" x14ac:dyDescent="0.3">
      <c r="C183" s="36" t="s">
        <v>53</v>
      </c>
      <c r="E183" s="69"/>
      <c r="F183" s="97">
        <f>SUM('Quarterly I.S'!G183:H183)</f>
        <v>80032.297564999812</v>
      </c>
      <c r="G183" s="69"/>
      <c r="H183" s="97">
        <f>SUM('Quarterly I.S'!K183:L183)</f>
        <v>103362.42303400059</v>
      </c>
      <c r="I183" s="97"/>
      <c r="J183" s="97">
        <f>SUM('Quarterly I.S'!O183:P183)</f>
        <v>186386.21305199934</v>
      </c>
      <c r="K183" s="97"/>
      <c r="L183" s="97">
        <f>SUM('Quarterly I.S'!S183:T183)</f>
        <v>255497.21705810018</v>
      </c>
      <c r="M183" s="190">
        <f>L183/J183-1</f>
        <v>0.37079461444296724</v>
      </c>
      <c r="O183" s="70">
        <f>$E183</f>
        <v>0</v>
      </c>
      <c r="P183" s="70">
        <f>$F183</f>
        <v>80032.297564999812</v>
      </c>
      <c r="Q183" s="70">
        <f>$G183</f>
        <v>0</v>
      </c>
      <c r="R183" s="70">
        <f>$H183</f>
        <v>103362.42303400059</v>
      </c>
      <c r="S183" s="70"/>
      <c r="T183" s="67">
        <f>$J183</f>
        <v>186386.21305199934</v>
      </c>
      <c r="U183" s="67"/>
      <c r="V183" s="67">
        <f>$L183</f>
        <v>255497.21705810018</v>
      </c>
      <c r="W183" s="190">
        <f>V183/T183-1</f>
        <v>0.37079461444296724</v>
      </c>
      <c r="Y183" s="70">
        <f>$E183</f>
        <v>0</v>
      </c>
      <c r="Z183" s="70">
        <f>$F183</f>
        <v>80032.297564999812</v>
      </c>
      <c r="AA183" s="70">
        <f>$G183</f>
        <v>0</v>
      </c>
      <c r="AB183" s="70">
        <f>$H183</f>
        <v>103362.42303400059</v>
      </c>
      <c r="AC183" s="70"/>
      <c r="AD183" s="67">
        <f>$J183</f>
        <v>186386.21305199934</v>
      </c>
      <c r="AE183" s="67"/>
      <c r="AF183" s="67">
        <f>$L183</f>
        <v>255497.21705810018</v>
      </c>
      <c r="AH183" s="70">
        <f>$E183</f>
        <v>0</v>
      </c>
      <c r="AI183" s="70">
        <f>$F183</f>
        <v>80032.297564999812</v>
      </c>
      <c r="AJ183" s="70">
        <f>$G183</f>
        <v>0</v>
      </c>
      <c r="AK183" s="70">
        <f>$H183</f>
        <v>103362.42303400059</v>
      </c>
      <c r="AL183" s="70"/>
      <c r="AM183" s="67">
        <f>$J183</f>
        <v>186386.21305199934</v>
      </c>
      <c r="AN183" s="67"/>
      <c r="AO183" s="67">
        <f>$L183</f>
        <v>255497.21705810018</v>
      </c>
      <c r="AQ183" s="70">
        <f>$E183</f>
        <v>0</v>
      </c>
      <c r="AR183" s="70">
        <f>$F183</f>
        <v>80032.297564999812</v>
      </c>
      <c r="AS183" s="70">
        <f>$G183</f>
        <v>0</v>
      </c>
      <c r="AT183" s="70">
        <f>$H183</f>
        <v>103362.42303400059</v>
      </c>
      <c r="AU183" s="70"/>
      <c r="AV183" s="67">
        <f>$J183</f>
        <v>186386.21305199934</v>
      </c>
      <c r="AW183" s="67"/>
      <c r="AX183" s="67">
        <f>$L183</f>
        <v>255497.21705810018</v>
      </c>
      <c r="AY183" s="190">
        <f>AX183/AV183-1</f>
        <v>0.37079461444296724</v>
      </c>
      <c r="BA183" s="70">
        <f>$E183</f>
        <v>0</v>
      </c>
      <c r="BB183" s="70">
        <f>$F183</f>
        <v>80032.297564999812</v>
      </c>
      <c r="BC183" s="70">
        <f>$G183</f>
        <v>0</v>
      </c>
      <c r="BD183" s="70">
        <f>$H183</f>
        <v>103362.42303400059</v>
      </c>
      <c r="BE183" s="70"/>
      <c r="BF183" s="67">
        <f>$J183</f>
        <v>186386.21305199934</v>
      </c>
      <c r="BG183" s="67"/>
      <c r="BH183" s="67">
        <f>$L183</f>
        <v>255497.21705810018</v>
      </c>
    </row>
    <row r="184" spans="2:60" x14ac:dyDescent="0.3">
      <c r="C184" s="36" t="s">
        <v>134</v>
      </c>
      <c r="E184" s="69"/>
      <c r="F184" s="97">
        <f>SUM('Quarterly I.S'!G184:H184)</f>
        <v>28534</v>
      </c>
      <c r="G184" s="69"/>
      <c r="H184" s="97">
        <f>SUM('Quarterly I.S'!K184:L184)</f>
        <v>28552</v>
      </c>
      <c r="I184" s="97"/>
      <c r="J184" s="97">
        <f>SUM('Quarterly I.S'!O184:P184)</f>
        <v>34870</v>
      </c>
      <c r="K184" s="97"/>
      <c r="L184" s="97">
        <f>SUM('Quarterly I.S'!S184:T184)</f>
        <v>27813</v>
      </c>
      <c r="M184" s="190">
        <f>L184/J184-1</f>
        <v>-0.20238026957269861</v>
      </c>
      <c r="O184" s="70">
        <f>$E184</f>
        <v>0</v>
      </c>
      <c r="P184" s="70">
        <f>$F184</f>
        <v>28534</v>
      </c>
      <c r="Q184" s="70">
        <f>$G184</f>
        <v>0</v>
      </c>
      <c r="R184" s="70">
        <f>$H184</f>
        <v>28552</v>
      </c>
      <c r="S184" s="70"/>
      <c r="T184" s="67">
        <f>$J184</f>
        <v>34870</v>
      </c>
      <c r="U184" s="67"/>
      <c r="V184" s="67">
        <f>$L184</f>
        <v>27813</v>
      </c>
      <c r="W184" s="190">
        <f>V184/T184-1</f>
        <v>-0.20238026957269861</v>
      </c>
      <c r="Y184" s="70">
        <f>$E184</f>
        <v>0</v>
      </c>
      <c r="Z184" s="70">
        <f>$F184</f>
        <v>28534</v>
      </c>
      <c r="AA184" s="70">
        <f>$G184</f>
        <v>0</v>
      </c>
      <c r="AB184" s="70">
        <f>$H184</f>
        <v>28552</v>
      </c>
      <c r="AC184" s="70"/>
      <c r="AD184" s="67">
        <f>$J184</f>
        <v>34870</v>
      </c>
      <c r="AE184" s="67"/>
      <c r="AF184" s="67">
        <f>$L184</f>
        <v>27813</v>
      </c>
      <c r="AH184" s="70">
        <f>$E184</f>
        <v>0</v>
      </c>
      <c r="AI184" s="70">
        <f>$F184</f>
        <v>28534</v>
      </c>
      <c r="AJ184" s="70">
        <f>$G184</f>
        <v>0</v>
      </c>
      <c r="AK184" s="70">
        <f>$H184</f>
        <v>28552</v>
      </c>
      <c r="AL184" s="70"/>
      <c r="AM184" s="67">
        <f>$J184</f>
        <v>34870</v>
      </c>
      <c r="AN184" s="67"/>
      <c r="AO184" s="67">
        <f>$L184</f>
        <v>27813</v>
      </c>
      <c r="AQ184" s="70">
        <f>$E184</f>
        <v>0</v>
      </c>
      <c r="AR184" s="70">
        <f>$F184</f>
        <v>28534</v>
      </c>
      <c r="AS184" s="70">
        <f>$G184</f>
        <v>0</v>
      </c>
      <c r="AT184" s="70">
        <f>$H184</f>
        <v>28552</v>
      </c>
      <c r="AU184" s="70"/>
      <c r="AV184" s="67">
        <f>$J184</f>
        <v>34870</v>
      </c>
      <c r="AW184" s="67"/>
      <c r="AX184" s="67">
        <f>$L184</f>
        <v>27813</v>
      </c>
      <c r="AY184" s="190">
        <f>AX184/AV184-1</f>
        <v>-0.20238026957269861</v>
      </c>
      <c r="BA184" s="70">
        <f>$E184</f>
        <v>0</v>
      </c>
      <c r="BB184" s="70">
        <f>$F184</f>
        <v>28534</v>
      </c>
      <c r="BC184" s="70">
        <f>$G184</f>
        <v>0</v>
      </c>
      <c r="BD184" s="70">
        <f>$H184</f>
        <v>28552</v>
      </c>
      <c r="BE184" s="70"/>
      <c r="BF184" s="67">
        <f>$J184</f>
        <v>34870</v>
      </c>
      <c r="BG184" s="67"/>
      <c r="BH184" s="67">
        <f>$L184</f>
        <v>27813</v>
      </c>
    </row>
    <row r="185" spans="2:60" x14ac:dyDescent="0.3">
      <c r="C185" s="65"/>
      <c r="D185" s="77"/>
      <c r="E185" s="62"/>
      <c r="F185" s="62"/>
      <c r="G185" s="62"/>
      <c r="H185" s="62"/>
      <c r="I185" s="62"/>
      <c r="J185" s="62"/>
      <c r="K185" s="62"/>
      <c r="L185" s="62"/>
      <c r="M185" s="131"/>
      <c r="O185" s="62"/>
      <c r="P185" s="62"/>
      <c r="Q185" s="62"/>
      <c r="R185" s="62"/>
      <c r="S185" s="62"/>
      <c r="T185" s="62"/>
      <c r="U185" s="62"/>
      <c r="V185" s="62"/>
      <c r="W185" s="131"/>
      <c r="Y185" s="62"/>
      <c r="Z185" s="62"/>
      <c r="AA185" s="62"/>
      <c r="AB185" s="62"/>
      <c r="AC185" s="62"/>
      <c r="AD185" s="62"/>
      <c r="AE185" s="62"/>
      <c r="AF185" s="62"/>
      <c r="AH185" s="62"/>
      <c r="AI185" s="62"/>
      <c r="AJ185" s="62"/>
      <c r="AK185" s="62"/>
      <c r="AL185" s="62"/>
      <c r="AM185" s="62"/>
      <c r="AN185" s="62"/>
      <c r="AO185" s="62"/>
      <c r="AQ185" s="62"/>
      <c r="AR185" s="62"/>
      <c r="AS185" s="62"/>
      <c r="AT185" s="62"/>
      <c r="AU185" s="62"/>
      <c r="AV185" s="62"/>
      <c r="AW185" s="62"/>
      <c r="AX185" s="62"/>
      <c r="AY185" s="131"/>
      <c r="BA185" s="62"/>
      <c r="BB185" s="62"/>
      <c r="BC185" s="62"/>
      <c r="BD185" s="62"/>
      <c r="BE185" s="62"/>
      <c r="BF185" s="62"/>
      <c r="BG185" s="62"/>
      <c r="BH185" s="62"/>
    </row>
    <row r="186" spans="2:60" s="82" customFormat="1" x14ac:dyDescent="0.3">
      <c r="B186" s="81"/>
      <c r="C186" s="30" t="s">
        <v>96</v>
      </c>
      <c r="D186" s="30"/>
      <c r="E186" s="30"/>
      <c r="F186" s="30"/>
      <c r="G186" s="30"/>
      <c r="H186" s="30"/>
      <c r="I186" s="30"/>
      <c r="J186" s="30"/>
      <c r="K186" s="30"/>
      <c r="L186" s="30"/>
      <c r="M186" s="185"/>
      <c r="O186" s="30"/>
      <c r="P186" s="30"/>
      <c r="Q186" s="30"/>
      <c r="R186" s="30"/>
      <c r="S186" s="30"/>
      <c r="T186" s="30"/>
      <c r="U186" s="30"/>
      <c r="V186" s="30"/>
      <c r="W186" s="185"/>
      <c r="Y186" s="30"/>
      <c r="Z186" s="30"/>
      <c r="AA186" s="30"/>
      <c r="AB186" s="30"/>
      <c r="AC186" s="30"/>
      <c r="AD186" s="30"/>
      <c r="AE186" s="30"/>
      <c r="AF186" s="30"/>
      <c r="AG186" s="110"/>
      <c r="AH186" s="30"/>
      <c r="AI186" s="30"/>
      <c r="AJ186" s="30"/>
      <c r="AK186" s="30"/>
      <c r="AL186" s="30"/>
      <c r="AM186" s="30"/>
      <c r="AN186" s="30"/>
      <c r="AO186" s="30"/>
      <c r="AP186" s="110"/>
      <c r="AQ186" s="30"/>
      <c r="AR186" s="30"/>
      <c r="AS186" s="30"/>
      <c r="AT186" s="30"/>
      <c r="AU186" s="30"/>
      <c r="AV186" s="30"/>
      <c r="AW186" s="30"/>
      <c r="AX186" s="30"/>
      <c r="AY186" s="185"/>
      <c r="BA186" s="30"/>
      <c r="BB186" s="30"/>
      <c r="BC186" s="30"/>
      <c r="BD186" s="30"/>
      <c r="BE186" s="30"/>
      <c r="BF186" s="30"/>
      <c r="BG186" s="30"/>
      <c r="BH186" s="30"/>
    </row>
    <row r="187" spans="2:60" x14ac:dyDescent="0.3">
      <c r="C187" s="36" t="s">
        <v>15</v>
      </c>
      <c r="E187" s="42"/>
      <c r="F187" s="42">
        <f>F21</f>
        <v>55023.185950000006</v>
      </c>
      <c r="G187" s="42"/>
      <c r="H187" s="42">
        <f>H21</f>
        <v>104885.67745000002</v>
      </c>
      <c r="I187" s="42"/>
      <c r="J187" s="42">
        <f>J21</f>
        <v>177024.80572</v>
      </c>
      <c r="K187" s="42"/>
      <c r="L187" s="42">
        <f>L21</f>
        <v>92722.167539999966</v>
      </c>
      <c r="M187" s="197"/>
      <c r="O187" s="42">
        <f>O21</f>
        <v>0</v>
      </c>
      <c r="P187" s="42">
        <f>P21</f>
        <v>55023.185950000006</v>
      </c>
      <c r="Q187" s="42">
        <f>Q21</f>
        <v>0</v>
      </c>
      <c r="R187" s="42">
        <f>R21</f>
        <v>98097.917460000026</v>
      </c>
      <c r="S187" s="42"/>
      <c r="T187" s="42">
        <f>T21</f>
        <v>168984.86537000001</v>
      </c>
      <c r="U187" s="42"/>
      <c r="V187" s="42">
        <f>V21</f>
        <v>85088.980469999966</v>
      </c>
      <c r="W187" s="197"/>
      <c r="Y187" s="42">
        <f>Y21</f>
        <v>0</v>
      </c>
      <c r="Z187" s="42">
        <f>Z21</f>
        <v>0</v>
      </c>
      <c r="AA187" s="42">
        <f>AA21</f>
        <v>0</v>
      </c>
      <c r="AB187" s="42">
        <f>AB21</f>
        <v>0</v>
      </c>
      <c r="AC187" s="42"/>
      <c r="AD187" s="42">
        <f>AD21</f>
        <v>0</v>
      </c>
      <c r="AE187" s="42"/>
      <c r="AF187" s="42">
        <f>AF21</f>
        <v>0</v>
      </c>
      <c r="AH187" s="42">
        <f>AH21</f>
        <v>0</v>
      </c>
      <c r="AI187" s="42">
        <f>AI21</f>
        <v>0</v>
      </c>
      <c r="AJ187" s="42">
        <f>AJ21</f>
        <v>0</v>
      </c>
      <c r="AK187" s="42">
        <f>AK21</f>
        <v>0</v>
      </c>
      <c r="AL187" s="42"/>
      <c r="AM187" s="42">
        <f>AM21</f>
        <v>0</v>
      </c>
      <c r="AN187" s="42"/>
      <c r="AO187" s="42">
        <f>AO21</f>
        <v>0</v>
      </c>
      <c r="AQ187" s="42">
        <f>AQ21</f>
        <v>0</v>
      </c>
      <c r="AR187" s="42">
        <f>AR21</f>
        <v>0</v>
      </c>
      <c r="AS187" s="42">
        <f>AS21</f>
        <v>0</v>
      </c>
      <c r="AT187" s="42">
        <f>AT21</f>
        <v>0</v>
      </c>
      <c r="AU187" s="42"/>
      <c r="AV187" s="42">
        <f>AV21</f>
        <v>0</v>
      </c>
      <c r="AW187" s="42"/>
      <c r="AX187" s="42">
        <f>AX21</f>
        <v>0</v>
      </c>
      <c r="AY187" s="197"/>
      <c r="BA187" s="42">
        <f>BA21</f>
        <v>0</v>
      </c>
      <c r="BB187" s="42">
        <f>BB21</f>
        <v>0</v>
      </c>
      <c r="BC187" s="42">
        <f>BC21</f>
        <v>0</v>
      </c>
      <c r="BD187" s="42">
        <f>BD21</f>
        <v>6787.7599899999996</v>
      </c>
      <c r="BE187" s="42"/>
      <c r="BF187" s="42">
        <f>BF21</f>
        <v>8039.9403499999999</v>
      </c>
      <c r="BG187" s="42"/>
      <c r="BH187" s="42">
        <f>BH21</f>
        <v>7633.187069999999</v>
      </c>
    </row>
    <row r="188" spans="2:60" x14ac:dyDescent="0.3">
      <c r="C188" s="36" t="s">
        <v>97</v>
      </c>
      <c r="E188" s="140"/>
      <c r="F188" s="140">
        <f>SUM('Quarterly I.S'!G188:H188)</f>
        <v>6607.5</v>
      </c>
      <c r="G188" s="140"/>
      <c r="H188" s="140">
        <f>SUM('Quarterly I.S'!K188:L188)</f>
        <v>24382.5</v>
      </c>
      <c r="I188" s="140"/>
      <c r="J188" s="140">
        <f>SUM('Quarterly I.S'!O188:P188)</f>
        <v>50760</v>
      </c>
      <c r="K188" s="140"/>
      <c r="L188" s="140">
        <f>SUM('Quarterly I.S'!S188:T188)</f>
        <v>10364</v>
      </c>
      <c r="M188" s="198"/>
      <c r="O188" s="70">
        <f>$E188</f>
        <v>0</v>
      </c>
      <c r="P188" s="70">
        <f>$F188</f>
        <v>6607.5</v>
      </c>
      <c r="Q188" s="70">
        <f>$G188</f>
        <v>0</v>
      </c>
      <c r="R188" s="70">
        <f>$H188</f>
        <v>24382.5</v>
      </c>
      <c r="S188" s="70"/>
      <c r="T188" s="70">
        <f>$J188</f>
        <v>50760</v>
      </c>
      <c r="U188" s="70"/>
      <c r="V188" s="70">
        <f>$L188</f>
        <v>10364</v>
      </c>
      <c r="W188" s="198"/>
      <c r="Y188" s="70">
        <f>$E188</f>
        <v>0</v>
      </c>
      <c r="Z188" s="70">
        <f>$F188</f>
        <v>6607.5</v>
      </c>
      <c r="AA188" s="70">
        <f>$G188</f>
        <v>0</v>
      </c>
      <c r="AB188" s="70">
        <f>$H188</f>
        <v>24382.5</v>
      </c>
      <c r="AC188" s="70"/>
      <c r="AD188" s="70">
        <f>$J188</f>
        <v>50760</v>
      </c>
      <c r="AE188" s="70"/>
      <c r="AF188" s="70">
        <f>$L188</f>
        <v>10364</v>
      </c>
      <c r="AH188" s="70">
        <f>$E188</f>
        <v>0</v>
      </c>
      <c r="AI188" s="70">
        <f>$F188</f>
        <v>6607.5</v>
      </c>
      <c r="AJ188" s="70">
        <f>$G188</f>
        <v>0</v>
      </c>
      <c r="AK188" s="70">
        <f>$H188</f>
        <v>24382.5</v>
      </c>
      <c r="AL188" s="70"/>
      <c r="AM188" s="70">
        <f>$J188</f>
        <v>50760</v>
      </c>
      <c r="AN188" s="70"/>
      <c r="AO188" s="70">
        <f>$L188</f>
        <v>10364</v>
      </c>
      <c r="AQ188" s="70">
        <f>$E188</f>
        <v>0</v>
      </c>
      <c r="AR188" s="70">
        <f>$F188</f>
        <v>6607.5</v>
      </c>
      <c r="AS188" s="70">
        <f>$G188</f>
        <v>0</v>
      </c>
      <c r="AT188" s="70">
        <f>$H188</f>
        <v>24382.5</v>
      </c>
      <c r="AU188" s="70"/>
      <c r="AV188" s="70">
        <f>$J188</f>
        <v>50760</v>
      </c>
      <c r="AW188" s="70"/>
      <c r="AX188" s="70">
        <f>$L188</f>
        <v>10364</v>
      </c>
      <c r="AY188" s="198"/>
      <c r="BA188" s="70">
        <f>$E188</f>
        <v>0</v>
      </c>
      <c r="BB188" s="70">
        <f>$F188</f>
        <v>6607.5</v>
      </c>
      <c r="BC188" s="70">
        <f>$G188</f>
        <v>0</v>
      </c>
      <c r="BD188" s="70">
        <f>$H188</f>
        <v>24382.5</v>
      </c>
      <c r="BE188" s="70"/>
      <c r="BF188" s="70">
        <f>$J188</f>
        <v>50760</v>
      </c>
      <c r="BG188" s="70"/>
      <c r="BH188" s="70">
        <f>$L188</f>
        <v>10364</v>
      </c>
    </row>
    <row r="189" spans="2:60" x14ac:dyDescent="0.3">
      <c r="C189" s="36" t="s">
        <v>98</v>
      </c>
      <c r="E189" s="57"/>
      <c r="F189" s="57">
        <f>F187-F188</f>
        <v>48415.685950000006</v>
      </c>
      <c r="G189" s="57"/>
      <c r="H189" s="57">
        <f>H187-H188</f>
        <v>80503.177450000017</v>
      </c>
      <c r="I189" s="57"/>
      <c r="J189" s="57">
        <f>J187-J188</f>
        <v>126264.80572</v>
      </c>
      <c r="K189" s="57"/>
      <c r="L189" s="57">
        <f>L187-L188</f>
        <v>82358.167539999966</v>
      </c>
      <c r="M189" s="199"/>
      <c r="O189" s="57">
        <f>O187-O188</f>
        <v>0</v>
      </c>
      <c r="P189" s="57">
        <f>P187-P188</f>
        <v>48415.685950000006</v>
      </c>
      <c r="Q189" s="57">
        <f>Q187-Q188</f>
        <v>0</v>
      </c>
      <c r="R189" s="57">
        <f>R187-R188</f>
        <v>73715.417460000026</v>
      </c>
      <c r="S189" s="57"/>
      <c r="T189" s="57">
        <f>T187-T188</f>
        <v>118224.86537000001</v>
      </c>
      <c r="U189" s="57"/>
      <c r="V189" s="57">
        <f>V187-V188</f>
        <v>74724.980469999966</v>
      </c>
      <c r="W189" s="199"/>
      <c r="Y189" s="57">
        <f>Y187-Y188</f>
        <v>0</v>
      </c>
      <c r="Z189" s="57">
        <f>Z187-Z188</f>
        <v>-6607.5</v>
      </c>
      <c r="AA189" s="57">
        <f>AA187-AA188</f>
        <v>0</v>
      </c>
      <c r="AB189" s="57">
        <f>AB187-AB188</f>
        <v>-24382.5</v>
      </c>
      <c r="AC189" s="57"/>
      <c r="AD189" s="57">
        <f>AD187-AD188</f>
        <v>-50760</v>
      </c>
      <c r="AE189" s="57"/>
      <c r="AF189" s="57">
        <f>AF187-AF188</f>
        <v>-10364</v>
      </c>
      <c r="AH189" s="57">
        <f>AH187-AH188</f>
        <v>0</v>
      </c>
      <c r="AI189" s="57">
        <f>AI187-AI188</f>
        <v>-6607.5</v>
      </c>
      <c r="AJ189" s="57">
        <f>AJ187-AJ188</f>
        <v>0</v>
      </c>
      <c r="AK189" s="57">
        <f>AK187-AK188</f>
        <v>-24382.5</v>
      </c>
      <c r="AL189" s="57"/>
      <c r="AM189" s="57">
        <f>AM187-AM188</f>
        <v>-50760</v>
      </c>
      <c r="AN189" s="57"/>
      <c r="AO189" s="57">
        <f>AO187-AO188</f>
        <v>-10364</v>
      </c>
      <c r="AQ189" s="57">
        <f>AQ187-AQ188</f>
        <v>0</v>
      </c>
      <c r="AR189" s="57">
        <f>AR187-AR188</f>
        <v>-6607.5</v>
      </c>
      <c r="AS189" s="57">
        <f>AS187-AS188</f>
        <v>0</v>
      </c>
      <c r="AT189" s="57">
        <f>AT187-AT188</f>
        <v>-24382.5</v>
      </c>
      <c r="AU189" s="57"/>
      <c r="AV189" s="57">
        <f>AV187-AV188</f>
        <v>-50760</v>
      </c>
      <c r="AW189" s="57"/>
      <c r="AX189" s="57">
        <f>AX187-AX188</f>
        <v>-10364</v>
      </c>
      <c r="AY189" s="199"/>
      <c r="BA189" s="57">
        <f>BA187-BA188</f>
        <v>0</v>
      </c>
      <c r="BB189" s="57">
        <f>BB187-BB188</f>
        <v>-6607.5</v>
      </c>
      <c r="BC189" s="57">
        <f>BC187-BC188</f>
        <v>0</v>
      </c>
      <c r="BD189" s="57">
        <f>BD187-BD188</f>
        <v>-17594.740010000001</v>
      </c>
      <c r="BE189" s="57"/>
      <c r="BF189" s="57">
        <f>BF187-BF188</f>
        <v>-42720.059650000003</v>
      </c>
      <c r="BG189" s="57"/>
      <c r="BH189" s="57">
        <f>BH187-BH188</f>
        <v>-2730.812930000001</v>
      </c>
    </row>
    <row r="190" spans="2:60" x14ac:dyDescent="0.3">
      <c r="M190" s="197"/>
      <c r="W190" s="197"/>
      <c r="AY190" s="197"/>
    </row>
    <row r="191" spans="2:60" x14ac:dyDescent="0.3">
      <c r="C191" s="36" t="s">
        <v>128</v>
      </c>
      <c r="E191" s="42"/>
      <c r="F191" s="42">
        <f>F24</f>
        <v>-19480.156709999999</v>
      </c>
      <c r="G191" s="42"/>
      <c r="H191" s="42">
        <f>H24</f>
        <v>-37253.245489999987</v>
      </c>
      <c r="I191" s="42"/>
      <c r="J191" s="42">
        <f>J24</f>
        <v>-69062.228630000012</v>
      </c>
      <c r="K191" s="42"/>
      <c r="L191" s="42">
        <f>L24</f>
        <v>-58832.21942999999</v>
      </c>
      <c r="M191" s="197"/>
      <c r="O191" s="42">
        <f>O24</f>
        <v>0</v>
      </c>
      <c r="P191" s="42">
        <f>P24</f>
        <v>-19480.156709999999</v>
      </c>
      <c r="Q191" s="42">
        <f>Q24</f>
        <v>0</v>
      </c>
      <c r="R191" s="42">
        <f>R24</f>
        <v>-37253.245489999987</v>
      </c>
      <c r="S191" s="42"/>
      <c r="T191" s="42">
        <f>T24</f>
        <v>-69062.228630000012</v>
      </c>
      <c r="U191" s="42"/>
      <c r="V191" s="42">
        <f>V24</f>
        <v>-58832.21942999999</v>
      </c>
      <c r="W191" s="197"/>
      <c r="Y191" s="42">
        <f>Y24</f>
        <v>0</v>
      </c>
      <c r="Z191" s="42">
        <f>Z24</f>
        <v>0</v>
      </c>
      <c r="AA191" s="42">
        <f>AA24</f>
        <v>0</v>
      </c>
      <c r="AB191" s="42">
        <f>AB24</f>
        <v>0</v>
      </c>
      <c r="AC191" s="42"/>
      <c r="AD191" s="42">
        <f>AD24</f>
        <v>0</v>
      </c>
      <c r="AE191" s="42"/>
      <c r="AF191" s="42">
        <f>AF24</f>
        <v>0</v>
      </c>
      <c r="AH191" s="42">
        <f>AH24</f>
        <v>0</v>
      </c>
      <c r="AI191" s="42">
        <f>AI24</f>
        <v>0</v>
      </c>
      <c r="AJ191" s="42">
        <f>AJ24</f>
        <v>0</v>
      </c>
      <c r="AK191" s="42">
        <f>AK24</f>
        <v>0</v>
      </c>
      <c r="AL191" s="42"/>
      <c r="AM191" s="42">
        <f>AM24</f>
        <v>0</v>
      </c>
      <c r="AN191" s="42"/>
      <c r="AO191" s="42">
        <f>AO24</f>
        <v>0</v>
      </c>
      <c r="AQ191" s="42">
        <f>AQ24</f>
        <v>0</v>
      </c>
      <c r="AR191" s="42">
        <f>AR24</f>
        <v>0</v>
      </c>
      <c r="AS191" s="42">
        <f>AS24</f>
        <v>0</v>
      </c>
      <c r="AT191" s="42">
        <f>AT24</f>
        <v>0</v>
      </c>
      <c r="AU191" s="42"/>
      <c r="AV191" s="42">
        <f>AV24</f>
        <v>0</v>
      </c>
      <c r="AW191" s="42"/>
      <c r="AX191" s="42">
        <f>AX24</f>
        <v>0</v>
      </c>
      <c r="AY191" s="197"/>
      <c r="BA191" s="42">
        <f>BA24</f>
        <v>0</v>
      </c>
      <c r="BB191" s="42">
        <f>BB24</f>
        <v>0</v>
      </c>
      <c r="BC191" s="42">
        <f>BC24</f>
        <v>0</v>
      </c>
      <c r="BD191" s="42">
        <f>BD24</f>
        <v>0</v>
      </c>
      <c r="BE191" s="42"/>
      <c r="BF191" s="42">
        <f>BF24</f>
        <v>0</v>
      </c>
      <c r="BG191" s="42"/>
      <c r="BH191" s="42">
        <f>BH24</f>
        <v>0</v>
      </c>
    </row>
    <row r="192" spans="2:60" x14ac:dyDescent="0.3">
      <c r="C192" s="36" t="s">
        <v>97</v>
      </c>
      <c r="E192" s="140"/>
      <c r="F192" s="140">
        <f>SUM('Quarterly I.S'!G192:H192)</f>
        <v>-821</v>
      </c>
      <c r="G192" s="140"/>
      <c r="H192" s="140">
        <f>SUM('Quarterly I.S'!K192:L192)</f>
        <v>-7290</v>
      </c>
      <c r="I192" s="140"/>
      <c r="J192" s="140">
        <f>SUM('Quarterly I.S'!O192:P192)</f>
        <v>-13422.5</v>
      </c>
      <c r="K192" s="140"/>
      <c r="L192" s="140">
        <f>SUM('Quarterly I.S'!S192:T192)</f>
        <v>-5419.9802099999997</v>
      </c>
      <c r="M192" s="198"/>
      <c r="O192" s="70">
        <f>$E192</f>
        <v>0</v>
      </c>
      <c r="P192" s="70">
        <f>$F192</f>
        <v>-821</v>
      </c>
      <c r="Q192" s="70">
        <f>$G192</f>
        <v>0</v>
      </c>
      <c r="R192" s="70">
        <f>$H192</f>
        <v>-7290</v>
      </c>
      <c r="S192" s="70"/>
      <c r="T192" s="70">
        <f>$J192</f>
        <v>-13422.5</v>
      </c>
      <c r="U192" s="70"/>
      <c r="V192" s="70">
        <f>$L192</f>
        <v>-5419.9802099999997</v>
      </c>
      <c r="W192" s="198"/>
      <c r="Y192" s="70">
        <f>$E192</f>
        <v>0</v>
      </c>
      <c r="Z192" s="70">
        <f>$F192</f>
        <v>-821</v>
      </c>
      <c r="AA192" s="70">
        <f>$G192</f>
        <v>0</v>
      </c>
      <c r="AB192" s="70">
        <f>$H192</f>
        <v>-7290</v>
      </c>
      <c r="AC192" s="70"/>
      <c r="AD192" s="70">
        <f>$J192</f>
        <v>-13422.5</v>
      </c>
      <c r="AE192" s="70"/>
      <c r="AF192" s="70">
        <f>$L192</f>
        <v>-5419.9802099999997</v>
      </c>
      <c r="AH192" s="70">
        <f>$E192</f>
        <v>0</v>
      </c>
      <c r="AI192" s="70">
        <f>$F192</f>
        <v>-821</v>
      </c>
      <c r="AJ192" s="70">
        <f>$G192</f>
        <v>0</v>
      </c>
      <c r="AK192" s="70">
        <f>$H192</f>
        <v>-7290</v>
      </c>
      <c r="AL192" s="70"/>
      <c r="AM192" s="70">
        <f>$J192</f>
        <v>-13422.5</v>
      </c>
      <c r="AN192" s="70"/>
      <c r="AO192" s="70">
        <f>$L192</f>
        <v>-5419.9802099999997</v>
      </c>
      <c r="AQ192" s="70">
        <f>$E192</f>
        <v>0</v>
      </c>
      <c r="AR192" s="70">
        <f>$F192</f>
        <v>-821</v>
      </c>
      <c r="AS192" s="70">
        <f>$G192</f>
        <v>0</v>
      </c>
      <c r="AT192" s="70">
        <f>$H192</f>
        <v>-7290</v>
      </c>
      <c r="AU192" s="70"/>
      <c r="AV192" s="70">
        <f>$J192</f>
        <v>-13422.5</v>
      </c>
      <c r="AW192" s="70"/>
      <c r="AX192" s="70">
        <f>$L192</f>
        <v>-5419.9802099999997</v>
      </c>
      <c r="AY192" s="198"/>
      <c r="BA192" s="70">
        <f>$E192</f>
        <v>0</v>
      </c>
      <c r="BB192" s="70">
        <f>$F192</f>
        <v>-821</v>
      </c>
      <c r="BC192" s="70">
        <f>$G192</f>
        <v>0</v>
      </c>
      <c r="BD192" s="70">
        <f>$H192</f>
        <v>-7290</v>
      </c>
      <c r="BE192" s="70"/>
      <c r="BF192" s="70">
        <f>$J192</f>
        <v>-13422.5</v>
      </c>
      <c r="BG192" s="70"/>
      <c r="BH192" s="70">
        <f>$L192</f>
        <v>-5419.9802099999997</v>
      </c>
    </row>
    <row r="193" spans="3:60" x14ac:dyDescent="0.3">
      <c r="C193" s="36" t="s">
        <v>98</v>
      </c>
      <c r="E193" s="57"/>
      <c r="F193" s="57">
        <f>F191-F192</f>
        <v>-18659.156709999999</v>
      </c>
      <c r="G193" s="57"/>
      <c r="H193" s="57">
        <f>H191-H192</f>
        <v>-29963.245489999987</v>
      </c>
      <c r="I193" s="57"/>
      <c r="J193" s="57">
        <f>J191-J192</f>
        <v>-55639.728630000012</v>
      </c>
      <c r="K193" s="57"/>
      <c r="L193" s="57">
        <f>L191-L192</f>
        <v>-53412.239219999989</v>
      </c>
      <c r="M193" s="176"/>
      <c r="O193" s="57">
        <f>O191-O192</f>
        <v>0</v>
      </c>
      <c r="P193" s="57">
        <f>P191-P192</f>
        <v>-18659.156709999999</v>
      </c>
      <c r="Q193" s="57">
        <f>Q191-Q192</f>
        <v>0</v>
      </c>
      <c r="R193" s="57">
        <f>R191-R192</f>
        <v>-29963.245489999987</v>
      </c>
      <c r="S193" s="57"/>
      <c r="T193" s="57">
        <f>T191-T192</f>
        <v>-55639.728630000012</v>
      </c>
      <c r="U193" s="57"/>
      <c r="V193" s="57">
        <f>V191-V192</f>
        <v>-53412.239219999989</v>
      </c>
      <c r="W193" s="176"/>
      <c r="Y193" s="57">
        <f>Y191-Y192</f>
        <v>0</v>
      </c>
      <c r="Z193" s="57">
        <f>Z191-Z192</f>
        <v>821</v>
      </c>
      <c r="AA193" s="57">
        <f>AA191-AA192</f>
        <v>0</v>
      </c>
      <c r="AB193" s="57">
        <f>AB191-AB192</f>
        <v>7290</v>
      </c>
      <c r="AC193" s="57"/>
      <c r="AD193" s="57">
        <f>AD191-AD192</f>
        <v>13422.5</v>
      </c>
      <c r="AE193" s="57"/>
      <c r="AF193" s="57">
        <f>AF191-AF192</f>
        <v>5419.9802099999997</v>
      </c>
      <c r="AH193" s="57">
        <f>AH191-AH192</f>
        <v>0</v>
      </c>
      <c r="AI193" s="57">
        <f>AI191-AI192</f>
        <v>821</v>
      </c>
      <c r="AJ193" s="57">
        <f>AJ191-AJ192</f>
        <v>0</v>
      </c>
      <c r="AK193" s="57">
        <f>AK191-AK192</f>
        <v>7290</v>
      </c>
      <c r="AL193" s="57"/>
      <c r="AM193" s="57">
        <f>AM191-AM192</f>
        <v>13422.5</v>
      </c>
      <c r="AN193" s="57"/>
      <c r="AO193" s="57">
        <f>AO191-AO192</f>
        <v>5419.9802099999997</v>
      </c>
      <c r="AQ193" s="57">
        <f>AQ191-AQ192</f>
        <v>0</v>
      </c>
      <c r="AR193" s="57">
        <f>AR191-AR192</f>
        <v>821</v>
      </c>
      <c r="AS193" s="57">
        <f>AS191-AS192</f>
        <v>0</v>
      </c>
      <c r="AT193" s="57">
        <f>AT191-AT192</f>
        <v>7290</v>
      </c>
      <c r="AU193" s="57"/>
      <c r="AV193" s="57">
        <f>AV191-AV192</f>
        <v>13422.5</v>
      </c>
      <c r="AW193" s="57"/>
      <c r="AX193" s="57">
        <f>AX191-AX192</f>
        <v>5419.9802099999997</v>
      </c>
      <c r="AY193" s="176"/>
      <c r="BA193" s="57">
        <f>BA191-BA192</f>
        <v>0</v>
      </c>
      <c r="BB193" s="57">
        <f>BB191-BB192</f>
        <v>821</v>
      </c>
      <c r="BC193" s="57">
        <f>BC191-BC192</f>
        <v>0</v>
      </c>
      <c r="BD193" s="57">
        <f>BD191-BD192</f>
        <v>7290</v>
      </c>
      <c r="BE193" s="57"/>
      <c r="BF193" s="57">
        <f>BF191-BF192</f>
        <v>13422.5</v>
      </c>
      <c r="BG193" s="57"/>
      <c r="BH193" s="57">
        <f>BH191-BH192</f>
        <v>5419.9802099999997</v>
      </c>
    </row>
  </sheetData>
  <pageMargins left="0.7" right="0.7" top="1.3149999999999999" bottom="0.75" header="0.3" footer="0.3"/>
  <pageSetup paperSize="9" scale="9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1F3E5-AABC-47A5-A62D-02673665070A}">
  <sheetPr>
    <tabColor rgb="FFFF0000"/>
  </sheetPr>
  <dimension ref="B2:BI193"/>
  <sheetViews>
    <sheetView showGridLines="0" zoomScale="120" zoomScaleNormal="120" workbookViewId="0">
      <pane xSplit="3" ySplit="3" topLeftCell="M77" activePane="bottomRight" state="frozen"/>
      <selection activeCell="C82" sqref="C82"/>
      <selection pane="topRight" activeCell="C82" sqref="C82"/>
      <selection pane="bottomLeft" activeCell="C82" sqref="C82"/>
      <selection pane="bottomRight" activeCell="V92" sqref="V92"/>
    </sheetView>
  </sheetViews>
  <sheetFormatPr defaultColWidth="8.81640625" defaultRowHeight="13" x14ac:dyDescent="0.3"/>
  <cols>
    <col min="1" max="1" width="2.54296875" style="36" customWidth="1"/>
    <col min="2" max="2" width="4.1796875" style="36" bestFit="1" customWidth="1"/>
    <col min="3" max="3" width="38.54296875" style="36" bestFit="1" customWidth="1"/>
    <col min="4" max="4" width="6.81640625" style="110" bestFit="1" customWidth="1"/>
    <col min="5" max="5" width="13.81640625" style="36" bestFit="1" customWidth="1"/>
    <col min="6" max="6" width="13.81640625" style="36" customWidth="1"/>
    <col min="7" max="12" width="13.81640625" style="36" bestFit="1" customWidth="1"/>
    <col min="13" max="13" width="13.81640625" style="132" bestFit="1" customWidth="1"/>
    <col min="14" max="14" width="5" style="36" bestFit="1" customWidth="1"/>
    <col min="15" max="15" width="10.1796875" style="36" bestFit="1" customWidth="1"/>
    <col min="16" max="16" width="10.1796875" style="36" customWidth="1"/>
    <col min="17" max="22" width="11.26953125" style="36" bestFit="1" customWidth="1"/>
    <col min="23" max="23" width="13.81640625" style="132" bestFit="1" customWidth="1"/>
    <col min="24" max="24" width="4.1796875" style="36" bestFit="1" customWidth="1"/>
    <col min="25" max="25" width="9.81640625" style="36" bestFit="1" customWidth="1"/>
    <col min="26" max="26" width="9.81640625" style="36" customWidth="1"/>
    <col min="27" max="27" width="10.7265625" style="36" bestFit="1" customWidth="1"/>
    <col min="28" max="28" width="11.26953125" style="36" bestFit="1" customWidth="1"/>
    <col min="29" max="29" width="10.7265625" style="36" bestFit="1" customWidth="1"/>
    <col min="30" max="32" width="11.26953125" style="36" bestFit="1" customWidth="1"/>
    <col min="33" max="33" width="3.26953125" style="36" customWidth="1"/>
    <col min="34" max="34" width="9.81640625" style="36" bestFit="1" customWidth="1"/>
    <col min="35" max="35" width="9.81640625" style="36" customWidth="1"/>
    <col min="36" max="36" width="10.7265625" style="36" bestFit="1" customWidth="1"/>
    <col min="37" max="37" width="11.26953125" style="36" bestFit="1" customWidth="1"/>
    <col min="38" max="38" width="10.7265625" style="36" bestFit="1" customWidth="1"/>
    <col min="39" max="41" width="11.26953125" style="36" bestFit="1" customWidth="1"/>
    <col min="42" max="42" width="1.26953125" style="36" customWidth="1"/>
    <col min="43" max="43" width="9.81640625" style="36" bestFit="1" customWidth="1"/>
    <col min="44" max="44" width="9.81640625" style="36" customWidth="1"/>
    <col min="45" max="45" width="10.7265625" style="36" bestFit="1" customWidth="1"/>
    <col min="46" max="46" width="11.26953125" style="36" bestFit="1" customWidth="1"/>
    <col min="47" max="47" width="10.7265625" style="36" bestFit="1" customWidth="1"/>
    <col min="48" max="50" width="11.26953125" style="36" bestFit="1" customWidth="1"/>
    <col min="51" max="51" width="11.26953125" style="36" customWidth="1"/>
    <col min="52" max="52" width="13.81640625" style="132" bestFit="1" customWidth="1"/>
    <col min="53" max="53" width="5.54296875" style="36" bestFit="1" customWidth="1"/>
    <col min="54" max="54" width="9.81640625" style="36" bestFit="1" customWidth="1"/>
    <col min="55" max="55" width="9.81640625" style="36" customWidth="1"/>
    <col min="56" max="56" width="10.7265625" style="36" bestFit="1" customWidth="1"/>
    <col min="57" max="57" width="11.26953125" style="36" bestFit="1" customWidth="1"/>
    <col min="58" max="58" width="10.7265625" style="36" bestFit="1" customWidth="1"/>
    <col min="59" max="61" width="11.26953125" style="36" bestFit="1" customWidth="1"/>
    <col min="62" max="16384" width="8.81640625" style="36"/>
  </cols>
  <sheetData>
    <row r="2" spans="2:61" s="32" customFormat="1" ht="14.5" customHeight="1" x14ac:dyDescent="0.3">
      <c r="B2" s="139"/>
      <c r="C2" s="30" t="s">
        <v>73</v>
      </c>
      <c r="D2" s="30"/>
      <c r="E2" s="136"/>
      <c r="F2" s="136"/>
      <c r="G2" s="136"/>
      <c r="H2" s="136"/>
      <c r="I2" s="136"/>
      <c r="J2" s="136"/>
      <c r="K2" s="136"/>
      <c r="L2" s="136"/>
      <c r="M2" s="167"/>
      <c r="O2" s="31" t="s">
        <v>75</v>
      </c>
      <c r="P2" s="31"/>
      <c r="Q2" s="31"/>
      <c r="R2" s="31"/>
      <c r="S2" s="31"/>
      <c r="T2" s="31"/>
      <c r="U2" s="31"/>
      <c r="V2" s="31"/>
      <c r="W2" s="167"/>
      <c r="Y2" s="31" t="str">
        <f>Segment!D76</f>
        <v>Insurance Activities</v>
      </c>
      <c r="Z2" s="31"/>
      <c r="AA2" s="31"/>
      <c r="AB2" s="31"/>
      <c r="AC2" s="31"/>
      <c r="AD2" s="31"/>
      <c r="AE2" s="31"/>
      <c r="AF2" s="31"/>
      <c r="AH2" s="31" t="str">
        <f>Segment!E76</f>
        <v>Brokerage Activities</v>
      </c>
      <c r="AI2" s="31"/>
      <c r="AJ2" s="31"/>
      <c r="AK2" s="31"/>
      <c r="AL2" s="31"/>
      <c r="AM2" s="31"/>
      <c r="AN2" s="31"/>
      <c r="AO2" s="31"/>
      <c r="AQ2" s="31" t="s">
        <v>76</v>
      </c>
      <c r="AR2" s="31"/>
      <c r="AS2" s="31"/>
      <c r="AT2" s="31"/>
      <c r="AU2" s="31"/>
      <c r="AV2" s="31"/>
      <c r="AW2" s="31"/>
      <c r="AX2" s="31"/>
      <c r="AY2" s="31"/>
      <c r="AZ2" s="167"/>
      <c r="BB2" s="31" t="s">
        <v>77</v>
      </c>
      <c r="BC2" s="31"/>
      <c r="BD2" s="31"/>
      <c r="BE2" s="31"/>
      <c r="BF2" s="31"/>
      <c r="BG2" s="31"/>
      <c r="BH2" s="31"/>
      <c r="BI2" s="31"/>
    </row>
    <row r="3" spans="2:61" s="35" customFormat="1" x14ac:dyDescent="0.3">
      <c r="B3" s="33"/>
      <c r="C3" s="34"/>
      <c r="D3" s="129" t="s">
        <v>148</v>
      </c>
      <c r="E3" s="34" t="s">
        <v>158</v>
      </c>
      <c r="F3" s="34" t="s">
        <v>185</v>
      </c>
      <c r="G3" s="34" t="s">
        <v>160</v>
      </c>
      <c r="H3" s="34" t="s">
        <v>186</v>
      </c>
      <c r="I3" s="34" t="s">
        <v>188</v>
      </c>
      <c r="J3" s="34" t="s">
        <v>204</v>
      </c>
      <c r="K3" s="34" t="s">
        <v>206</v>
      </c>
      <c r="L3" s="34" t="s">
        <v>222</v>
      </c>
      <c r="M3" s="168" t="s">
        <v>181</v>
      </c>
      <c r="O3" s="34" t="str">
        <f t="shared" ref="O3:T3" si="0">E3</f>
        <v>Q4-2020</v>
      </c>
      <c r="P3" s="34" t="str">
        <f t="shared" si="0"/>
        <v>9M-2021</v>
      </c>
      <c r="Q3" s="34" t="str">
        <f t="shared" si="0"/>
        <v>Q4-2021</v>
      </c>
      <c r="R3" s="34" t="str">
        <f t="shared" si="0"/>
        <v>9M-2022</v>
      </c>
      <c r="S3" s="34" t="str">
        <f t="shared" si="0"/>
        <v>Q4-2022</v>
      </c>
      <c r="T3" s="34" t="str">
        <f t="shared" si="0"/>
        <v>9M-2023</v>
      </c>
      <c r="U3" s="34" t="str">
        <f>K3</f>
        <v>Q4-2023</v>
      </c>
      <c r="V3" s="34" t="str">
        <f>L3</f>
        <v>9M-2024</v>
      </c>
      <c r="W3" s="168" t="s">
        <v>181</v>
      </c>
      <c r="Y3" s="34" t="str">
        <f t="shared" ref="Y3:AF3" si="1">E3</f>
        <v>Q4-2020</v>
      </c>
      <c r="Z3" s="34" t="str">
        <f t="shared" si="1"/>
        <v>9M-2021</v>
      </c>
      <c r="AA3" s="34" t="str">
        <f t="shared" si="1"/>
        <v>Q4-2021</v>
      </c>
      <c r="AB3" s="34" t="str">
        <f t="shared" si="1"/>
        <v>9M-2022</v>
      </c>
      <c r="AC3" s="34" t="str">
        <f t="shared" si="1"/>
        <v>Q4-2022</v>
      </c>
      <c r="AD3" s="34" t="str">
        <f t="shared" si="1"/>
        <v>9M-2023</v>
      </c>
      <c r="AE3" s="34" t="str">
        <f t="shared" si="1"/>
        <v>Q4-2023</v>
      </c>
      <c r="AF3" s="34" t="str">
        <f t="shared" si="1"/>
        <v>9M-2024</v>
      </c>
      <c r="AH3" s="34" t="str">
        <f t="shared" ref="AH3:AO3" si="2">E3</f>
        <v>Q4-2020</v>
      </c>
      <c r="AI3" s="34" t="str">
        <f t="shared" si="2"/>
        <v>9M-2021</v>
      </c>
      <c r="AJ3" s="34" t="str">
        <f t="shared" si="2"/>
        <v>Q4-2021</v>
      </c>
      <c r="AK3" s="34" t="str">
        <f t="shared" si="2"/>
        <v>9M-2022</v>
      </c>
      <c r="AL3" s="34" t="str">
        <f t="shared" si="2"/>
        <v>Q4-2022</v>
      </c>
      <c r="AM3" s="34" t="str">
        <f t="shared" si="2"/>
        <v>9M-2023</v>
      </c>
      <c r="AN3" s="34" t="str">
        <f t="shared" si="2"/>
        <v>Q4-2023</v>
      </c>
      <c r="AO3" s="34" t="str">
        <f t="shared" si="2"/>
        <v>9M-2024</v>
      </c>
      <c r="AQ3" s="34" t="str">
        <f t="shared" ref="AQ3:AX3" si="3">E3</f>
        <v>Q4-2020</v>
      </c>
      <c r="AR3" s="34" t="str">
        <f t="shared" si="3"/>
        <v>9M-2021</v>
      </c>
      <c r="AS3" s="34" t="str">
        <f t="shared" si="3"/>
        <v>Q4-2021</v>
      </c>
      <c r="AT3" s="34" t="str">
        <f t="shared" si="3"/>
        <v>9M-2022</v>
      </c>
      <c r="AU3" s="34" t="str">
        <f t="shared" si="3"/>
        <v>Q4-2022</v>
      </c>
      <c r="AV3" s="34" t="str">
        <f t="shared" si="3"/>
        <v>9M-2023</v>
      </c>
      <c r="AW3" s="34" t="str">
        <f t="shared" si="3"/>
        <v>Q4-2023</v>
      </c>
      <c r="AX3" s="34" t="str">
        <f t="shared" si="3"/>
        <v>9M-2024</v>
      </c>
      <c r="AY3" s="34"/>
      <c r="AZ3" s="168" t="s">
        <v>181</v>
      </c>
      <c r="BB3" s="34" t="str">
        <f t="shared" ref="BB3:BI3" si="4">E3</f>
        <v>Q4-2020</v>
      </c>
      <c r="BC3" s="34" t="str">
        <f t="shared" si="4"/>
        <v>9M-2021</v>
      </c>
      <c r="BD3" s="34" t="str">
        <f t="shared" si="4"/>
        <v>Q4-2021</v>
      </c>
      <c r="BE3" s="34" t="str">
        <f t="shared" si="4"/>
        <v>9M-2022</v>
      </c>
      <c r="BF3" s="34" t="str">
        <f t="shared" si="4"/>
        <v>Q4-2022</v>
      </c>
      <c r="BG3" s="34" t="str">
        <f t="shared" si="4"/>
        <v>9M-2023</v>
      </c>
      <c r="BH3" s="34" t="str">
        <f t="shared" si="4"/>
        <v>Q4-2023</v>
      </c>
      <c r="BI3" s="34" t="str">
        <f t="shared" si="4"/>
        <v>9M-2024</v>
      </c>
    </row>
    <row r="4" spans="2:61" x14ac:dyDescent="0.3">
      <c r="C4" s="37" t="s">
        <v>74</v>
      </c>
      <c r="D4" s="107"/>
      <c r="AQ4" s="38"/>
      <c r="AR4" s="38"/>
      <c r="AS4" s="38"/>
      <c r="AU4" s="38"/>
    </row>
    <row r="5" spans="2:61" x14ac:dyDescent="0.3">
      <c r="C5" s="36" t="s">
        <v>85</v>
      </c>
      <c r="D5" s="108">
        <v>17746</v>
      </c>
      <c r="E5" s="38"/>
      <c r="F5" s="38">
        <f>SUM('Quarterly I.S'!G5:I5)</f>
        <v>322649.05873000005</v>
      </c>
      <c r="G5" s="38"/>
      <c r="H5" s="38">
        <f>SUM('Quarterly I.S'!K5:M5)</f>
        <v>473045.20292000001</v>
      </c>
      <c r="I5" s="38"/>
      <c r="J5" s="38">
        <f>SUM('Quarterly I.S'!O5:Q5)</f>
        <v>836028.19307000004</v>
      </c>
      <c r="K5" s="38"/>
      <c r="L5" s="38">
        <f>SUM('Quarterly I.S'!S5:U5)</f>
        <v>537344.94728999992</v>
      </c>
      <c r="M5" s="132">
        <f>L5/J5-1</f>
        <v>-0.35726456147752372</v>
      </c>
      <c r="O5" s="38"/>
      <c r="P5" s="38">
        <f>SUM('Quarterly I.S'!AA5:AC5)</f>
        <v>322649.05873000005</v>
      </c>
      <c r="Q5" s="38"/>
      <c r="R5" s="38">
        <f>SUM('Quarterly I.S'!AE5:AG5)</f>
        <v>473045.20292000001</v>
      </c>
      <c r="S5" s="38"/>
      <c r="T5" s="38">
        <f>SUM('Quarterly I.S'!AI5:AK5)</f>
        <v>836028.19307000004</v>
      </c>
      <c r="U5" s="38"/>
      <c r="V5" s="38">
        <f>SUM('Quarterly I.S'!AM5:AO5)</f>
        <v>537344.94728999992</v>
      </c>
      <c r="W5" s="132">
        <f>V5/T5-1</f>
        <v>-0.35726456147752372</v>
      </c>
      <c r="Y5" s="38"/>
      <c r="Z5" s="38">
        <f>SUM('Quarterly I.S'!AU5:AW5)</f>
        <v>0</v>
      </c>
      <c r="AA5" s="38"/>
      <c r="AB5" s="38">
        <f>SUM('Quarterly I.S'!AY5:BA5)</f>
        <v>0</v>
      </c>
      <c r="AC5" s="38"/>
      <c r="AD5" s="38">
        <f>SUM('Quarterly I.S'!BC5:BE5)</f>
        <v>0</v>
      </c>
      <c r="AE5" s="38"/>
      <c r="AF5" s="38">
        <f>SUM('Quarterly I.S'!BG5:BI5)</f>
        <v>0</v>
      </c>
      <c r="AH5" s="38"/>
      <c r="AI5" s="38">
        <f>SUM('Quarterly I.S'!BN5:BP5)</f>
        <v>0</v>
      </c>
      <c r="AJ5" s="38"/>
      <c r="AK5" s="38">
        <f>SUM('Quarterly I.S'!BR5:BT5)</f>
        <v>0</v>
      </c>
      <c r="AL5" s="38"/>
      <c r="AM5" s="38">
        <f>SUM('Quarterly I.S'!BV5:BX5)</f>
        <v>0</v>
      </c>
      <c r="AN5" s="38"/>
      <c r="AO5" s="38">
        <f>SUM('Quarterly I.S'!BZ5:CB5)</f>
        <v>0</v>
      </c>
      <c r="AQ5" s="38"/>
      <c r="AR5" s="38">
        <f>Z5+AI5</f>
        <v>0</v>
      </c>
      <c r="AS5" s="38"/>
      <c r="AT5" s="38">
        <f>AB5+AK5</f>
        <v>0</v>
      </c>
      <c r="AU5" s="38"/>
      <c r="AV5" s="38">
        <f>AD5+AM5</f>
        <v>0</v>
      </c>
      <c r="AW5" s="38"/>
      <c r="AX5" s="38">
        <f>AF5+AO5</f>
        <v>0</v>
      </c>
      <c r="AY5" s="38"/>
      <c r="AZ5" s="132" t="e">
        <f>AX5/AV5-1</f>
        <v>#DIV/0!</v>
      </c>
      <c r="BB5" s="38"/>
      <c r="BC5" s="38">
        <f>SUM('Quarterly I.S'!DA5:DC5)</f>
        <v>0</v>
      </c>
      <c r="BD5" s="38"/>
      <c r="BE5" s="38">
        <f>SUM('Quarterly I.S'!DE5:DG5)</f>
        <v>0</v>
      </c>
      <c r="BF5" s="38"/>
      <c r="BG5" s="38">
        <f>SUM('Quarterly I.S'!DI5:DK5)</f>
        <v>0</v>
      </c>
      <c r="BH5" s="38"/>
      <c r="BI5" s="38">
        <f>SUM('Quarterly I.S'!DM5:DO5)</f>
        <v>0</v>
      </c>
    </row>
    <row r="6" spans="2:61" x14ac:dyDescent="0.3">
      <c r="C6" s="39" t="s">
        <v>92</v>
      </c>
      <c r="D6" s="109"/>
      <c r="E6" s="40"/>
      <c r="F6" s="40">
        <f>F5/F$149</f>
        <v>9.8484154193700435E-2</v>
      </c>
      <c r="G6" s="40"/>
      <c r="H6" s="40">
        <f>H5/H$149</f>
        <v>0.11633461524582125</v>
      </c>
      <c r="I6" s="40"/>
      <c r="J6" s="40">
        <f>J5/J$149</f>
        <v>0.10318542653125538</v>
      </c>
      <c r="K6" s="40"/>
      <c r="L6" s="40">
        <f>L5/L$149</f>
        <v>0.13251116924842357</v>
      </c>
      <c r="M6" s="169"/>
      <c r="O6" s="40"/>
      <c r="P6" s="40">
        <f>P5/P$149</f>
        <v>9.8484154193700435E-2</v>
      </c>
      <c r="Q6" s="40"/>
      <c r="R6" s="40">
        <f>R5/R$149</f>
        <v>0.11633461524582125</v>
      </c>
      <c r="S6" s="40"/>
      <c r="T6" s="40">
        <f>T5/T$149</f>
        <v>0.10318542653125538</v>
      </c>
      <c r="U6" s="40"/>
      <c r="V6" s="40">
        <f>V5/V$149</f>
        <v>0.13251116924842357</v>
      </c>
      <c r="W6" s="169"/>
      <c r="Y6" s="40"/>
      <c r="Z6" s="40"/>
      <c r="AA6" s="40"/>
      <c r="AB6" s="40"/>
      <c r="AC6" s="40"/>
      <c r="AD6" s="40"/>
      <c r="AE6" s="40"/>
      <c r="AF6" s="40"/>
      <c r="AH6" s="40"/>
      <c r="AI6" s="40"/>
      <c r="AJ6" s="40"/>
      <c r="AK6" s="40"/>
      <c r="AL6" s="40"/>
      <c r="AM6" s="40"/>
      <c r="AN6" s="40"/>
      <c r="AO6" s="40"/>
      <c r="AQ6" s="40"/>
      <c r="AR6" s="40"/>
      <c r="AS6" s="40"/>
      <c r="AT6" s="40"/>
      <c r="AU6" s="40"/>
      <c r="AV6" s="40"/>
      <c r="AW6" s="40"/>
      <c r="AX6" s="40"/>
      <c r="AY6" s="40"/>
      <c r="AZ6" s="169"/>
      <c r="BB6" s="40"/>
      <c r="BC6" s="40">
        <f>BC5/BC$149</f>
        <v>0</v>
      </c>
      <c r="BD6" s="40"/>
      <c r="BE6" s="40">
        <f>BE5/BE$149</f>
        <v>0</v>
      </c>
      <c r="BF6" s="40"/>
      <c r="BG6" s="40">
        <f>BG5/BG$149</f>
        <v>0</v>
      </c>
      <c r="BH6" s="40"/>
      <c r="BI6" s="40">
        <f>BI5/BI$149</f>
        <v>0</v>
      </c>
    </row>
    <row r="7" spans="2:61" x14ac:dyDescent="0.3">
      <c r="C7" s="36" t="s">
        <v>19</v>
      </c>
      <c r="D7" s="110">
        <v>9</v>
      </c>
      <c r="E7" s="38"/>
      <c r="F7" s="38">
        <f>SUM('Quarterly I.S'!G7:I7)</f>
        <v>109452.05099552</v>
      </c>
      <c r="G7" s="38"/>
      <c r="H7" s="38">
        <f>SUM('Quarterly I.S'!K7:M7)</f>
        <v>152990.26221154002</v>
      </c>
      <c r="I7" s="38"/>
      <c r="J7" s="38">
        <f>SUM('Quarterly I.S'!O7:Q7)</f>
        <v>232040.27989294002</v>
      </c>
      <c r="K7" s="38"/>
      <c r="L7" s="38">
        <f>SUM('Quarterly I.S'!S7:U7)</f>
        <v>287130.33263037994</v>
      </c>
      <c r="M7" s="132">
        <f>L7/J7-1</f>
        <v>0.23741590366490528</v>
      </c>
      <c r="O7" s="38"/>
      <c r="P7" s="38">
        <f>SUM('Quarterly I.S'!AA7:AC7)</f>
        <v>109452.05099552</v>
      </c>
      <c r="Q7" s="38"/>
      <c r="R7" s="38">
        <f>SUM('Quarterly I.S'!AE7:AG7)</f>
        <v>152990.26221154002</v>
      </c>
      <c r="S7" s="38"/>
      <c r="T7" s="38">
        <f>SUM('Quarterly I.S'!AI7:AK7)</f>
        <v>232040.27989294002</v>
      </c>
      <c r="U7" s="38"/>
      <c r="V7" s="38">
        <f>SUM('Quarterly I.S'!AM7:AO7)</f>
        <v>287130.33263037994</v>
      </c>
      <c r="W7" s="132">
        <f>V7/T7-1</f>
        <v>0.23741590366490528</v>
      </c>
      <c r="Y7" s="38"/>
      <c r="Z7" s="38">
        <f>SUM('Quarterly I.S'!AU7:AW7)</f>
        <v>0</v>
      </c>
      <c r="AA7" s="38"/>
      <c r="AB7" s="38">
        <f>SUM('Quarterly I.S'!AY7:BA7)</f>
        <v>0</v>
      </c>
      <c r="AC7" s="38"/>
      <c r="AD7" s="38">
        <f>SUM('Quarterly I.S'!BC7:BE7)</f>
        <v>0</v>
      </c>
      <c r="AE7" s="38"/>
      <c r="AF7" s="38">
        <f>SUM('Quarterly I.S'!BG7:BI7)</f>
        <v>0</v>
      </c>
      <c r="AH7" s="38"/>
      <c r="AI7" s="38">
        <f>SUM('Quarterly I.S'!BN7:BP7)</f>
        <v>0</v>
      </c>
      <c r="AJ7" s="38"/>
      <c r="AK7" s="38">
        <f>SUM('Quarterly I.S'!BR7:BT7)</f>
        <v>0</v>
      </c>
      <c r="AL7" s="38"/>
      <c r="AM7" s="38">
        <f>SUM('Quarterly I.S'!BV7:BX7)</f>
        <v>0</v>
      </c>
      <c r="AN7" s="38"/>
      <c r="AO7" s="38">
        <f>SUM('Quarterly I.S'!BZ7:CB7)</f>
        <v>0</v>
      </c>
      <c r="AQ7" s="38"/>
      <c r="AR7" s="38">
        <f>Z7+AI7</f>
        <v>0</v>
      </c>
      <c r="AS7" s="38"/>
      <c r="AT7" s="38">
        <f>AB7+AK7</f>
        <v>0</v>
      </c>
      <c r="AU7" s="38"/>
      <c r="AV7" s="38">
        <f>AD7+AM7</f>
        <v>0</v>
      </c>
      <c r="AW7" s="38"/>
      <c r="AX7" s="38">
        <f>AF7+AO7</f>
        <v>0</v>
      </c>
      <c r="AY7" s="38"/>
      <c r="AZ7" s="132" t="e">
        <f>AX7/AV7-1</f>
        <v>#DIV/0!</v>
      </c>
      <c r="BB7" s="38"/>
      <c r="BC7" s="38">
        <f>SUM('Quarterly I.S'!DA7:DC7)</f>
        <v>0</v>
      </c>
      <c r="BD7" s="38"/>
      <c r="BE7" s="38">
        <f>SUM('Quarterly I.S'!DE7:DG7)</f>
        <v>0</v>
      </c>
      <c r="BF7" s="38"/>
      <c r="BG7" s="38">
        <f>SUM('Quarterly I.S'!DI7:DK7)</f>
        <v>0</v>
      </c>
      <c r="BH7" s="38"/>
      <c r="BI7" s="38">
        <f>SUM('Quarterly I.S'!DM7:DO7)</f>
        <v>0</v>
      </c>
    </row>
    <row r="8" spans="2:61" x14ac:dyDescent="0.3">
      <c r="C8" s="39" t="s">
        <v>57</v>
      </c>
      <c r="D8" s="109"/>
      <c r="E8" s="40"/>
      <c r="F8" s="40">
        <f>F7/AVERAGE(E125:F125)*12/9</f>
        <v>2.399149728963575E-2</v>
      </c>
      <c r="G8" s="40"/>
      <c r="H8" s="40">
        <f>H7/AVERAGE(G125:H125)*12/9</f>
        <v>2.7732410764627798E-2</v>
      </c>
      <c r="I8" s="40"/>
      <c r="J8" s="40">
        <f>J7/AVERAGE(I125:J125)*12/9</f>
        <v>2.8546764371726756E-2</v>
      </c>
      <c r="K8" s="40"/>
      <c r="L8" s="40">
        <f>L7/AVERAGE(K125:L125)*12/9</f>
        <v>3.097150466524029E-2</v>
      </c>
      <c r="M8" s="169"/>
      <c r="O8" s="40"/>
      <c r="P8" s="40">
        <f>P7/AVERAGE(O125:P125)*12/9</f>
        <v>2.399149728963575E-2</v>
      </c>
      <c r="Q8" s="40"/>
      <c r="R8" s="40">
        <f>R7/AVERAGE(Q125:R125)*12/9</f>
        <v>2.7732410764627798E-2</v>
      </c>
      <c r="S8" s="40"/>
      <c r="T8" s="40">
        <f>T7/AVERAGE(S125:T125)*12/9</f>
        <v>2.8546764371726756E-2</v>
      </c>
      <c r="U8" s="40"/>
      <c r="V8" s="40">
        <f>V7/AVERAGE(U125:V125)*12/9</f>
        <v>3.097150466524029E-2</v>
      </c>
      <c r="W8" s="169"/>
      <c r="Y8" s="40"/>
      <c r="Z8" s="40"/>
      <c r="AA8" s="40"/>
      <c r="AB8" s="40"/>
      <c r="AC8" s="40"/>
      <c r="AD8" s="40"/>
      <c r="AE8" s="40"/>
      <c r="AF8" s="40"/>
      <c r="AH8" s="40"/>
      <c r="AI8" s="40"/>
      <c r="AJ8" s="40"/>
      <c r="AK8" s="40"/>
      <c r="AL8" s="40"/>
      <c r="AM8" s="40"/>
      <c r="AN8" s="40"/>
      <c r="AO8" s="40"/>
      <c r="AQ8" s="40"/>
      <c r="AR8" s="40"/>
      <c r="AS8" s="40"/>
      <c r="AT8" s="40"/>
      <c r="AU8" s="40"/>
      <c r="AV8" s="40"/>
      <c r="AW8" s="40"/>
      <c r="AX8" s="40"/>
      <c r="AY8" s="40"/>
      <c r="AZ8" s="169"/>
      <c r="BB8" s="40"/>
      <c r="BC8" s="40"/>
      <c r="BD8" s="40"/>
      <c r="BE8" s="40"/>
      <c r="BF8" s="40"/>
      <c r="BG8" s="40"/>
      <c r="BH8" s="40"/>
      <c r="BI8" s="40"/>
    </row>
    <row r="9" spans="2:61" x14ac:dyDescent="0.3">
      <c r="C9" s="36" t="s">
        <v>86</v>
      </c>
      <c r="D9" s="110">
        <v>10</v>
      </c>
      <c r="E9" s="38"/>
      <c r="F9" s="38">
        <f>SUM('Quarterly I.S'!G9:I9)</f>
        <v>-5257.372739999957</v>
      </c>
      <c r="G9" s="38"/>
      <c r="H9" s="38">
        <f>SUM('Quarterly I.S'!K9:M9)</f>
        <v>-14438.392500000042</v>
      </c>
      <c r="I9" s="38"/>
      <c r="J9" s="38">
        <f>SUM('Quarterly I.S'!O9:Q9)</f>
        <v>4224.1871699999774</v>
      </c>
      <c r="K9" s="38"/>
      <c r="L9" s="38">
        <f>SUM('Quarterly I.S'!S9:U9)</f>
        <v>12184.644499999993</v>
      </c>
      <c r="M9" s="132">
        <f>L9/J9-1</f>
        <v>1.8844944623985631</v>
      </c>
      <c r="O9" s="38"/>
      <c r="P9" s="38">
        <f>SUM('Quarterly I.S'!AA9:AC9)</f>
        <v>-5257.372739999957</v>
      </c>
      <c r="Q9" s="38"/>
      <c r="R9" s="38">
        <f>SUM('Quarterly I.S'!AE9:AG9)</f>
        <v>-14438.392500000042</v>
      </c>
      <c r="S9" s="38"/>
      <c r="T9" s="38">
        <f>SUM('Quarterly I.S'!AI9:AK9)</f>
        <v>4224.1871699999774</v>
      </c>
      <c r="U9" s="38"/>
      <c r="V9" s="38">
        <f>SUM('Quarterly I.S'!AM9:AO9)</f>
        <v>12184.644499999993</v>
      </c>
      <c r="W9" s="132">
        <f>V9/T9-1</f>
        <v>1.8844944623985631</v>
      </c>
      <c r="Y9" s="38"/>
      <c r="Z9" s="38">
        <f>SUM('Quarterly I.S'!AU9:AW9)</f>
        <v>0</v>
      </c>
      <c r="AA9" s="38"/>
      <c r="AB9" s="38">
        <f>SUM('Quarterly I.S'!AY9:BA9)</f>
        <v>0</v>
      </c>
      <c r="AC9" s="38"/>
      <c r="AD9" s="38">
        <f>SUM('Quarterly I.S'!BC9:BE9)</f>
        <v>0</v>
      </c>
      <c r="AE9" s="38"/>
      <c r="AF9" s="38">
        <f>SUM('Quarterly I.S'!BG9:BI9)</f>
        <v>0</v>
      </c>
      <c r="AH9" s="38"/>
      <c r="AI9" s="38">
        <f>SUM('Quarterly I.S'!BN9:BP9)</f>
        <v>0</v>
      </c>
      <c r="AJ9" s="38"/>
      <c r="AK9" s="38">
        <f>SUM('Quarterly I.S'!BR9:BT9)</f>
        <v>0</v>
      </c>
      <c r="AL9" s="38"/>
      <c r="AM9" s="38">
        <f>SUM('Quarterly I.S'!BV9:BX9)</f>
        <v>0</v>
      </c>
      <c r="AN9" s="38"/>
      <c r="AO9" s="38">
        <f>SUM('Quarterly I.S'!BZ9:CB9)</f>
        <v>0</v>
      </c>
      <c r="AQ9" s="38"/>
      <c r="AR9" s="38">
        <f>Z9+AI9</f>
        <v>0</v>
      </c>
      <c r="AS9" s="38"/>
      <c r="AT9" s="38">
        <f>AB9+AK9</f>
        <v>0</v>
      </c>
      <c r="AU9" s="38"/>
      <c r="AV9" s="38">
        <f>AD9+AM9</f>
        <v>0</v>
      </c>
      <c r="AW9" s="38"/>
      <c r="AX9" s="38">
        <f>AF9+AO9</f>
        <v>0</v>
      </c>
      <c r="AY9" s="38"/>
      <c r="AZ9" s="132" t="e">
        <f>AX9/AV9-1</f>
        <v>#DIV/0!</v>
      </c>
      <c r="BB9" s="38"/>
      <c r="BC9" s="38">
        <f>SUM('Quarterly I.S'!DA9:DC9)</f>
        <v>0</v>
      </c>
      <c r="BD9" s="38"/>
      <c r="BE9" s="38">
        <f>SUM('Quarterly I.S'!DE9:DG9)</f>
        <v>0</v>
      </c>
      <c r="BF9" s="38"/>
      <c r="BG9" s="38">
        <f>SUM('Quarterly I.S'!DI9:DK9)</f>
        <v>0</v>
      </c>
      <c r="BH9" s="38"/>
      <c r="BI9" s="38">
        <f>SUM('Quarterly I.S'!DM9:DO9)</f>
        <v>0</v>
      </c>
    </row>
    <row r="10" spans="2:61" x14ac:dyDescent="0.3">
      <c r="C10" s="36" t="s">
        <v>87</v>
      </c>
      <c r="E10" s="38"/>
      <c r="F10" s="38">
        <f>SUM('Quarterly I.S'!G10:I10)</f>
        <v>-11426.823700000001</v>
      </c>
      <c r="G10" s="38"/>
      <c r="H10" s="38">
        <f>SUM('Quarterly I.S'!K10:M10)</f>
        <v>-97751.265889999981</v>
      </c>
      <c r="I10" s="38"/>
      <c r="J10" s="38">
        <f>SUM('Quarterly I.S'!O10:Q10)</f>
        <v>-250515.62714</v>
      </c>
      <c r="K10" s="38"/>
      <c r="L10" s="38">
        <f>SUM('Quarterly I.S'!S10:U10)</f>
        <v>-201867.06954</v>
      </c>
      <c r="M10" s="132">
        <f>L10/J10-1</f>
        <v>-0.19419370422274251</v>
      </c>
      <c r="O10" s="38"/>
      <c r="P10" s="38">
        <f>SUM('Quarterly I.S'!AA10:AC10)</f>
        <v>-11426.823700000001</v>
      </c>
      <c r="Q10" s="38"/>
      <c r="R10" s="38">
        <f>SUM('Quarterly I.S'!AE10:AG10)</f>
        <v>-97751.265889999981</v>
      </c>
      <c r="S10" s="38"/>
      <c r="T10" s="38">
        <f>SUM('Quarterly I.S'!AI10:AK10)</f>
        <v>-250515.62714</v>
      </c>
      <c r="U10" s="38"/>
      <c r="V10" s="38">
        <f>SUM('Quarterly I.S'!AM10:AO10)</f>
        <v>-201867.06954</v>
      </c>
      <c r="W10" s="132">
        <f>V10/T10-1</f>
        <v>-0.19419370422274251</v>
      </c>
      <c r="Y10" s="38"/>
      <c r="Z10" s="38">
        <f>SUM('Quarterly I.S'!AU10:AW10)</f>
        <v>0</v>
      </c>
      <c r="AA10" s="38"/>
      <c r="AB10" s="38">
        <f>SUM('Quarterly I.S'!AY10:BA10)</f>
        <v>0</v>
      </c>
      <c r="AC10" s="38"/>
      <c r="AD10" s="38">
        <f>SUM('Quarterly I.S'!BC10:BE10)</f>
        <v>0</v>
      </c>
      <c r="AE10" s="38"/>
      <c r="AF10" s="38">
        <f>SUM('Quarterly I.S'!BG10:BI10)</f>
        <v>0</v>
      </c>
      <c r="AH10" s="38"/>
      <c r="AI10" s="38">
        <f>SUM('Quarterly I.S'!BN10:BP10)</f>
        <v>0</v>
      </c>
      <c r="AJ10" s="38"/>
      <c r="AK10" s="38">
        <f>SUM('Quarterly I.S'!BR10:BT10)</f>
        <v>0</v>
      </c>
      <c r="AL10" s="38"/>
      <c r="AM10" s="38">
        <f>SUM('Quarterly I.S'!BV10:BX10)</f>
        <v>0</v>
      </c>
      <c r="AN10" s="38"/>
      <c r="AO10" s="38">
        <f>SUM('Quarterly I.S'!BZ10:CB10)</f>
        <v>0</v>
      </c>
      <c r="AQ10" s="38"/>
      <c r="AR10" s="38">
        <f>Z10+AI10</f>
        <v>0</v>
      </c>
      <c r="AS10" s="38"/>
      <c r="AT10" s="38">
        <f>AB10+AK10</f>
        <v>0</v>
      </c>
      <c r="AU10" s="38"/>
      <c r="AV10" s="38">
        <f>AD10+AM10</f>
        <v>0</v>
      </c>
      <c r="AW10" s="38"/>
      <c r="AX10" s="38">
        <f>AF10+AO10</f>
        <v>0</v>
      </c>
      <c r="AY10" s="38"/>
      <c r="AZ10" s="132" t="e">
        <f>AX10/AV10-1</f>
        <v>#DIV/0!</v>
      </c>
      <c r="BB10" s="38"/>
      <c r="BC10" s="38">
        <f>SUM('Quarterly I.S'!DA10:DC10)</f>
        <v>0</v>
      </c>
      <c r="BD10" s="38"/>
      <c r="BE10" s="38">
        <f>SUM('Quarterly I.S'!DE10:DG10)</f>
        <v>0</v>
      </c>
      <c r="BF10" s="38"/>
      <c r="BG10" s="38">
        <f>SUM('Quarterly I.S'!DI10:DK10)</f>
        <v>0</v>
      </c>
      <c r="BH10" s="38"/>
      <c r="BI10" s="38">
        <f>SUM('Quarterly I.S'!DM10:DO10)</f>
        <v>0</v>
      </c>
    </row>
    <row r="11" spans="2:61" x14ac:dyDescent="0.3">
      <c r="C11" s="43" t="s">
        <v>18</v>
      </c>
      <c r="D11" s="111"/>
      <c r="E11" s="44"/>
      <c r="F11" s="44">
        <f>F5+F7+F9+F10</f>
        <v>415416.91328552004</v>
      </c>
      <c r="G11" s="44"/>
      <c r="H11" s="44">
        <f>H5+H7+H9+H10</f>
        <v>513845.80674154003</v>
      </c>
      <c r="I11" s="44"/>
      <c r="J11" s="44">
        <f>J5+J7+J9+J10</f>
        <v>821777.03299294016</v>
      </c>
      <c r="K11" s="44"/>
      <c r="L11" s="44">
        <f>L5+L7+L9+L10</f>
        <v>634792.85488037975</v>
      </c>
      <c r="M11" s="170">
        <f>L11/J11-1</f>
        <v>-0.22753638834558032</v>
      </c>
      <c r="O11" s="44"/>
      <c r="P11" s="44">
        <f>P5+P7+P9+P10</f>
        <v>415416.91328552004</v>
      </c>
      <c r="Q11" s="44"/>
      <c r="R11" s="44">
        <f>R5+R7+R9+R10</f>
        <v>513845.80674154003</v>
      </c>
      <c r="S11" s="44"/>
      <c r="T11" s="44">
        <f>T5+T7+T9+T10</f>
        <v>821777.03299294016</v>
      </c>
      <c r="U11" s="44"/>
      <c r="V11" s="44">
        <f>V5+V7+V9+V10</f>
        <v>634792.85488037975</v>
      </c>
      <c r="W11" s="170">
        <f>V11/T11-1</f>
        <v>-0.22753638834558032</v>
      </c>
      <c r="Y11" s="44"/>
      <c r="Z11" s="44">
        <f>Z5+Z7+Z9+Z10</f>
        <v>0</v>
      </c>
      <c r="AA11" s="44"/>
      <c r="AB11" s="44">
        <f>AB5+AB7+AB9+AB10</f>
        <v>0</v>
      </c>
      <c r="AC11" s="44"/>
      <c r="AD11" s="44">
        <f>AD5+AD7+AD9+AD10</f>
        <v>0</v>
      </c>
      <c r="AE11" s="44"/>
      <c r="AF11" s="44">
        <f>AF5+AF7+AF9+AF10</f>
        <v>0</v>
      </c>
      <c r="AH11" s="44"/>
      <c r="AI11" s="44">
        <f>AI5+AI7+AI9+AI10</f>
        <v>0</v>
      </c>
      <c r="AJ11" s="44"/>
      <c r="AK11" s="44">
        <f>AK5+AK7+AK9+AK10</f>
        <v>0</v>
      </c>
      <c r="AL11" s="44"/>
      <c r="AM11" s="44">
        <f>AM5+AM7+AM9+AM10</f>
        <v>0</v>
      </c>
      <c r="AN11" s="44"/>
      <c r="AO11" s="44">
        <f>AO5+AO7+AO9+AO10</f>
        <v>0</v>
      </c>
      <c r="AQ11" s="44"/>
      <c r="AR11" s="44">
        <f>AR5+AR7+AR9+AR10</f>
        <v>0</v>
      </c>
      <c r="AS11" s="44"/>
      <c r="AT11" s="44">
        <f>AT5+AT7+AT9+AT10</f>
        <v>0</v>
      </c>
      <c r="AU11" s="44"/>
      <c r="AV11" s="44">
        <f>AV5+AV7+AV9+AV10</f>
        <v>0</v>
      </c>
      <c r="AW11" s="44"/>
      <c r="AX11" s="44">
        <f>AX5+AX7+AX9+AX10</f>
        <v>0</v>
      </c>
      <c r="AY11" s="44"/>
      <c r="AZ11" s="170" t="e">
        <f>AV11/AR11-1</f>
        <v>#DIV/0!</v>
      </c>
      <c r="BB11" s="44"/>
      <c r="BC11" s="44">
        <f>BC5+BC7+BC9+BC10</f>
        <v>0</v>
      </c>
      <c r="BD11" s="44"/>
      <c r="BE11" s="44">
        <f>BE5+BE7+BE9+BE10</f>
        <v>0</v>
      </c>
      <c r="BF11" s="44"/>
      <c r="BG11" s="44">
        <f>BG5+BG7+BG9+BG10</f>
        <v>0</v>
      </c>
      <c r="BH11" s="44"/>
      <c r="BI11" s="44">
        <f>BI5+BI7+BI9+BI10</f>
        <v>0</v>
      </c>
    </row>
    <row r="12" spans="2:61" x14ac:dyDescent="0.3">
      <c r="C12" s="39" t="s">
        <v>56</v>
      </c>
      <c r="D12" s="109"/>
      <c r="E12" s="40"/>
      <c r="F12" s="40">
        <f>F11/F$149</f>
        <v>0.12680025630236938</v>
      </c>
      <c r="G12" s="40"/>
      <c r="H12" s="40">
        <f>H11/H$149</f>
        <v>0.12636858772472359</v>
      </c>
      <c r="I12" s="40"/>
      <c r="J12" s="40">
        <f>J11/J$149</f>
        <v>0.1014265001657261</v>
      </c>
      <c r="K12" s="40"/>
      <c r="L12" s="40">
        <f>L11/L$149</f>
        <v>0.15654216877812527</v>
      </c>
      <c r="M12" s="169"/>
      <c r="O12" s="40"/>
      <c r="P12" s="40">
        <f>P11/P$149</f>
        <v>0.12680025630236938</v>
      </c>
      <c r="Q12" s="40"/>
      <c r="R12" s="207">
        <f>R11/R$149</f>
        <v>0.12636858772472359</v>
      </c>
      <c r="S12" s="207"/>
      <c r="T12" s="207">
        <f>T11/T$149</f>
        <v>0.1014265001657261</v>
      </c>
      <c r="U12" s="207"/>
      <c r="V12" s="207">
        <f>V11/V$149</f>
        <v>0.15654216877812527</v>
      </c>
      <c r="W12" s="169"/>
      <c r="Y12" s="40"/>
      <c r="Z12" s="40"/>
      <c r="AA12" s="40"/>
      <c r="AB12" s="40"/>
      <c r="AC12" s="40"/>
      <c r="AD12" s="40"/>
      <c r="AE12" s="40"/>
      <c r="AF12" s="40"/>
      <c r="AH12" s="40"/>
      <c r="AI12" s="40"/>
      <c r="AJ12" s="40"/>
      <c r="AK12" s="40"/>
      <c r="AL12" s="40"/>
      <c r="AM12" s="40"/>
      <c r="AN12" s="40"/>
      <c r="AO12" s="40"/>
      <c r="AQ12" s="40"/>
      <c r="AR12" s="40"/>
      <c r="AS12" s="40"/>
      <c r="AT12" s="40"/>
      <c r="AU12" s="40"/>
      <c r="AV12" s="40"/>
      <c r="AW12" s="40"/>
      <c r="AX12" s="40"/>
      <c r="AY12" s="40"/>
      <c r="AZ12" s="169"/>
      <c r="BB12" s="40"/>
      <c r="BC12" s="40">
        <f>BC11/BC$149</f>
        <v>0</v>
      </c>
      <c r="BD12" s="40"/>
      <c r="BE12" s="40">
        <f>BE11/BE$149</f>
        <v>0</v>
      </c>
      <c r="BF12" s="40"/>
      <c r="BG12" s="40">
        <f>BG11/BG$149</f>
        <v>0</v>
      </c>
      <c r="BH12" s="40"/>
      <c r="BI12" s="40">
        <f>BI11/BI$149</f>
        <v>0</v>
      </c>
    </row>
    <row r="13" spans="2:61" x14ac:dyDescent="0.3">
      <c r="C13" s="37"/>
      <c r="D13" s="107"/>
      <c r="E13" s="37"/>
      <c r="F13" s="37"/>
      <c r="G13" s="37"/>
      <c r="H13" s="37"/>
      <c r="I13" s="37"/>
      <c r="J13" s="37"/>
      <c r="K13" s="37"/>
      <c r="L13" s="37"/>
      <c r="M13" s="171"/>
      <c r="O13" s="37"/>
      <c r="P13" s="37"/>
      <c r="Q13" s="37"/>
      <c r="R13" s="37"/>
      <c r="S13" s="37"/>
      <c r="T13" s="37"/>
      <c r="U13" s="37"/>
      <c r="V13" s="37"/>
      <c r="W13" s="171"/>
      <c r="Y13" s="37"/>
      <c r="Z13" s="37"/>
      <c r="AA13" s="37"/>
      <c r="AB13" s="37"/>
      <c r="AC13" s="37"/>
      <c r="AD13" s="37"/>
      <c r="AE13" s="37"/>
      <c r="AF13" s="37"/>
      <c r="AH13" s="37"/>
      <c r="AI13" s="37"/>
      <c r="AJ13" s="37"/>
      <c r="AK13" s="37"/>
      <c r="AL13" s="37"/>
      <c r="AM13" s="37"/>
      <c r="AN13" s="37"/>
      <c r="AO13" s="37"/>
      <c r="AQ13" s="37"/>
      <c r="AR13" s="37"/>
      <c r="AS13" s="37"/>
      <c r="AT13" s="37"/>
      <c r="AU13" s="37"/>
      <c r="AV13" s="37"/>
      <c r="AW13" s="37"/>
      <c r="AX13" s="37"/>
      <c r="AY13" s="37"/>
      <c r="AZ13" s="171"/>
      <c r="BB13" s="37"/>
      <c r="BC13" s="37"/>
      <c r="BD13" s="37"/>
      <c r="BE13" s="37"/>
      <c r="BF13" s="37"/>
      <c r="BG13" s="37"/>
      <c r="BH13" s="37"/>
      <c r="BI13" s="37"/>
    </row>
    <row r="14" spans="2:61" x14ac:dyDescent="0.3">
      <c r="C14" s="36" t="s">
        <v>12</v>
      </c>
      <c r="D14" s="110">
        <v>11</v>
      </c>
      <c r="E14" s="38"/>
      <c r="F14" s="38">
        <f>SUM('Quarterly I.S'!G14:I14)</f>
        <v>336374.94858999999</v>
      </c>
      <c r="G14" s="38"/>
      <c r="H14" s="38">
        <f>SUM('Quarterly I.S'!K14:M14)</f>
        <v>553639.28073</v>
      </c>
      <c r="I14" s="38"/>
      <c r="J14" s="38">
        <f>SUM('Quarterly I.S'!O14:Q14)</f>
        <v>942585.09527999978</v>
      </c>
      <c r="K14" s="38"/>
      <c r="L14" s="38">
        <f>SUM('Quarterly I.S'!S14:U14)</f>
        <v>1630027.44334</v>
      </c>
      <c r="M14" s="132">
        <f>L14/J14-1</f>
        <v>0.72931595407393113</v>
      </c>
      <c r="N14" s="132"/>
      <c r="O14" s="38"/>
      <c r="P14" s="38">
        <f>SUM('Quarterly I.S'!AA14:AC14)</f>
        <v>336374.94858999999</v>
      </c>
      <c r="Q14" s="38"/>
      <c r="R14" s="38">
        <f>SUM('Quarterly I.S'!AE14:AG14)</f>
        <v>553639.28073</v>
      </c>
      <c r="S14" s="38"/>
      <c r="T14" s="38">
        <f>SUM('Quarterly I.S'!AI14:AK14)</f>
        <v>942585.09527999978</v>
      </c>
      <c r="U14" s="38"/>
      <c r="V14" s="38">
        <f>SUM('Quarterly I.S'!AM14:AO14)</f>
        <v>1630027.44334</v>
      </c>
      <c r="W14" s="132">
        <f>V14/T14-1</f>
        <v>0.72931595407393113</v>
      </c>
      <c r="Y14" s="38"/>
      <c r="Z14" s="38">
        <f>SUM('Quarterly I.S'!AU14:AW14)</f>
        <v>0</v>
      </c>
      <c r="AA14" s="38"/>
      <c r="AB14" s="38">
        <f>SUM('Quarterly I.S'!AY14:BA14)</f>
        <v>0</v>
      </c>
      <c r="AC14" s="38"/>
      <c r="AD14" s="38">
        <f>SUM('Quarterly I.S'!BC14:BE14)</f>
        <v>0</v>
      </c>
      <c r="AE14" s="38"/>
      <c r="AF14" s="38">
        <f>SUM('Quarterly I.S'!BG14:BI14)</f>
        <v>0</v>
      </c>
      <c r="AH14" s="38"/>
      <c r="AI14" s="38">
        <f>SUM('Quarterly I.S'!BN14:BP14)</f>
        <v>0</v>
      </c>
      <c r="AJ14" s="38"/>
      <c r="AK14" s="38">
        <f>SUM('Quarterly I.S'!BR14:BT14)</f>
        <v>0</v>
      </c>
      <c r="AL14" s="38"/>
      <c r="AM14" s="38">
        <f>SUM('Quarterly I.S'!BV14:BX14)</f>
        <v>0</v>
      </c>
      <c r="AN14" s="38"/>
      <c r="AO14" s="38">
        <f>SUM('Quarterly I.S'!BZ14:CB14)</f>
        <v>0</v>
      </c>
      <c r="AQ14" s="38"/>
      <c r="AR14" s="38">
        <f>Z14+AI14</f>
        <v>0</v>
      </c>
      <c r="AS14" s="38"/>
      <c r="AT14" s="38">
        <f>AB14+AK14</f>
        <v>0</v>
      </c>
      <c r="AU14" s="38"/>
      <c r="AV14" s="38">
        <f>AD14+AM14</f>
        <v>0</v>
      </c>
      <c r="AW14" s="38"/>
      <c r="AX14" s="38">
        <f>AF14+AO14</f>
        <v>0</v>
      </c>
      <c r="AY14" s="38"/>
      <c r="AZ14" s="132" t="e">
        <f>AX14/AV14-1</f>
        <v>#DIV/0!</v>
      </c>
      <c r="BB14" s="38"/>
      <c r="BC14" s="38">
        <f>SUM('Quarterly I.S'!DA14:DC14)</f>
        <v>0</v>
      </c>
      <c r="BD14" s="38"/>
      <c r="BE14" s="38">
        <f>SUM('Quarterly I.S'!DE14:DG14)</f>
        <v>0</v>
      </c>
      <c r="BF14" s="38"/>
      <c r="BG14" s="38">
        <f>SUM('Quarterly I.S'!DI14:DK14)</f>
        <v>0</v>
      </c>
      <c r="BH14" s="38"/>
      <c r="BI14" s="38">
        <f>SUM('Quarterly I.S'!DM14:DO14)</f>
        <v>0</v>
      </c>
    </row>
    <row r="15" spans="2:61" x14ac:dyDescent="0.3">
      <c r="C15" s="36" t="s">
        <v>3</v>
      </c>
      <c r="E15" s="38"/>
      <c r="F15" s="38">
        <f>SUM('Quarterly I.S'!G15:I15)</f>
        <v>-113235.78443</v>
      </c>
      <c r="G15" s="38"/>
      <c r="H15" s="38">
        <f>SUM('Quarterly I.S'!K15:M15)</f>
        <v>-251790.54081999999</v>
      </c>
      <c r="I15" s="38"/>
      <c r="J15" s="38">
        <f>SUM('Quarterly I.S'!O15:Q15)</f>
        <v>-581554.90599000012</v>
      </c>
      <c r="K15" s="38"/>
      <c r="L15" s="38">
        <f>SUM('Quarterly I.S'!S15:U15)</f>
        <v>-1036556.6382624388</v>
      </c>
      <c r="M15" s="132">
        <f>L15/J15-1</f>
        <v>0.78238826220178503</v>
      </c>
      <c r="N15" s="132"/>
      <c r="O15" s="38"/>
      <c r="P15" s="38">
        <f>SUM('Quarterly I.S'!AA15:AC15)</f>
        <v>-113235.78443</v>
      </c>
      <c r="Q15" s="38"/>
      <c r="R15" s="38">
        <f>SUM('Quarterly I.S'!AE15:AG15)</f>
        <v>-251762.60316999996</v>
      </c>
      <c r="S15" s="38"/>
      <c r="T15" s="38">
        <f>SUM('Quarterly I.S'!AI15:AK15)</f>
        <v>-581488.14415000007</v>
      </c>
      <c r="U15" s="38"/>
      <c r="V15" s="38">
        <f>SUM('Quarterly I.S'!AM15:AO15)</f>
        <v>-1036508.1425324387</v>
      </c>
      <c r="W15" s="132">
        <f>V15/T15-1</f>
        <v>0.78250950248963669</v>
      </c>
      <c r="Y15" s="38"/>
      <c r="Z15" s="38">
        <f>SUM('Quarterly I.S'!AU15:AW15)</f>
        <v>0</v>
      </c>
      <c r="AA15" s="38"/>
      <c r="AB15" s="38">
        <f>SUM('Quarterly I.S'!AY15:BA15)</f>
        <v>0</v>
      </c>
      <c r="AC15" s="38"/>
      <c r="AD15" s="38">
        <f>SUM('Quarterly I.S'!BC15:BE15)</f>
        <v>0</v>
      </c>
      <c r="AE15" s="38"/>
      <c r="AF15" s="38">
        <f>SUM('Quarterly I.S'!BG15:BI15)</f>
        <v>0</v>
      </c>
      <c r="AH15" s="38"/>
      <c r="AI15" s="38">
        <f>SUM('Quarterly I.S'!BN15:BP15)</f>
        <v>0</v>
      </c>
      <c r="AJ15" s="38"/>
      <c r="AK15" s="38">
        <f>SUM('Quarterly I.S'!BR15:BT15)</f>
        <v>0</v>
      </c>
      <c r="AL15" s="38"/>
      <c r="AM15" s="38">
        <f>SUM('Quarterly I.S'!BV15:BX15)</f>
        <v>0</v>
      </c>
      <c r="AN15" s="38"/>
      <c r="AO15" s="38">
        <f>SUM('Quarterly I.S'!BZ15:CB15)</f>
        <v>0</v>
      </c>
      <c r="AQ15" s="38"/>
      <c r="AR15" s="38">
        <f>Z15+AI15</f>
        <v>0</v>
      </c>
      <c r="AS15" s="38"/>
      <c r="AT15" s="38">
        <f>AB15+AK15</f>
        <v>0</v>
      </c>
      <c r="AU15" s="38"/>
      <c r="AV15" s="38">
        <f>AD15+AM15</f>
        <v>0</v>
      </c>
      <c r="AW15" s="38"/>
      <c r="AX15" s="38">
        <f>AF15+AO15</f>
        <v>0</v>
      </c>
      <c r="AY15" s="38"/>
      <c r="AZ15" s="132" t="e">
        <f>AX15/AV15-1</f>
        <v>#DIV/0!</v>
      </c>
      <c r="BB15" s="38"/>
      <c r="BC15" s="38">
        <f>SUM('Quarterly I.S'!DA15:DC15)</f>
        <v>0</v>
      </c>
      <c r="BD15" s="38"/>
      <c r="BE15" s="38">
        <f>SUM('Quarterly I.S'!DE15:DG15)</f>
        <v>-27.937650000000001</v>
      </c>
      <c r="BF15" s="38"/>
      <c r="BG15" s="38">
        <f>SUM('Quarterly I.S'!DI15:DK15)</f>
        <v>-66.761839999999992</v>
      </c>
      <c r="BH15" s="38"/>
      <c r="BI15" s="38">
        <f>SUM('Quarterly I.S'!DM15:DO15)</f>
        <v>-48.495729999999995</v>
      </c>
    </row>
    <row r="16" spans="2:61" x14ac:dyDescent="0.3">
      <c r="C16" s="36" t="s">
        <v>88</v>
      </c>
      <c r="E16" s="38"/>
      <c r="F16" s="38">
        <f>SUM('Quarterly I.S'!G16:I16)</f>
        <v>67171.611290000001</v>
      </c>
      <c r="G16" s="38"/>
      <c r="H16" s="38">
        <f>SUM('Quarterly I.S'!K16:M16)</f>
        <v>67346.656210000016</v>
      </c>
      <c r="I16" s="38"/>
      <c r="J16" s="38">
        <f>SUM('Quarterly I.S'!O16:Q16)</f>
        <v>48851.458089999986</v>
      </c>
      <c r="K16" s="38"/>
      <c r="L16" s="38">
        <f>SUM('Quarterly I.S'!S16:U16)</f>
        <v>87036.80604840233</v>
      </c>
      <c r="M16" s="132">
        <f>L16/J16-1</f>
        <v>0.78166239967807583</v>
      </c>
      <c r="N16" s="132"/>
      <c r="O16" s="38"/>
      <c r="P16" s="38">
        <f>SUM('Quarterly I.S'!AA16:AC16)</f>
        <v>67171.611290000001</v>
      </c>
      <c r="Q16" s="38"/>
      <c r="R16" s="38">
        <f>SUM('Quarterly I.S'!AE16:AG16)</f>
        <v>66851.296800000011</v>
      </c>
      <c r="S16" s="38"/>
      <c r="T16" s="38">
        <f>SUM('Quarterly I.S'!AI16:AK16)</f>
        <v>48837.985349999988</v>
      </c>
      <c r="U16" s="38"/>
      <c r="V16" s="38">
        <f>SUM('Quarterly I.S'!AM16:AO16)</f>
        <v>85440.786788402329</v>
      </c>
      <c r="W16" s="132">
        <f>V16/T16-1</f>
        <v>0.74947402469791569</v>
      </c>
      <c r="Y16" s="38"/>
      <c r="Z16" s="38">
        <f>SUM('Quarterly I.S'!AU16:AW16)</f>
        <v>0</v>
      </c>
      <c r="AA16" s="38"/>
      <c r="AB16" s="38">
        <f>SUM('Quarterly I.S'!AY16:BA16)</f>
        <v>0</v>
      </c>
      <c r="AC16" s="38"/>
      <c r="AD16" s="38">
        <f>SUM('Quarterly I.S'!BC16:BE16)</f>
        <v>0</v>
      </c>
      <c r="AE16" s="38"/>
      <c r="AF16" s="38">
        <f>SUM('Quarterly I.S'!BG16:BI16)</f>
        <v>0</v>
      </c>
      <c r="AH16" s="38"/>
      <c r="AI16" s="38">
        <f>SUM('Quarterly I.S'!BN16:BP16)</f>
        <v>0</v>
      </c>
      <c r="AJ16" s="38"/>
      <c r="AK16" s="38">
        <f>SUM('Quarterly I.S'!BR16:BT16)</f>
        <v>0</v>
      </c>
      <c r="AL16" s="38"/>
      <c r="AM16" s="38">
        <f>SUM('Quarterly I.S'!BV16:BX16)</f>
        <v>0</v>
      </c>
      <c r="AN16" s="38"/>
      <c r="AO16" s="38">
        <f>SUM('Quarterly I.S'!BZ16:CB16)</f>
        <v>0</v>
      </c>
      <c r="AQ16" s="38"/>
      <c r="AR16" s="38">
        <f>Z16+AI16</f>
        <v>0</v>
      </c>
      <c r="AS16" s="38"/>
      <c r="AT16" s="38">
        <f>AB16+AK16</f>
        <v>0</v>
      </c>
      <c r="AU16" s="38"/>
      <c r="AV16" s="38">
        <f>AD16+AM16</f>
        <v>0</v>
      </c>
      <c r="AW16" s="38"/>
      <c r="AX16" s="38">
        <f>AF16+AO16</f>
        <v>0</v>
      </c>
      <c r="AY16" s="38"/>
      <c r="AZ16" s="132" t="e">
        <f>AX16/AV16-1</f>
        <v>#DIV/0!</v>
      </c>
      <c r="BB16" s="38"/>
      <c r="BC16" s="38">
        <f>SUM('Quarterly I.S'!DA16:DC16)</f>
        <v>0</v>
      </c>
      <c r="BD16" s="38"/>
      <c r="BE16" s="38">
        <f>SUM('Quarterly I.S'!DE16:DG16)</f>
        <v>495.35941000000008</v>
      </c>
      <c r="BF16" s="38"/>
      <c r="BG16" s="38">
        <f>SUM('Quarterly I.S'!DI16:DK16)</f>
        <v>13.472740000000002</v>
      </c>
      <c r="BH16" s="38"/>
      <c r="BI16" s="38">
        <f>SUM('Quarterly I.S'!DM16:DO16)</f>
        <v>1596.0192599999998</v>
      </c>
    </row>
    <row r="17" spans="3:61" x14ac:dyDescent="0.3">
      <c r="C17" s="36" t="s">
        <v>13</v>
      </c>
      <c r="E17" s="38"/>
      <c r="F17" s="38">
        <f>SUM('Quarterly I.S'!G17:I17)</f>
        <v>-3717.9532200000003</v>
      </c>
      <c r="G17" s="38"/>
      <c r="H17" s="38">
        <f>SUM('Quarterly I.S'!K17:M17)</f>
        <v>-6738.6461200000012</v>
      </c>
      <c r="I17" s="38"/>
      <c r="J17" s="38">
        <f>SUM('Quarterly I.S'!O17:Q17)</f>
        <v>-10609.977739999998</v>
      </c>
      <c r="K17" s="38"/>
      <c r="L17" s="38">
        <f>SUM('Quarterly I.S'!S17:U17)</f>
        <v>-10792.028269999999</v>
      </c>
      <c r="M17" s="132">
        <f>L17/J17-1</f>
        <v>1.7158427139169596E-2</v>
      </c>
      <c r="N17" s="132"/>
      <c r="O17" s="38"/>
      <c r="P17" s="38">
        <f>SUM('Quarterly I.S'!AA17:AC17)</f>
        <v>-3717.9532200000003</v>
      </c>
      <c r="Q17" s="38"/>
      <c r="R17" s="38">
        <f>SUM('Quarterly I.S'!AE17:AG17)</f>
        <v>-6738.6461200000012</v>
      </c>
      <c r="S17" s="38"/>
      <c r="T17" s="38">
        <f>SUM('Quarterly I.S'!AI17:AK17)</f>
        <v>-10609.977739999998</v>
      </c>
      <c r="U17" s="38"/>
      <c r="V17" s="38">
        <f>SUM('Quarterly I.S'!AM17:AO17)</f>
        <v>-10792.028269999999</v>
      </c>
      <c r="W17" s="132">
        <f>V17/T17-1</f>
        <v>1.7158427139169596E-2</v>
      </c>
      <c r="Y17" s="38"/>
      <c r="Z17" s="38">
        <f>SUM('Quarterly I.S'!AU17:AW17)</f>
        <v>0</v>
      </c>
      <c r="AA17" s="38"/>
      <c r="AB17" s="38">
        <f>SUM('Quarterly I.S'!AY17:BA17)</f>
        <v>0</v>
      </c>
      <c r="AC17" s="38"/>
      <c r="AD17" s="38">
        <f>SUM('Quarterly I.S'!BC17:BE17)</f>
        <v>0</v>
      </c>
      <c r="AE17" s="38"/>
      <c r="AF17" s="38">
        <f>SUM('Quarterly I.S'!BG17:BI17)</f>
        <v>0</v>
      </c>
      <c r="AH17" s="38"/>
      <c r="AI17" s="38">
        <f>SUM('Quarterly I.S'!BN17:BP17)</f>
        <v>0</v>
      </c>
      <c r="AJ17" s="38"/>
      <c r="AK17" s="38">
        <f>SUM('Quarterly I.S'!BR17:BT17)</f>
        <v>0</v>
      </c>
      <c r="AL17" s="38"/>
      <c r="AM17" s="38">
        <f>SUM('Quarterly I.S'!BV17:BX17)</f>
        <v>0</v>
      </c>
      <c r="AN17" s="38"/>
      <c r="AO17" s="38">
        <f>SUM('Quarterly I.S'!BZ17:CB17)</f>
        <v>0</v>
      </c>
      <c r="AQ17" s="38"/>
      <c r="AR17" s="38">
        <f>Z17+AI17</f>
        <v>0</v>
      </c>
      <c r="AS17" s="38"/>
      <c r="AT17" s="38">
        <f>AB17+AK17</f>
        <v>0</v>
      </c>
      <c r="AU17" s="38"/>
      <c r="AV17" s="38">
        <f>AD17+AM17</f>
        <v>0</v>
      </c>
      <c r="AW17" s="38"/>
      <c r="AX17" s="38">
        <f>AF17+AO17</f>
        <v>0</v>
      </c>
      <c r="AY17" s="38"/>
      <c r="AZ17" s="132" t="e">
        <f>AX17/AV17-1</f>
        <v>#DIV/0!</v>
      </c>
      <c r="BB17" s="38"/>
      <c r="BC17" s="38">
        <f>SUM('Quarterly I.S'!DA17:DC17)</f>
        <v>0</v>
      </c>
      <c r="BD17" s="38"/>
      <c r="BE17" s="38">
        <f>SUM('Quarterly I.S'!DE17:DG17)</f>
        <v>0</v>
      </c>
      <c r="BF17" s="38"/>
      <c r="BG17" s="38">
        <f>SUM('Quarterly I.S'!DI17:DK17)</f>
        <v>0</v>
      </c>
      <c r="BH17" s="38"/>
      <c r="BI17" s="38">
        <f>SUM('Quarterly I.S'!DM17:DO17)</f>
        <v>0</v>
      </c>
    </row>
    <row r="18" spans="3:61" x14ac:dyDescent="0.3">
      <c r="C18" s="43" t="s">
        <v>14</v>
      </c>
      <c r="D18" s="111"/>
      <c r="E18" s="44"/>
      <c r="F18" s="44">
        <f>F14+F15+F16+F17</f>
        <v>286592.82222999993</v>
      </c>
      <c r="G18" s="44"/>
      <c r="H18" s="44">
        <f>H14+H15+H16+H17</f>
        <v>362456.75000000006</v>
      </c>
      <c r="I18" s="44"/>
      <c r="J18" s="44">
        <f>J14+J15+J16+J17</f>
        <v>399271.66963999963</v>
      </c>
      <c r="K18" s="44"/>
      <c r="L18" s="44">
        <f>L14+L15+L16+L17</f>
        <v>669715.5828559635</v>
      </c>
      <c r="M18" s="170">
        <f>L18/J18-1</f>
        <v>0.67734310691216248</v>
      </c>
      <c r="N18" s="132"/>
      <c r="O18" s="44"/>
      <c r="P18" s="44">
        <f>P14+P15+P16+P17</f>
        <v>286592.82222999993</v>
      </c>
      <c r="Q18" s="44"/>
      <c r="R18" s="44">
        <f>R14+R15+R16+R17</f>
        <v>361989.32824000006</v>
      </c>
      <c r="S18" s="44"/>
      <c r="T18" s="44">
        <f>T14+T15+T16+T17</f>
        <v>399324.95873999968</v>
      </c>
      <c r="U18" s="44"/>
      <c r="V18" s="44">
        <f>V14+V15+V16+V17</f>
        <v>668168.05932596361</v>
      </c>
      <c r="W18" s="170">
        <f>V18/T18-1</f>
        <v>0.67324392002506306</v>
      </c>
      <c r="Y18" s="44"/>
      <c r="Z18" s="44">
        <f>Z14+Z15+Z16+Z17</f>
        <v>0</v>
      </c>
      <c r="AA18" s="44"/>
      <c r="AB18" s="44">
        <f>AB14+AB15+AB16+AB17</f>
        <v>0</v>
      </c>
      <c r="AC18" s="44"/>
      <c r="AD18" s="44">
        <f>AD14+AD15+AD16+AD17</f>
        <v>0</v>
      </c>
      <c r="AE18" s="44"/>
      <c r="AF18" s="44">
        <f>AF14+AF15+AF16+AF17</f>
        <v>0</v>
      </c>
      <c r="AH18" s="44"/>
      <c r="AI18" s="44">
        <f>AI14+AI15+AI16+AI17</f>
        <v>0</v>
      </c>
      <c r="AJ18" s="44"/>
      <c r="AK18" s="44">
        <f>AK14+AK15+AK16+AK17</f>
        <v>0</v>
      </c>
      <c r="AL18" s="44"/>
      <c r="AM18" s="44">
        <f>AM14+AM15+AM16+AM17</f>
        <v>0</v>
      </c>
      <c r="AN18" s="44"/>
      <c r="AO18" s="44">
        <f>AO14+AO15+AO16+AO17</f>
        <v>0</v>
      </c>
      <c r="AQ18" s="44"/>
      <c r="AR18" s="44">
        <f>AR14+AR15+AR16+AR17</f>
        <v>0</v>
      </c>
      <c r="AS18" s="44"/>
      <c r="AT18" s="44">
        <f>AT14+AT15+AT16+AT17</f>
        <v>0</v>
      </c>
      <c r="AU18" s="44"/>
      <c r="AV18" s="44">
        <f>AV14+AV15+AV16+AV17</f>
        <v>0</v>
      </c>
      <c r="AW18" s="44"/>
      <c r="AX18" s="44">
        <f>AX14+AX15+AX16+AX17</f>
        <v>0</v>
      </c>
      <c r="AY18" s="44"/>
      <c r="AZ18" s="170" t="e">
        <f>AV18/AR18-1</f>
        <v>#DIV/0!</v>
      </c>
      <c r="BB18" s="44"/>
      <c r="BC18" s="44">
        <f>BC14+BC15+BC16+BC17</f>
        <v>0</v>
      </c>
      <c r="BD18" s="44"/>
      <c r="BE18" s="44">
        <f>BE14+BE15+BE16+BE17</f>
        <v>467.42176000000006</v>
      </c>
      <c r="BF18" s="44"/>
      <c r="BG18" s="44">
        <f>BG14+BG15+BG16+BG17</f>
        <v>-53.289099999999991</v>
      </c>
      <c r="BH18" s="44"/>
      <c r="BI18" s="44">
        <f>BI14+BI15+BI16+BI17</f>
        <v>1547.5235299999997</v>
      </c>
    </row>
    <row r="19" spans="3:61" x14ac:dyDescent="0.3">
      <c r="C19" s="39" t="s">
        <v>54</v>
      </c>
      <c r="D19" s="109"/>
      <c r="E19" s="40"/>
      <c r="F19" s="207">
        <f>F18/AVERAGE(E122:F122)*12/9</f>
        <v>0.14694548491833814</v>
      </c>
      <c r="G19" s="40"/>
      <c r="H19" s="207">
        <f>H18/AVERAGE(G122:H122)*12/9</f>
        <v>0.1041558392162321</v>
      </c>
      <c r="I19" s="40"/>
      <c r="J19" s="207">
        <f>J18/AVERAGE(I122:J122)*12/9</f>
        <v>8.288647389709089E-2</v>
      </c>
      <c r="K19" s="207"/>
      <c r="L19" s="207">
        <f>L18/AVERAGE(K122:L122)*12/9</f>
        <v>0.10351715648685483</v>
      </c>
      <c r="M19" s="40"/>
      <c r="N19" s="104"/>
      <c r="O19" s="40"/>
      <c r="P19" s="40">
        <f>P18/AVERAGE(O122:P122)*12/9</f>
        <v>0.14694548491833814</v>
      </c>
      <c r="Q19" s="40"/>
      <c r="R19" s="207">
        <f>R18/AVERAGE(Q122:R122)*12/9</f>
        <v>0.10402152055426558</v>
      </c>
      <c r="S19" s="40"/>
      <c r="T19" s="207">
        <f>T18/AVERAGE(S122:T122)*12/9</f>
        <v>8.2897536403980343E-2</v>
      </c>
      <c r="U19" s="207"/>
      <c r="V19" s="207">
        <f>V18/AVERAGE(U122:V122)*12/9</f>
        <v>0.10327795757985174</v>
      </c>
      <c r="W19" s="169"/>
      <c r="Y19" s="40"/>
      <c r="Z19" s="40"/>
      <c r="AA19" s="40"/>
      <c r="AB19" s="40"/>
      <c r="AC19" s="40"/>
      <c r="AD19" s="40"/>
      <c r="AE19" s="40"/>
      <c r="AF19" s="40"/>
      <c r="AH19" s="40"/>
      <c r="AI19" s="40"/>
      <c r="AJ19" s="40"/>
      <c r="AK19" s="40"/>
      <c r="AL19" s="40"/>
      <c r="AM19" s="40"/>
      <c r="AN19" s="40"/>
      <c r="AO19" s="40"/>
      <c r="AQ19" s="40"/>
      <c r="AR19" s="40"/>
      <c r="AS19" s="40"/>
      <c r="AT19" s="40"/>
      <c r="AU19" s="40"/>
      <c r="AV19" s="40"/>
      <c r="AW19" s="40"/>
      <c r="AX19" s="40"/>
      <c r="AY19" s="40"/>
      <c r="AZ19" s="169"/>
      <c r="BB19" s="40"/>
      <c r="BC19" s="40"/>
      <c r="BD19" s="40"/>
      <c r="BE19" s="40"/>
      <c r="BF19" s="40"/>
      <c r="BG19" s="40"/>
      <c r="BH19" s="40"/>
      <c r="BI19" s="40"/>
    </row>
    <row r="20" spans="3:61" x14ac:dyDescent="0.3">
      <c r="C20" s="45"/>
      <c r="D20" s="112"/>
      <c r="E20" s="45"/>
      <c r="F20" s="45"/>
      <c r="G20" s="45"/>
      <c r="H20" s="45"/>
      <c r="I20" s="45"/>
      <c r="J20" s="45"/>
      <c r="K20" s="45"/>
      <c r="L20" s="45"/>
      <c r="M20" s="172"/>
      <c r="O20" s="45"/>
      <c r="P20" s="45"/>
      <c r="Q20" s="45"/>
      <c r="R20" s="45"/>
      <c r="S20" s="45"/>
      <c r="T20" s="45"/>
      <c r="U20" s="45"/>
      <c r="V20" s="45"/>
      <c r="W20" s="172"/>
      <c r="Y20" s="45"/>
      <c r="Z20" s="45"/>
      <c r="AA20" s="45"/>
      <c r="AB20" s="45"/>
      <c r="AC20" s="45"/>
      <c r="AD20" s="45"/>
      <c r="AE20" s="45"/>
      <c r="AF20" s="45"/>
      <c r="AH20" s="45"/>
      <c r="AI20" s="45"/>
      <c r="AJ20" s="45"/>
      <c r="AK20" s="45"/>
      <c r="AL20" s="45"/>
      <c r="AM20" s="45"/>
      <c r="AN20" s="45"/>
      <c r="AO20" s="45"/>
      <c r="AQ20" s="45"/>
      <c r="AR20" s="45"/>
      <c r="AS20" s="45"/>
      <c r="AT20" s="45"/>
      <c r="AU20" s="45"/>
      <c r="AV20" s="45"/>
      <c r="AW20" s="45"/>
      <c r="AX20" s="45"/>
      <c r="AY20" s="45"/>
      <c r="AZ20" s="172"/>
      <c r="BB20" s="45"/>
      <c r="BC20" s="45"/>
      <c r="BD20" s="45"/>
      <c r="BE20" s="45"/>
      <c r="BF20" s="45"/>
      <c r="BG20" s="45"/>
      <c r="BH20" s="45"/>
      <c r="BI20" s="45"/>
    </row>
    <row r="21" spans="3:61" x14ac:dyDescent="0.3">
      <c r="C21" s="36" t="s">
        <v>15</v>
      </c>
      <c r="D21" s="110">
        <v>12</v>
      </c>
      <c r="E21" s="38"/>
      <c r="F21" s="38">
        <f>SUM('Quarterly I.S'!G21:I21)</f>
        <v>95785.369670000015</v>
      </c>
      <c r="G21" s="38"/>
      <c r="H21" s="38">
        <f>SUM('Quarterly I.S'!K21:M21)</f>
        <v>163925.39999000001</v>
      </c>
      <c r="I21" s="38"/>
      <c r="J21" s="38">
        <f>SUM('Quarterly I.S'!O21:Q21)</f>
        <v>250633.18448</v>
      </c>
      <c r="K21" s="38"/>
      <c r="L21" s="38">
        <f>SUM('Quarterly I.S'!S21:U21)</f>
        <v>151821.84018000003</v>
      </c>
      <c r="M21" s="132">
        <f>L21/J21-1</f>
        <v>-0.39424685324494568</v>
      </c>
      <c r="O21" s="38"/>
      <c r="P21" s="38">
        <f>SUM('Quarterly I.S'!AA21:AC21)</f>
        <v>95785.369670000015</v>
      </c>
      <c r="Q21" s="38"/>
      <c r="R21" s="38">
        <f>SUM('Quarterly I.S'!AE21:AG21)</f>
        <v>153501.50180999999</v>
      </c>
      <c r="S21" s="38"/>
      <c r="T21" s="38">
        <f>SUM('Quarterly I.S'!AI21:AK21)</f>
        <v>238541.79831000001</v>
      </c>
      <c r="U21" s="38"/>
      <c r="V21" s="38">
        <f>SUM('Quarterly I.S'!AM21:AO21)</f>
        <v>140371.26548</v>
      </c>
      <c r="W21" s="132">
        <f>V21/T21-1</f>
        <v>-0.41154436465856292</v>
      </c>
      <c r="Y21" s="38"/>
      <c r="Z21" s="38">
        <f>SUM('Quarterly I.S'!AU21:AW21)</f>
        <v>0</v>
      </c>
      <c r="AA21" s="38"/>
      <c r="AB21" s="38">
        <f>SUM('Quarterly I.S'!AY21:BA21)</f>
        <v>0</v>
      </c>
      <c r="AC21" s="38"/>
      <c r="AD21" s="38">
        <f>SUM('Quarterly I.S'!BC21:BE21)</f>
        <v>0</v>
      </c>
      <c r="AE21" s="38"/>
      <c r="AF21" s="38">
        <f>SUM('Quarterly I.S'!BG21:BI21)</f>
        <v>0</v>
      </c>
      <c r="AH21" s="38"/>
      <c r="AI21" s="38">
        <f>SUM('Quarterly I.S'!BN21:BP21)</f>
        <v>0</v>
      </c>
      <c r="AJ21" s="38"/>
      <c r="AK21" s="38">
        <f>SUM('Quarterly I.S'!BR21:BT21)</f>
        <v>0</v>
      </c>
      <c r="AL21" s="38"/>
      <c r="AM21" s="38">
        <f>SUM('Quarterly I.S'!BV21:BX21)</f>
        <v>0</v>
      </c>
      <c r="AN21" s="38"/>
      <c r="AO21" s="38">
        <f>SUM('Quarterly I.S'!BZ21:CB21)</f>
        <v>0</v>
      </c>
      <c r="AQ21" s="38"/>
      <c r="AR21" s="38">
        <f>Z21+AI21</f>
        <v>0</v>
      </c>
      <c r="AS21" s="38"/>
      <c r="AT21" s="38">
        <f>AB21+AK21</f>
        <v>0</v>
      </c>
      <c r="AU21" s="38"/>
      <c r="AV21" s="38">
        <f>AD21+AM21</f>
        <v>0</v>
      </c>
      <c r="AW21" s="38"/>
      <c r="AX21" s="38">
        <f>AF21+AO21</f>
        <v>0</v>
      </c>
      <c r="AY21" s="38"/>
      <c r="AZ21" s="132" t="e">
        <f>AX21/AV21-1</f>
        <v>#DIV/0!</v>
      </c>
      <c r="BB21" s="38"/>
      <c r="BC21" s="38">
        <f>SUM('Quarterly I.S'!DA21:DC21)</f>
        <v>0</v>
      </c>
      <c r="BD21" s="38"/>
      <c r="BE21" s="38">
        <f>SUM('Quarterly I.S'!DE21:DG21)</f>
        <v>10423.89818</v>
      </c>
      <c r="BF21" s="38"/>
      <c r="BG21" s="38">
        <f>SUM('Quarterly I.S'!DI21:DK21)</f>
        <v>12091.38617</v>
      </c>
      <c r="BH21" s="38"/>
      <c r="BI21" s="38">
        <f>SUM('Quarterly I.S'!DM21:DO21)</f>
        <v>11450.574699999999</v>
      </c>
    </row>
    <row r="22" spans="3:61" x14ac:dyDescent="0.3">
      <c r="C22" s="39" t="s">
        <v>55</v>
      </c>
      <c r="D22" s="109"/>
      <c r="E22" s="40"/>
      <c r="F22" s="40">
        <f>F21/F$135</f>
        <v>2.0393909999512235E-2</v>
      </c>
      <c r="G22" s="40"/>
      <c r="H22" s="40">
        <f>H21/H$135</f>
        <v>2.0104193211154583E-2</v>
      </c>
      <c r="I22" s="40"/>
      <c r="J22" s="40">
        <f>J21/J$135</f>
        <v>2.0989247889549513E-2</v>
      </c>
      <c r="K22" s="40"/>
      <c r="L22" s="40">
        <f>L21/L$135</f>
        <v>1.8494420290639267E-2</v>
      </c>
      <c r="M22" s="169"/>
      <c r="O22" s="40"/>
      <c r="P22" s="40">
        <f>P21/P$135</f>
        <v>2.0393909999512235E-2</v>
      </c>
      <c r="Q22" s="40"/>
      <c r="R22" s="40">
        <f>R21/R$135</f>
        <v>1.882578203731022E-2</v>
      </c>
      <c r="S22" s="40"/>
      <c r="T22" s="40">
        <f>T21/T$135</f>
        <v>1.9976656112539026E-2</v>
      </c>
      <c r="U22" s="40"/>
      <c r="V22" s="40">
        <f>V21/V$135</f>
        <v>1.7099550219112771E-2</v>
      </c>
      <c r="W22" s="169"/>
      <c r="Y22" s="40"/>
      <c r="Z22" s="40"/>
      <c r="AA22" s="40"/>
      <c r="AB22" s="40"/>
      <c r="AC22" s="40"/>
      <c r="AD22" s="40"/>
      <c r="AE22" s="40"/>
      <c r="AF22" s="40"/>
      <c r="AH22" s="40"/>
      <c r="AI22" s="40"/>
      <c r="AJ22" s="40"/>
      <c r="AK22" s="40"/>
      <c r="AL22" s="40"/>
      <c r="AM22" s="40"/>
      <c r="AN22" s="40"/>
      <c r="AO22" s="40"/>
      <c r="AQ22" s="40"/>
      <c r="AR22" s="40"/>
      <c r="AS22" s="40"/>
      <c r="AT22" s="40"/>
      <c r="AU22" s="40"/>
      <c r="AV22" s="40"/>
      <c r="AW22" s="40"/>
      <c r="AX22" s="40"/>
      <c r="AY22" s="40"/>
      <c r="AZ22" s="169"/>
      <c r="BB22" s="40"/>
      <c r="BC22" s="40">
        <f>BC21/BC$135</f>
        <v>0</v>
      </c>
      <c r="BD22" s="40"/>
      <c r="BE22" s="40">
        <f>BE21/BE$135</f>
        <v>1.2784111738443629E-3</v>
      </c>
      <c r="BF22" s="40"/>
      <c r="BG22" s="40">
        <f>BG21/BG$135</f>
        <v>1.012591777010488E-3</v>
      </c>
      <c r="BH22" s="40"/>
      <c r="BI22" s="40">
        <f>BI21/BI$135</f>
        <v>1.3948700715264942E-3</v>
      </c>
    </row>
    <row r="23" spans="3:61" x14ac:dyDescent="0.3">
      <c r="C23" s="39" t="s">
        <v>99</v>
      </c>
      <c r="D23" s="109"/>
      <c r="E23" s="40"/>
      <c r="F23" s="40">
        <f>F189/F$135</f>
        <v>1.6325682913703673E-2</v>
      </c>
      <c r="G23" s="40"/>
      <c r="H23" s="40">
        <f>H189/H$135</f>
        <v>1.5887443255841436E-2</v>
      </c>
      <c r="I23" s="40"/>
      <c r="J23" s="40">
        <f>J189/J$135</f>
        <v>1.5504795193716307E-2</v>
      </c>
      <c r="K23" s="40"/>
      <c r="L23" s="40">
        <f>L189/L$135</f>
        <v>1.7231913054098505E-2</v>
      </c>
      <c r="M23" s="169"/>
      <c r="O23" s="40"/>
      <c r="P23" s="40">
        <f>P189/P$135</f>
        <v>1.6325682913703673E-2</v>
      </c>
      <c r="Q23" s="40"/>
      <c r="R23" s="40">
        <f>R189/R$135</f>
        <v>1.460903208199707E-2</v>
      </c>
      <c r="S23" s="40"/>
      <c r="T23" s="40">
        <f>T189/T$135</f>
        <v>1.449220341670582E-2</v>
      </c>
      <c r="U23" s="40"/>
      <c r="V23" s="40">
        <f>V189/V$135</f>
        <v>1.5837042982572005E-2</v>
      </c>
      <c r="W23" s="169"/>
      <c r="Y23" s="40"/>
      <c r="Z23" s="40"/>
      <c r="AA23" s="40"/>
      <c r="AB23" s="40"/>
      <c r="AC23" s="40"/>
      <c r="AD23" s="40"/>
      <c r="AE23" s="40"/>
      <c r="AF23" s="40"/>
      <c r="AH23" s="40"/>
      <c r="AI23" s="40"/>
      <c r="AJ23" s="40"/>
      <c r="AK23" s="40"/>
      <c r="AL23" s="40"/>
      <c r="AM23" s="40"/>
      <c r="AN23" s="40"/>
      <c r="AO23" s="40"/>
      <c r="AQ23" s="40"/>
      <c r="AR23" s="40"/>
      <c r="AS23" s="40"/>
      <c r="AT23" s="40"/>
      <c r="AU23" s="40"/>
      <c r="AV23" s="40"/>
      <c r="AW23" s="40"/>
      <c r="AX23" s="40"/>
      <c r="AY23" s="40"/>
      <c r="AZ23" s="169"/>
      <c r="BB23" s="40"/>
      <c r="BC23" s="40"/>
      <c r="BD23" s="40"/>
      <c r="BE23" s="40"/>
      <c r="BF23" s="40"/>
      <c r="BG23" s="40"/>
      <c r="BH23" s="40"/>
      <c r="BI23" s="40"/>
    </row>
    <row r="24" spans="3:61" x14ac:dyDescent="0.3">
      <c r="C24" s="36" t="s">
        <v>16</v>
      </c>
      <c r="D24" s="110">
        <v>13</v>
      </c>
      <c r="E24" s="38"/>
      <c r="F24" s="38">
        <f>SUM('Quarterly I.S'!G24:I24)</f>
        <v>-40895.879629999989</v>
      </c>
      <c r="G24" s="38"/>
      <c r="H24" s="38">
        <f>SUM('Quarterly I.S'!K24:M24)</f>
        <v>-61605.141250000001</v>
      </c>
      <c r="I24" s="38"/>
      <c r="J24" s="38">
        <f>SUM('Quarterly I.S'!O24:Q24)</f>
        <v>-113611.14556999998</v>
      </c>
      <c r="K24" s="38"/>
      <c r="L24" s="38">
        <f>SUM('Quarterly I.S'!S24:U24)</f>
        <v>-84525.671658474574</v>
      </c>
      <c r="M24" s="132">
        <f>L24/J24-1</f>
        <v>-0.2560089836749756</v>
      </c>
      <c r="O24" s="38"/>
      <c r="P24" s="38">
        <f>SUM('Quarterly I.S'!AA24:AC24)</f>
        <v>-40895.879629999989</v>
      </c>
      <c r="Q24" s="38"/>
      <c r="R24" s="38">
        <f>SUM('Quarterly I.S'!AE24:AG24)</f>
        <v>-61605.141250000001</v>
      </c>
      <c r="S24" s="38"/>
      <c r="T24" s="38">
        <f>SUM('Quarterly I.S'!AI24:AK24)</f>
        <v>-113611.14556999998</v>
      </c>
      <c r="U24" s="38"/>
      <c r="V24" s="38">
        <f>SUM('Quarterly I.S'!AM24:AO24)</f>
        <v>-84525.671658474574</v>
      </c>
      <c r="W24" s="132">
        <f>V24/T24-1</f>
        <v>-0.2560089836749756</v>
      </c>
      <c r="Y24" s="38"/>
      <c r="Z24" s="38">
        <f>SUM('Quarterly I.S'!AU24:AW24)</f>
        <v>0</v>
      </c>
      <c r="AA24" s="38"/>
      <c r="AB24" s="38">
        <f>SUM('Quarterly I.S'!AY24:BA24)</f>
        <v>0</v>
      </c>
      <c r="AC24" s="38"/>
      <c r="AD24" s="38">
        <f>SUM('Quarterly I.S'!BC24:BE24)</f>
        <v>0</v>
      </c>
      <c r="AE24" s="38"/>
      <c r="AF24" s="38">
        <f>SUM('Quarterly I.S'!BG24:BI24)</f>
        <v>0</v>
      </c>
      <c r="AH24" s="38"/>
      <c r="AI24" s="38">
        <f>SUM('Quarterly I.S'!BN24:BP24)</f>
        <v>0</v>
      </c>
      <c r="AJ24" s="38"/>
      <c r="AK24" s="38">
        <f>SUM('Quarterly I.S'!BR24:BT24)</f>
        <v>0</v>
      </c>
      <c r="AL24" s="38"/>
      <c r="AM24" s="38">
        <f>SUM('Quarterly I.S'!BV24:BX24)</f>
        <v>0</v>
      </c>
      <c r="AN24" s="38"/>
      <c r="AO24" s="38">
        <f>SUM('Quarterly I.S'!BZ24:CB24)</f>
        <v>0</v>
      </c>
      <c r="AQ24" s="38"/>
      <c r="AR24" s="38">
        <f>Z24+AI24</f>
        <v>0</v>
      </c>
      <c r="AS24" s="38"/>
      <c r="AT24" s="38">
        <f>AB24+AK24</f>
        <v>0</v>
      </c>
      <c r="AU24" s="38"/>
      <c r="AV24" s="38">
        <f>AD24+AM24</f>
        <v>0</v>
      </c>
      <c r="AW24" s="38"/>
      <c r="AX24" s="38">
        <f>AF24+AO24</f>
        <v>0</v>
      </c>
      <c r="AY24" s="38"/>
      <c r="AZ24" s="132" t="e">
        <f>AX24/AV24-1</f>
        <v>#DIV/0!</v>
      </c>
      <c r="BB24" s="38"/>
      <c r="BC24" s="38">
        <f>SUM('Quarterly I.S'!DA24:DC24)</f>
        <v>0</v>
      </c>
      <c r="BD24" s="38"/>
      <c r="BE24" s="38">
        <f>SUM('Quarterly I.S'!DE24:DG24)</f>
        <v>0</v>
      </c>
      <c r="BF24" s="38"/>
      <c r="BG24" s="38">
        <f>SUM('Quarterly I.S'!DI24:DK24)</f>
        <v>0</v>
      </c>
      <c r="BH24" s="38"/>
      <c r="BI24" s="38">
        <f>SUM('Quarterly I.S'!DM24:DO24)</f>
        <v>0</v>
      </c>
    </row>
    <row r="25" spans="3:61" x14ac:dyDescent="0.3">
      <c r="C25" s="39" t="s">
        <v>126</v>
      </c>
      <c r="D25" s="109"/>
      <c r="E25" s="40"/>
      <c r="F25" s="40">
        <f>-F24/F$135</f>
        <v>8.7072471651829172E-3</v>
      </c>
      <c r="G25" s="40"/>
      <c r="H25" s="40">
        <f>-H24/H$135</f>
        <v>7.5553981418744328E-3</v>
      </c>
      <c r="I25" s="40"/>
      <c r="J25" s="40">
        <f>-J24/J$135</f>
        <v>9.5143526278528845E-3</v>
      </c>
      <c r="K25" s="40"/>
      <c r="L25" s="40">
        <f>-L24/L$135</f>
        <v>1.0296629886365564E-2</v>
      </c>
      <c r="M25" s="169"/>
      <c r="O25" s="40"/>
      <c r="P25" s="40">
        <f>-P24/P$135</f>
        <v>8.7072471651829172E-3</v>
      </c>
      <c r="Q25" s="40"/>
      <c r="R25" s="40">
        <f>-R24/R$135</f>
        <v>7.5553981418744328E-3</v>
      </c>
      <c r="S25" s="40"/>
      <c r="T25" s="40">
        <f>-T24/T$135</f>
        <v>9.5143526278528845E-3</v>
      </c>
      <c r="U25" s="40"/>
      <c r="V25" s="40">
        <f>-V24/V$135</f>
        <v>1.0296629886365564E-2</v>
      </c>
      <c r="W25" s="169"/>
      <c r="Y25" s="40"/>
      <c r="Z25" s="40"/>
      <c r="AA25" s="40"/>
      <c r="AB25" s="40"/>
      <c r="AC25" s="40"/>
      <c r="AD25" s="40"/>
      <c r="AE25" s="40"/>
      <c r="AF25" s="40"/>
      <c r="AH25" s="40"/>
      <c r="AI25" s="40"/>
      <c r="AJ25" s="40"/>
      <c r="AK25" s="40"/>
      <c r="AL25" s="40"/>
      <c r="AM25" s="40"/>
      <c r="AN25" s="40"/>
      <c r="AO25" s="40"/>
      <c r="AQ25" s="40"/>
      <c r="AR25" s="40"/>
      <c r="AS25" s="40"/>
      <c r="AT25" s="40"/>
      <c r="AU25" s="40"/>
      <c r="AV25" s="40"/>
      <c r="AW25" s="40"/>
      <c r="AX25" s="40"/>
      <c r="AY25" s="40"/>
      <c r="AZ25" s="169"/>
      <c r="BB25" s="40"/>
      <c r="BC25" s="40">
        <f>-BC24/BC$135</f>
        <v>0</v>
      </c>
      <c r="BD25" s="40"/>
      <c r="BE25" s="40">
        <f>-BE24/BE$135</f>
        <v>0</v>
      </c>
      <c r="BF25" s="40"/>
      <c r="BG25" s="40">
        <f>-BG24/BG$135</f>
        <v>0</v>
      </c>
      <c r="BH25" s="40"/>
      <c r="BI25" s="40">
        <f>-BI24/BI$135</f>
        <v>0</v>
      </c>
    </row>
    <row r="26" spans="3:61" x14ac:dyDescent="0.3">
      <c r="C26" s="39" t="s">
        <v>127</v>
      </c>
      <c r="D26" s="109"/>
      <c r="E26" s="40"/>
      <c r="F26" s="40">
        <f>-F193/F$135</f>
        <v>1.0346273740810531E-2</v>
      </c>
      <c r="G26" s="40"/>
      <c r="H26" s="40">
        <f>-H193/H$135</f>
        <v>6.225955270774468E-3</v>
      </c>
      <c r="I26" s="40"/>
      <c r="J26" s="40">
        <f>-J193/J$135</f>
        <v>7.859763009011464E-3</v>
      </c>
      <c r="K26" s="40"/>
      <c r="L26" s="40">
        <f>-L193/L$135</f>
        <v>9.4069412097548596E-3</v>
      </c>
      <c r="M26" s="169"/>
      <c r="O26" s="40"/>
      <c r="P26" s="40">
        <f>-P193/P$135</f>
        <v>1.0346273740810531E-2</v>
      </c>
      <c r="Q26" s="40"/>
      <c r="R26" s="40">
        <f>-R193/R$135</f>
        <v>6.225955270774468E-3</v>
      </c>
      <c r="S26" s="40"/>
      <c r="T26" s="40">
        <f>-T193/T$135</f>
        <v>7.859763009011464E-3</v>
      </c>
      <c r="U26" s="40"/>
      <c r="V26" s="40">
        <f>-V193/V$135</f>
        <v>9.4069412097548596E-3</v>
      </c>
      <c r="W26" s="169"/>
      <c r="Y26" s="40"/>
      <c r="Z26" s="40"/>
      <c r="AA26" s="40"/>
      <c r="AB26" s="40"/>
      <c r="AC26" s="40"/>
      <c r="AD26" s="40"/>
      <c r="AE26" s="40"/>
      <c r="AF26" s="40"/>
      <c r="AH26" s="40"/>
      <c r="AI26" s="40"/>
      <c r="AJ26" s="40"/>
      <c r="AK26" s="40"/>
      <c r="AL26" s="40"/>
      <c r="AM26" s="40"/>
      <c r="AN26" s="40"/>
      <c r="AO26" s="40"/>
      <c r="AQ26" s="40"/>
      <c r="AR26" s="40"/>
      <c r="AS26" s="40"/>
      <c r="AT26" s="40"/>
      <c r="AU26" s="40"/>
      <c r="AV26" s="40"/>
      <c r="AW26" s="40"/>
      <c r="AX26" s="40"/>
      <c r="AY26" s="40"/>
      <c r="AZ26" s="169"/>
      <c r="BB26" s="40"/>
      <c r="BC26" s="40"/>
      <c r="BD26" s="40"/>
      <c r="BE26" s="40"/>
      <c r="BF26" s="40"/>
      <c r="BG26" s="40"/>
      <c r="BH26" s="40"/>
      <c r="BI26" s="40"/>
    </row>
    <row r="27" spans="3:61" x14ac:dyDescent="0.3">
      <c r="C27" s="43" t="s">
        <v>17</v>
      </c>
      <c r="D27" s="111"/>
      <c r="E27" s="44"/>
      <c r="F27" s="44">
        <f>F21+F24</f>
        <v>54889.490040000026</v>
      </c>
      <c r="G27" s="44"/>
      <c r="H27" s="44">
        <f>H21+H24</f>
        <v>102320.25874</v>
      </c>
      <c r="I27" s="44"/>
      <c r="J27" s="44">
        <f>J21+J24</f>
        <v>137022.03891</v>
      </c>
      <c r="K27" s="44"/>
      <c r="L27" s="44">
        <f>L21+L24</f>
        <v>67296.168521525455</v>
      </c>
      <c r="M27" s="170">
        <f>L27/J27-1</f>
        <v>-0.50886609879066602</v>
      </c>
      <c r="O27" s="44"/>
      <c r="P27" s="44">
        <f>P21+P24</f>
        <v>54889.490040000026</v>
      </c>
      <c r="Q27" s="44"/>
      <c r="R27" s="44">
        <f>R21+R24</f>
        <v>91896.360559999986</v>
      </c>
      <c r="S27" s="44"/>
      <c r="T27" s="44">
        <f>T21+T24</f>
        <v>124930.65274000003</v>
      </c>
      <c r="U27" s="44"/>
      <c r="V27" s="44">
        <f>V21+V24</f>
        <v>55845.593821525428</v>
      </c>
      <c r="W27" s="170">
        <f>V27/T27-1</f>
        <v>-0.55298725655625347</v>
      </c>
      <c r="Y27" s="44"/>
      <c r="Z27" s="44">
        <f>Z21+Z24</f>
        <v>0</v>
      </c>
      <c r="AA27" s="44"/>
      <c r="AB27" s="44">
        <f>AB21+AB24</f>
        <v>0</v>
      </c>
      <c r="AC27" s="44"/>
      <c r="AD27" s="44">
        <f>AD21+AD24</f>
        <v>0</v>
      </c>
      <c r="AE27" s="44"/>
      <c r="AF27" s="44">
        <f>AF21+AF24</f>
        <v>0</v>
      </c>
      <c r="AG27" s="44"/>
      <c r="AH27" s="44"/>
      <c r="AI27" s="44">
        <f>AI21+AI24</f>
        <v>0</v>
      </c>
      <c r="AJ27" s="44"/>
      <c r="AK27" s="44">
        <f>AK21+AK24</f>
        <v>0</v>
      </c>
      <c r="AL27" s="44"/>
      <c r="AM27" s="44">
        <f>AM21+AM24</f>
        <v>0</v>
      </c>
      <c r="AN27" s="44"/>
      <c r="AO27" s="44">
        <f>AO21+AO24</f>
        <v>0</v>
      </c>
      <c r="AP27" s="44"/>
      <c r="AQ27" s="44"/>
      <c r="AR27" s="44">
        <f>AR21+AR24</f>
        <v>0</v>
      </c>
      <c r="AS27" s="44"/>
      <c r="AT27" s="44">
        <f>AT21+AT24</f>
        <v>0</v>
      </c>
      <c r="AU27" s="44"/>
      <c r="AV27" s="44">
        <f>AV21+AV24</f>
        <v>0</v>
      </c>
      <c r="AW27" s="44"/>
      <c r="AX27" s="44">
        <f>AX21+AX24</f>
        <v>0</v>
      </c>
      <c r="AY27" s="44"/>
      <c r="AZ27" s="170" t="e">
        <f>AV27/AR27-1</f>
        <v>#DIV/0!</v>
      </c>
      <c r="BA27" s="44"/>
      <c r="BB27" s="44"/>
      <c r="BC27" s="44">
        <f>BC21+BC24</f>
        <v>0</v>
      </c>
      <c r="BD27" s="44"/>
      <c r="BE27" s="44">
        <f>BE21+BE24</f>
        <v>10423.89818</v>
      </c>
      <c r="BF27" s="44"/>
      <c r="BG27" s="44">
        <f>BG21+BG24</f>
        <v>12091.38617</v>
      </c>
      <c r="BH27" s="44"/>
      <c r="BI27" s="44">
        <f>BI21+BI24</f>
        <v>11450.574699999999</v>
      </c>
    </row>
    <row r="28" spans="3:61" x14ac:dyDescent="0.3">
      <c r="C28" s="39" t="s">
        <v>91</v>
      </c>
      <c r="D28" s="109"/>
      <c r="E28" s="40"/>
      <c r="F28" s="40">
        <f>F27/F$135</f>
        <v>1.1686662834329316E-2</v>
      </c>
      <c r="G28" s="40"/>
      <c r="H28" s="40">
        <f>H27/H$135</f>
        <v>1.2548795069280151E-2</v>
      </c>
      <c r="I28" s="40"/>
      <c r="J28" s="40">
        <f>J27/J$135</f>
        <v>1.1474895261696628E-2</v>
      </c>
      <c r="K28" s="40"/>
      <c r="L28" s="40">
        <f>L27/L$135</f>
        <v>8.197790404273703E-3</v>
      </c>
      <c r="M28" s="169"/>
      <c r="O28" s="40"/>
      <c r="P28" s="40">
        <f>P27/P$135</f>
        <v>1.1686662834329316E-2</v>
      </c>
      <c r="Q28" s="40"/>
      <c r="R28" s="40">
        <f>R27/R$135</f>
        <v>1.1270383895435786E-2</v>
      </c>
      <c r="S28" s="40"/>
      <c r="T28" s="40">
        <f>T27/T$135</f>
        <v>1.0462303484686143E-2</v>
      </c>
      <c r="U28" s="40"/>
      <c r="V28" s="40">
        <f>V27/V$135</f>
        <v>6.8029203327472053E-3</v>
      </c>
      <c r="W28" s="169"/>
      <c r="Y28" s="40"/>
      <c r="Z28" s="40"/>
      <c r="AA28" s="40"/>
      <c r="AB28" s="40"/>
      <c r="AC28" s="40"/>
      <c r="AD28" s="40"/>
      <c r="AE28" s="40"/>
      <c r="AF28" s="40"/>
      <c r="AH28" s="40"/>
      <c r="AI28" s="40"/>
      <c r="AJ28" s="40"/>
      <c r="AK28" s="40"/>
      <c r="AL28" s="40"/>
      <c r="AM28" s="40"/>
      <c r="AN28" s="40"/>
      <c r="AO28" s="40"/>
      <c r="AQ28" s="40"/>
      <c r="AR28" s="40"/>
      <c r="AS28" s="40"/>
      <c r="AT28" s="40"/>
      <c r="AU28" s="40"/>
      <c r="AV28" s="40"/>
      <c r="AW28" s="40"/>
      <c r="AX28" s="40"/>
      <c r="AY28" s="40"/>
      <c r="AZ28" s="169"/>
      <c r="BB28" s="40"/>
      <c r="BC28" s="40">
        <f>BC27/BC$135</f>
        <v>0</v>
      </c>
      <c r="BD28" s="40"/>
      <c r="BE28" s="40">
        <f>BE27/BE$135</f>
        <v>1.2784111738443629E-3</v>
      </c>
      <c r="BF28" s="40"/>
      <c r="BG28" s="40">
        <f>BG27/BG$135</f>
        <v>1.012591777010488E-3</v>
      </c>
      <c r="BH28" s="40"/>
      <c r="BI28" s="40">
        <f>BI27/BI$135</f>
        <v>1.3948700715264942E-3</v>
      </c>
    </row>
    <row r="29" spans="3:61" x14ac:dyDescent="0.3">
      <c r="E29" s="104"/>
      <c r="F29" s="104"/>
      <c r="G29" s="104"/>
      <c r="H29" s="104"/>
      <c r="I29" s="104"/>
      <c r="J29" s="104"/>
      <c r="K29" s="104"/>
      <c r="L29" s="104"/>
    </row>
    <row r="30" spans="3:61" x14ac:dyDescent="0.3">
      <c r="C30" s="46" t="s">
        <v>20</v>
      </c>
      <c r="D30" s="113"/>
      <c r="E30" s="47"/>
      <c r="F30" s="47">
        <f>SUM('Quarterly I.S'!G30:I30)</f>
        <v>18639.873834481983</v>
      </c>
      <c r="G30" s="47"/>
      <c r="H30" s="47">
        <f>SUM('Quarterly I.S'!K30:M30)</f>
        <v>5725.0400119015121</v>
      </c>
      <c r="I30" s="47"/>
      <c r="J30" s="47">
        <f>SUM('Quarterly I.S'!O30:Q30)</f>
        <v>4656.3073107604341</v>
      </c>
      <c r="K30" s="47"/>
      <c r="L30" s="47">
        <f>SUM('Quarterly I.S'!S30:U30)</f>
        <v>-37009.178398028627</v>
      </c>
      <c r="M30" s="173">
        <f>L30/J30-1</f>
        <v>-8.9481820953919282</v>
      </c>
      <c r="O30" s="47"/>
      <c r="P30" s="47">
        <f>SUM('Quarterly I.S'!AA30:AC30)</f>
        <v>18639.873834481987</v>
      </c>
      <c r="Q30" s="47"/>
      <c r="R30" s="47">
        <f>SUM('Quarterly I.S'!AE30:AG30)</f>
        <v>10176.429396744214</v>
      </c>
      <c r="S30" s="47"/>
      <c r="T30" s="47">
        <f>SUM('Quarterly I.S'!AI30:AK30)</f>
        <v>16961.316475929649</v>
      </c>
      <c r="U30" s="47"/>
      <c r="V30" s="47">
        <f>SUM('Quarterly I.S'!AM30:AO30)</f>
        <v>-18933.41881818595</v>
      </c>
      <c r="W30" s="173">
        <f>V30/T30-1</f>
        <v>-2.1162705940340762</v>
      </c>
      <c r="Y30" s="47"/>
      <c r="Z30" s="47">
        <f>SUM('Quarterly I.S'!AU30:AW30)</f>
        <v>0</v>
      </c>
      <c r="AA30" s="47"/>
      <c r="AB30" s="47">
        <f>SUM('Quarterly I.S'!AY30:BA30)</f>
        <v>0</v>
      </c>
      <c r="AC30" s="47"/>
      <c r="AD30" s="47">
        <f>SUM('Quarterly I.S'!BC30:BE30)</f>
        <v>0</v>
      </c>
      <c r="AE30" s="47"/>
      <c r="AF30" s="47">
        <f>SUM('Quarterly I.S'!BG30:BI30)</f>
        <v>0</v>
      </c>
      <c r="AH30" s="47"/>
      <c r="AI30" s="47">
        <f>SUM('Quarterly I.S'!BN30:BP30)</f>
        <v>0</v>
      </c>
      <c r="AJ30" s="47"/>
      <c r="AK30" s="47">
        <f>SUM('Quarterly I.S'!BR30:BT30)</f>
        <v>0</v>
      </c>
      <c r="AL30" s="47"/>
      <c r="AM30" s="47">
        <f>SUM('Quarterly I.S'!BV30:BX30)</f>
        <v>0</v>
      </c>
      <c r="AN30" s="47"/>
      <c r="AO30" s="47">
        <f>SUM('Quarterly I.S'!BZ30:CB30)</f>
        <v>0</v>
      </c>
      <c r="AQ30" s="47"/>
      <c r="AR30" s="47">
        <f>Z30+AI30</f>
        <v>0</v>
      </c>
      <c r="AS30" s="47"/>
      <c r="AT30" s="47">
        <f>AB30+AK30</f>
        <v>0</v>
      </c>
      <c r="AU30" s="47"/>
      <c r="AV30" s="47">
        <f>AD30+AM30</f>
        <v>0</v>
      </c>
      <c r="AW30" s="47"/>
      <c r="AX30" s="47">
        <f>AF30+AO30</f>
        <v>0</v>
      </c>
      <c r="AY30" s="47"/>
      <c r="AZ30" s="173" t="e">
        <f>AX30/AV30-1</f>
        <v>#DIV/0!</v>
      </c>
      <c r="BB30" s="47"/>
      <c r="BC30" s="47">
        <f>SUM('Quarterly I.S'!DA30:DC30)</f>
        <v>0</v>
      </c>
      <c r="BD30" s="47"/>
      <c r="BE30" s="47">
        <f>SUM('Quarterly I.S'!DE30:DG30)</f>
        <v>-4451.3893848427024</v>
      </c>
      <c r="BF30" s="47"/>
      <c r="BG30" s="47">
        <f>SUM('Quarterly I.S'!DI30:DK30)</f>
        <v>-12305.009165169213</v>
      </c>
      <c r="BH30" s="47"/>
      <c r="BI30" s="47">
        <f>SUM('Quarterly I.S'!DM30:DO30)</f>
        <v>-18075.759579842674</v>
      </c>
    </row>
    <row r="32" spans="3:61" x14ac:dyDescent="0.3">
      <c r="C32" s="36" t="s">
        <v>0</v>
      </c>
      <c r="E32" s="38"/>
      <c r="F32" s="38">
        <f>SUM('Quarterly I.S'!G32:I32)</f>
        <v>111794.07531</v>
      </c>
      <c r="G32" s="38"/>
      <c r="H32" s="38">
        <f>SUM('Quarterly I.S'!K32:M32)</f>
        <v>105959.04891999999</v>
      </c>
      <c r="I32" s="38"/>
      <c r="J32" s="38">
        <f>SUM('Quarterly I.S'!O32:Q32)</f>
        <v>0</v>
      </c>
      <c r="K32" s="38"/>
      <c r="L32" s="38">
        <f>SUM('Quarterly I.S'!S32:U32)</f>
        <v>0</v>
      </c>
      <c r="M32" s="132" t="e">
        <f>L32/J32-1</f>
        <v>#DIV/0!</v>
      </c>
      <c r="O32" s="38"/>
      <c r="P32" s="38">
        <f>SUM('Quarterly I.S'!AA32:AC32)</f>
        <v>111794.07531</v>
      </c>
      <c r="Q32" s="38"/>
      <c r="R32" s="38">
        <f>SUM('Quarterly I.S'!AE32:AG32)</f>
        <v>105959.04891999999</v>
      </c>
      <c r="S32" s="38"/>
      <c r="T32" s="38">
        <f>SUM('Quarterly I.S'!AI32:AK32)</f>
        <v>0</v>
      </c>
      <c r="U32" s="38"/>
      <c r="V32" s="38">
        <f>SUM('Quarterly I.S'!AM32:AO32)</f>
        <v>0</v>
      </c>
      <c r="W32" s="132" t="e">
        <f>V32/T32-1</f>
        <v>#DIV/0!</v>
      </c>
      <c r="Y32" s="38"/>
      <c r="Z32" s="38">
        <f>SUM('Quarterly I.S'!AU32:AW32)</f>
        <v>0</v>
      </c>
      <c r="AA32" s="38"/>
      <c r="AB32" s="38">
        <f>SUM('Quarterly I.S'!AY32:BA32)</f>
        <v>0</v>
      </c>
      <c r="AC32" s="38"/>
      <c r="AD32" s="38">
        <f>SUM('Quarterly I.S'!BC32:BE32)</f>
        <v>0</v>
      </c>
      <c r="AE32" s="38"/>
      <c r="AF32" s="38">
        <f>SUM('Quarterly I.S'!BG32:BI32)</f>
        <v>0</v>
      </c>
      <c r="AH32" s="38"/>
      <c r="AI32" s="38">
        <f>SUM('Quarterly I.S'!BN32:BP32)</f>
        <v>0</v>
      </c>
      <c r="AJ32" s="38"/>
      <c r="AK32" s="38">
        <f>SUM('Quarterly I.S'!BR32:BT32)</f>
        <v>0</v>
      </c>
      <c r="AL32" s="38"/>
      <c r="AM32" s="38">
        <f>SUM('Quarterly I.S'!BV32:BX32)</f>
        <v>0</v>
      </c>
      <c r="AN32" s="38"/>
      <c r="AO32" s="38">
        <f>SUM('Quarterly I.S'!BZ32:CB32)</f>
        <v>0</v>
      </c>
      <c r="AQ32" s="38"/>
      <c r="AR32" s="38">
        <f>Z32+AI32</f>
        <v>0</v>
      </c>
      <c r="AS32" s="38"/>
      <c r="AT32" s="38">
        <f>AB32+AK32</f>
        <v>0</v>
      </c>
      <c r="AU32" s="38"/>
      <c r="AV32" s="38">
        <f>AD32+AM32</f>
        <v>0</v>
      </c>
      <c r="AW32" s="38"/>
      <c r="AX32" s="38">
        <f>AF32+AO32</f>
        <v>0</v>
      </c>
      <c r="AY32" s="38"/>
      <c r="AZ32" s="132" t="e">
        <f>AX32/AV32-1</f>
        <v>#DIV/0!</v>
      </c>
      <c r="BB32" s="38"/>
      <c r="BC32" s="38">
        <f>SUM('Quarterly I.S'!DA32:DC32)</f>
        <v>0</v>
      </c>
      <c r="BD32" s="38"/>
      <c r="BE32" s="38">
        <f>SUM('Quarterly I.S'!DE32:DG32)</f>
        <v>0</v>
      </c>
      <c r="BF32" s="38"/>
      <c r="BG32" s="38">
        <f>SUM('Quarterly I.S'!DI32:DK32)</f>
        <v>0</v>
      </c>
      <c r="BH32" s="38"/>
      <c r="BI32" s="38">
        <f>SUM('Quarterly I.S'!DM32:DO32)</f>
        <v>0</v>
      </c>
    </row>
    <row r="33" spans="3:61" x14ac:dyDescent="0.3">
      <c r="C33" s="36" t="s">
        <v>2</v>
      </c>
      <c r="E33" s="38"/>
      <c r="F33" s="38">
        <f>SUM('Quarterly I.S'!G33:I33)</f>
        <v>-111794.07268000001</v>
      </c>
      <c r="G33" s="38"/>
      <c r="H33" s="38">
        <f>SUM('Quarterly I.S'!K33:M33)</f>
        <v>-105959.04886</v>
      </c>
      <c r="I33" s="38"/>
      <c r="J33" s="38">
        <f>SUM('Quarterly I.S'!O33:Q33)</f>
        <v>-4.6999999999999999E-4</v>
      </c>
      <c r="K33" s="38"/>
      <c r="L33" s="38">
        <f>SUM('Quarterly I.S'!S33:U33)</f>
        <v>-4.6999999999999999E-4</v>
      </c>
      <c r="M33" s="132">
        <f>L33/J33-1</f>
        <v>0</v>
      </c>
      <c r="O33" s="38"/>
      <c r="P33" s="38">
        <f>SUM('Quarterly I.S'!AA33:AC33)</f>
        <v>-111794.07268000001</v>
      </c>
      <c r="Q33" s="38"/>
      <c r="R33" s="38">
        <f>SUM('Quarterly I.S'!AE33:AG33)</f>
        <v>-105959.04886</v>
      </c>
      <c r="S33" s="38"/>
      <c r="T33" s="38">
        <f>SUM('Quarterly I.S'!AI33:AK33)</f>
        <v>-4.6999999999999999E-4</v>
      </c>
      <c r="U33" s="38"/>
      <c r="V33" s="38">
        <f>SUM('Quarterly I.S'!AM33:AO33)</f>
        <v>-4.6999999999999999E-4</v>
      </c>
      <c r="W33" s="132">
        <f>V33/T33-1</f>
        <v>0</v>
      </c>
      <c r="Y33" s="38"/>
      <c r="Z33" s="38">
        <f>SUM('Quarterly I.S'!AU33:AW33)</f>
        <v>0</v>
      </c>
      <c r="AA33" s="38"/>
      <c r="AB33" s="38">
        <f>SUM('Quarterly I.S'!AY33:BA33)</f>
        <v>0</v>
      </c>
      <c r="AC33" s="38"/>
      <c r="AD33" s="38">
        <f>SUM('Quarterly I.S'!BC33:BE33)</f>
        <v>0</v>
      </c>
      <c r="AE33" s="38"/>
      <c r="AF33" s="38">
        <f>SUM('Quarterly I.S'!BG33:BI33)</f>
        <v>0</v>
      </c>
      <c r="AH33" s="38"/>
      <c r="AI33" s="38">
        <f>SUM('Quarterly I.S'!BN33:BP33)</f>
        <v>0</v>
      </c>
      <c r="AJ33" s="38"/>
      <c r="AK33" s="38">
        <f>SUM('Quarterly I.S'!BR33:BT33)</f>
        <v>0</v>
      </c>
      <c r="AL33" s="38"/>
      <c r="AM33" s="38">
        <f>SUM('Quarterly I.S'!BV33:BX33)</f>
        <v>0</v>
      </c>
      <c r="AN33" s="38"/>
      <c r="AO33" s="38">
        <f>SUM('Quarterly I.S'!BZ33:CB33)</f>
        <v>0</v>
      </c>
      <c r="AQ33" s="38"/>
      <c r="AR33" s="38">
        <f>Z33+AI33</f>
        <v>0</v>
      </c>
      <c r="AS33" s="38"/>
      <c r="AT33" s="38">
        <f>AB33+AK33</f>
        <v>0</v>
      </c>
      <c r="AU33" s="38"/>
      <c r="AV33" s="38">
        <f>AD33+AM33</f>
        <v>0</v>
      </c>
      <c r="AW33" s="38"/>
      <c r="AX33" s="38">
        <f>AF33+AO33</f>
        <v>0</v>
      </c>
      <c r="AY33" s="38"/>
      <c r="AZ33" s="132" t="e">
        <f>AX33/AV33-1</f>
        <v>#DIV/0!</v>
      </c>
      <c r="BB33" s="38"/>
      <c r="BC33" s="38">
        <f>SUM('Quarterly I.S'!DA33:DC33)</f>
        <v>0</v>
      </c>
      <c r="BD33" s="38"/>
      <c r="BE33" s="38">
        <f>SUM('Quarterly I.S'!DE33:DG33)</f>
        <v>0</v>
      </c>
      <c r="BF33" s="38"/>
      <c r="BG33" s="38">
        <f>SUM('Quarterly I.S'!DI33:DK33)</f>
        <v>0</v>
      </c>
      <c r="BH33" s="38"/>
      <c r="BI33" s="38">
        <f>SUM('Quarterly I.S'!DM33:DO33)</f>
        <v>0</v>
      </c>
    </row>
    <row r="34" spans="3:61" x14ac:dyDescent="0.3">
      <c r="C34" s="43" t="s">
        <v>21</v>
      </c>
      <c r="D34" s="111"/>
      <c r="E34" s="44"/>
      <c r="F34" s="44">
        <f>SUM(F32:F33)</f>
        <v>2.6299999881302938E-3</v>
      </c>
      <c r="G34" s="44"/>
      <c r="H34" s="44">
        <f>SUM(H32:H33)</f>
        <v>5.9999991208314896E-5</v>
      </c>
      <c r="I34" s="44"/>
      <c r="J34" s="44">
        <f>SUM(J32:J33)</f>
        <v>-4.6999999999999999E-4</v>
      </c>
      <c r="K34" s="44"/>
      <c r="L34" s="44">
        <f>SUM(L32:L33)</f>
        <v>-4.6999999999999999E-4</v>
      </c>
      <c r="M34" s="170"/>
      <c r="O34" s="44"/>
      <c r="P34" s="44">
        <f>SUM(P32:P33)</f>
        <v>2.6299999881302938E-3</v>
      </c>
      <c r="Q34" s="44"/>
      <c r="R34" s="44">
        <f>SUM(R32:R33)</f>
        <v>5.9999991208314896E-5</v>
      </c>
      <c r="S34" s="44"/>
      <c r="T34" s="44">
        <f>SUM(T32:T33)</f>
        <v>-4.6999999999999999E-4</v>
      </c>
      <c r="U34" s="44"/>
      <c r="V34" s="44">
        <f>SUM(V32:V33)</f>
        <v>-4.6999999999999999E-4</v>
      </c>
      <c r="W34" s="170"/>
      <c r="X34" s="44"/>
      <c r="Y34" s="44"/>
      <c r="Z34" s="44">
        <f>SUM(Z32:Z33)</f>
        <v>0</v>
      </c>
      <c r="AA34" s="44"/>
      <c r="AB34" s="44">
        <f>SUM(AB32:AB33)</f>
        <v>0</v>
      </c>
      <c r="AC34" s="44"/>
      <c r="AD34" s="44">
        <f>SUM(AD32:AD33)</f>
        <v>0</v>
      </c>
      <c r="AE34" s="44"/>
      <c r="AF34" s="44">
        <f>SUM(AF32:AF33)</f>
        <v>0</v>
      </c>
      <c r="AG34" s="44"/>
      <c r="AH34" s="44"/>
      <c r="AI34" s="44">
        <f>SUM(AI32:AI33)</f>
        <v>0</v>
      </c>
      <c r="AJ34" s="44"/>
      <c r="AK34" s="44">
        <f>SUM(AK32:AK33)</f>
        <v>0</v>
      </c>
      <c r="AL34" s="44"/>
      <c r="AM34" s="44">
        <f>SUM(AM32:AM33)</f>
        <v>0</v>
      </c>
      <c r="AN34" s="44"/>
      <c r="AO34" s="44">
        <f>SUM(AO32:AO33)</f>
        <v>0</v>
      </c>
      <c r="AP34" s="44"/>
      <c r="AQ34" s="44"/>
      <c r="AR34" s="44">
        <f>SUM(AR32:AR33)</f>
        <v>0</v>
      </c>
      <c r="AS34" s="44"/>
      <c r="AT34" s="44">
        <f>SUM(AT32:AT33)</f>
        <v>0</v>
      </c>
      <c r="AU34" s="44"/>
      <c r="AV34" s="44">
        <f>SUM(AV32:AV33)</f>
        <v>0</v>
      </c>
      <c r="AW34" s="44"/>
      <c r="AX34" s="44">
        <f>SUM(AX32:AX33)</f>
        <v>0</v>
      </c>
      <c r="AY34" s="44"/>
      <c r="AZ34" s="170"/>
      <c r="BA34" s="44"/>
      <c r="BB34" s="44"/>
      <c r="BC34" s="44">
        <f>SUM(BC32:BC33)</f>
        <v>0</v>
      </c>
      <c r="BD34" s="44"/>
      <c r="BE34" s="44">
        <f>SUM(BE32:BE33)</f>
        <v>0</v>
      </c>
      <c r="BF34" s="44"/>
      <c r="BG34" s="44">
        <f>SUM(BG32:BG33)</f>
        <v>0</v>
      </c>
      <c r="BH34" s="44"/>
      <c r="BI34" s="44">
        <f>SUM(BI32:BI33)</f>
        <v>0</v>
      </c>
    </row>
    <row r="35" spans="3:61" ht="13.5" thickBot="1" x14ac:dyDescent="0.35">
      <c r="C35" s="50" t="s">
        <v>22</v>
      </c>
      <c r="D35" s="114"/>
      <c r="E35" s="51"/>
      <c r="F35" s="51">
        <f>F18+F27+F11+F30+F34</f>
        <v>775539.10202000197</v>
      </c>
      <c r="G35" s="51"/>
      <c r="H35" s="51">
        <f>H18+H27+H11+H30+H34</f>
        <v>984347.85555344156</v>
      </c>
      <c r="I35" s="51"/>
      <c r="J35" s="51">
        <f>J18+J27+J11+J30+J34</f>
        <v>1362727.0483837002</v>
      </c>
      <c r="K35" s="51"/>
      <c r="L35" s="51">
        <f>L18+L27+L11+L30+L34</f>
        <v>1334795.4273898399</v>
      </c>
      <c r="M35" s="174">
        <f>L35/J35-1</f>
        <v>-2.0496856672060138E-2</v>
      </c>
      <c r="O35" s="51"/>
      <c r="P35" s="51">
        <f>P18+P27+P11+P30+P34</f>
        <v>775539.10202000197</v>
      </c>
      <c r="Q35" s="51"/>
      <c r="R35" s="51">
        <f>R18+R27+R11+R30+R34</f>
        <v>977907.92499828432</v>
      </c>
      <c r="S35" s="51"/>
      <c r="T35" s="51">
        <f>T18+T27+T11+T30+T34</f>
        <v>1362993.9604788695</v>
      </c>
      <c r="U35" s="51"/>
      <c r="V35" s="51">
        <f>V18+V27+V11+V30+V34</f>
        <v>1339873.0887396827</v>
      </c>
      <c r="W35" s="174">
        <f>V35/T35-1</f>
        <v>-1.6963297277607592E-2</v>
      </c>
      <c r="X35" s="144"/>
      <c r="Y35" s="51"/>
      <c r="Z35" s="51">
        <f>Z18+Z27+Z11+Z30+Z34</f>
        <v>0</v>
      </c>
      <c r="AA35" s="51"/>
      <c r="AB35" s="51">
        <f>AB18+AB27+AB11+AB30+AB34</f>
        <v>0</v>
      </c>
      <c r="AC35" s="51"/>
      <c r="AD35" s="51">
        <f>AD18+AD27+AD11+AD30+AD34</f>
        <v>0</v>
      </c>
      <c r="AE35" s="51"/>
      <c r="AF35" s="51">
        <f>AF18+AF27+AF11+AF30+AF34</f>
        <v>0</v>
      </c>
      <c r="AG35" s="52"/>
      <c r="AH35" s="51"/>
      <c r="AI35" s="51">
        <f>AI18+AI27+AI11+AI30+AI34</f>
        <v>0</v>
      </c>
      <c r="AJ35" s="51"/>
      <c r="AK35" s="51">
        <f>AK18+AK27+AK11+AK30+AK34</f>
        <v>0</v>
      </c>
      <c r="AL35" s="51"/>
      <c r="AM35" s="51">
        <f>AM18+AM27+AM11+AM30+AM34</f>
        <v>0</v>
      </c>
      <c r="AN35" s="51"/>
      <c r="AO35" s="51">
        <f>AO18+AO27+AO11+AO30+AO34</f>
        <v>0</v>
      </c>
      <c r="AP35" s="52"/>
      <c r="AQ35" s="51"/>
      <c r="AR35" s="51">
        <f>AR18+AR27+AR11+AR30+AR34</f>
        <v>0</v>
      </c>
      <c r="AS35" s="51"/>
      <c r="AT35" s="51">
        <f>AT18+AT27+AT11+AT30+AT34</f>
        <v>0</v>
      </c>
      <c r="AU35" s="51"/>
      <c r="AV35" s="51">
        <f>AV18+AV27+AV11+AV30+AV34</f>
        <v>0</v>
      </c>
      <c r="AW35" s="51"/>
      <c r="AX35" s="51">
        <f>AX18+AX27+AX11+AX30+AX34</f>
        <v>0</v>
      </c>
      <c r="AY35" s="51"/>
      <c r="AZ35" s="174" t="e">
        <f>AV35/AR35-1</f>
        <v>#DIV/0!</v>
      </c>
      <c r="BA35" s="52"/>
      <c r="BB35" s="51"/>
      <c r="BC35" s="51">
        <f>BC18+BC27+BC11+BC30+BC34</f>
        <v>0</v>
      </c>
      <c r="BD35" s="51"/>
      <c r="BE35" s="51">
        <f>BE18+BE27+BE11+BE30+BE34</f>
        <v>6439.930555157297</v>
      </c>
      <c r="BF35" s="51"/>
      <c r="BG35" s="51">
        <f>BG18+BG27+BG11+BG30+BG34</f>
        <v>-266.91209516921299</v>
      </c>
      <c r="BH35" s="51"/>
      <c r="BI35" s="51">
        <f>BI18+BI27+BI11+BI30+BI34</f>
        <v>-5077.6613498426741</v>
      </c>
    </row>
    <row r="36" spans="3:61" ht="13.5" thickTop="1" x14ac:dyDescent="0.3">
      <c r="C36" s="39" t="s">
        <v>58</v>
      </c>
      <c r="D36" s="109"/>
      <c r="E36" s="41"/>
      <c r="F36" s="41">
        <f>(F35-F24-F17-F15-F10)/1000</f>
        <v>944.81554300000198</v>
      </c>
      <c r="G36" s="41"/>
      <c r="H36" s="41">
        <f>(H35-H24-H17-H15-H10)/1000</f>
        <v>1402.2334496334413</v>
      </c>
      <c r="I36" s="41"/>
      <c r="J36" s="41">
        <f>(J35-J24-J17-J15-J10)/1000</f>
        <v>2319.0187048237003</v>
      </c>
      <c r="K36" s="41"/>
      <c r="L36" s="41">
        <f>(L35-L24-L17-L15-L10)/1000</f>
        <v>2668.536835120753</v>
      </c>
      <c r="M36" s="169"/>
      <c r="O36" s="41"/>
      <c r="P36" s="41">
        <f>(P35-P24-P17-P15-P10)/1000</f>
        <v>944.81554300000198</v>
      </c>
      <c r="Q36" s="41"/>
      <c r="R36" s="41">
        <f>(R35-R24-R17-R15-R10)/1000</f>
        <v>1395.7655814282843</v>
      </c>
      <c r="S36" s="41"/>
      <c r="T36" s="41">
        <f>(T35-T24-T17-T15-T10)/1000</f>
        <v>2319.2188550788696</v>
      </c>
      <c r="U36" s="41"/>
      <c r="V36" s="41">
        <f>(V35-V24-V17-V15-V10)/1000</f>
        <v>2673.5660007405954</v>
      </c>
      <c r="W36" s="169"/>
      <c r="Y36" s="41"/>
      <c r="Z36" s="41"/>
      <c r="AA36" s="41"/>
      <c r="AB36" s="41"/>
      <c r="AC36" s="41"/>
      <c r="AD36" s="41"/>
      <c r="AE36" s="41"/>
      <c r="AF36" s="41"/>
      <c r="AH36" s="41"/>
      <c r="AI36" s="41"/>
      <c r="AJ36" s="41"/>
      <c r="AK36" s="41"/>
      <c r="AL36" s="41"/>
      <c r="AM36" s="41"/>
      <c r="AN36" s="41"/>
      <c r="AO36" s="41"/>
      <c r="AQ36" s="41"/>
      <c r="AR36" s="41"/>
      <c r="AS36" s="41"/>
      <c r="AT36" s="41"/>
      <c r="AU36" s="41"/>
      <c r="AV36" s="41"/>
      <c r="AW36" s="41"/>
      <c r="AX36" s="41"/>
      <c r="AY36" s="41"/>
      <c r="AZ36" s="169"/>
      <c r="BB36" s="41"/>
      <c r="BC36" s="41">
        <f>(BC35-BC24-BC17-BC15-BC10)/1000</f>
        <v>0</v>
      </c>
      <c r="BD36" s="41"/>
      <c r="BE36" s="41">
        <f>(BE35-BE24-BE17-BE15-BE10)/1000</f>
        <v>6.4678682051572967</v>
      </c>
      <c r="BF36" s="41"/>
      <c r="BG36" s="41">
        <f>(BG35-BG24-BG17-BG15-BG10)/1000</f>
        <v>-0.20015025516921298</v>
      </c>
      <c r="BH36" s="41"/>
      <c r="BI36" s="41">
        <f>(BI35-BI24-BI17-BI15-BI10)/1000</f>
        <v>-5.0291656198426749</v>
      </c>
    </row>
    <row r="37" spans="3:61" x14ac:dyDescent="0.3">
      <c r="C37" s="39" t="s">
        <v>59</v>
      </c>
      <c r="D37" s="109"/>
      <c r="E37" s="40"/>
      <c r="F37" s="40">
        <f>(F36*1000)/F146</f>
        <v>0.18405715491460581</v>
      </c>
      <c r="G37" s="40"/>
      <c r="H37" s="40">
        <f>(H36*1000)/H146</f>
        <v>0.1690392688847723</v>
      </c>
      <c r="I37" s="40"/>
      <c r="J37" s="40">
        <f>(J36*1000)/J146</f>
        <v>0.1921394032470107</v>
      </c>
      <c r="K37" s="40"/>
      <c r="L37" s="40">
        <f>(L36*1000)/L146</f>
        <v>0.32063765710640041</v>
      </c>
      <c r="M37" s="169"/>
      <c r="O37" s="40"/>
      <c r="P37" s="40">
        <f>(P36*1000)/P146</f>
        <v>0.18405715491460581</v>
      </c>
      <c r="Q37" s="40"/>
      <c r="R37" s="40">
        <f>(R36*1000)/R146</f>
        <v>0.168259567250263</v>
      </c>
      <c r="S37" s="40"/>
      <c r="T37" s="40">
        <f>(T36*1000)/T146</f>
        <v>0.19215598644683912</v>
      </c>
      <c r="U37" s="40"/>
      <c r="V37" s="40">
        <f>(V36*1000)/V146</f>
        <v>0.32124193577339261</v>
      </c>
      <c r="W37" s="169"/>
      <c r="Y37" s="40"/>
      <c r="Z37" s="40"/>
      <c r="AA37" s="40"/>
      <c r="AB37" s="40"/>
      <c r="AC37" s="40"/>
      <c r="AD37" s="40"/>
      <c r="AE37" s="40"/>
      <c r="AF37" s="40"/>
      <c r="AH37" s="40"/>
      <c r="AI37" s="40"/>
      <c r="AJ37" s="40"/>
      <c r="AK37" s="40"/>
      <c r="AL37" s="40"/>
      <c r="AM37" s="40"/>
      <c r="AN37" s="40"/>
      <c r="AO37" s="40"/>
      <c r="AQ37" s="40"/>
      <c r="AR37" s="40"/>
      <c r="AS37" s="40"/>
      <c r="AT37" s="40"/>
      <c r="AU37" s="40"/>
      <c r="AV37" s="40"/>
      <c r="AW37" s="40"/>
      <c r="AX37" s="40"/>
      <c r="AY37" s="40"/>
      <c r="AZ37" s="169"/>
      <c r="BB37" s="40"/>
      <c r="BC37" s="40">
        <f>(BC36*1000)/BC146</f>
        <v>0</v>
      </c>
      <c r="BD37" s="40"/>
      <c r="BE37" s="40">
        <f>(BE36*1000)/BE146</f>
        <v>7.7970163450933239E-4</v>
      </c>
      <c r="BF37" s="40"/>
      <c r="BG37" s="40">
        <f>(BG36*1000)/BG146</f>
        <v>-1.6583199828426186E-5</v>
      </c>
      <c r="BH37" s="40"/>
      <c r="BI37" s="40">
        <f>(BI36*1000)/BI146</f>
        <v>-6.0427866699222261E-4</v>
      </c>
    </row>
    <row r="38" spans="3:61" x14ac:dyDescent="0.3">
      <c r="C38" s="39" t="s">
        <v>60</v>
      </c>
      <c r="D38" s="109"/>
      <c r="E38" s="40"/>
      <c r="F38" s="40">
        <f>(F36*1000)/AVERAGE(E130:F130)*12/9</f>
        <v>0.14507829618185505</v>
      </c>
      <c r="G38" s="40"/>
      <c r="H38" s="40">
        <f>(H36*1000)/AVERAGE(G130:H130)*12/9</f>
        <v>0.15586249697447774</v>
      </c>
      <c r="I38" s="40"/>
      <c r="J38" s="40">
        <f>(J36*1000)/AVERAGE(I130:J130)*12/9</f>
        <v>0.17913681078402316</v>
      </c>
      <c r="K38" s="40"/>
      <c r="L38" s="40">
        <f>(L36*1000)/AVERAGE(K130:L130)*12/9</f>
        <v>0.16953424443631715</v>
      </c>
      <c r="M38" s="169"/>
      <c r="O38" s="40"/>
      <c r="P38" s="40">
        <f>(P36*1000)/AVERAGE(O130:P130)*12/9</f>
        <v>0.14507829618185505</v>
      </c>
      <c r="Q38" s="40"/>
      <c r="R38" s="40">
        <f>(R36*1000)/AVERAGE(Q130:R130)*12/9</f>
        <v>0.15514357382454064</v>
      </c>
      <c r="S38" s="40"/>
      <c r="T38" s="40">
        <f>(T36*1000)/AVERAGE(S130:T130)*12/9</f>
        <v>0.17915227175392134</v>
      </c>
      <c r="U38" s="40"/>
      <c r="V38" s="40">
        <f>(V36*1000)/AVERAGE(U130:V130)*12/9</f>
        <v>0.16985375128452093</v>
      </c>
      <c r="W38" s="169"/>
      <c r="Y38" s="40"/>
      <c r="Z38" s="40"/>
      <c r="AA38" s="40"/>
      <c r="AB38" s="40"/>
      <c r="AC38" s="40"/>
      <c r="AD38" s="40"/>
      <c r="AE38" s="40"/>
      <c r="AF38" s="40"/>
      <c r="AH38" s="40"/>
      <c r="AI38" s="40"/>
      <c r="AJ38" s="40"/>
      <c r="AK38" s="40"/>
      <c r="AL38" s="40"/>
      <c r="AM38" s="40"/>
      <c r="AN38" s="40"/>
      <c r="AO38" s="40"/>
      <c r="AQ38" s="40"/>
      <c r="AR38" s="40"/>
      <c r="AS38" s="40"/>
      <c r="AT38" s="40"/>
      <c r="AU38" s="40"/>
      <c r="AV38" s="40"/>
      <c r="AW38" s="40"/>
      <c r="AX38" s="40"/>
      <c r="AY38" s="40"/>
      <c r="AZ38" s="169"/>
      <c r="BB38" s="40"/>
      <c r="BC38" s="40">
        <f>(BC36*1000)/AVERAGE(BB130:BC130)*12/9</f>
        <v>0</v>
      </c>
      <c r="BD38" s="40"/>
      <c r="BE38" s="40">
        <f>(BE36*1000)/AVERAGE(BD130:BE130)*12/9</f>
        <v>7.1892314993710733E-4</v>
      </c>
      <c r="BF38" s="40"/>
      <c r="BG38" s="40">
        <f>(BG36*1000)/AVERAGE(BF130:BG130)*12/9</f>
        <v>-1.5460969898191062E-5</v>
      </c>
      <c r="BH38" s="40"/>
      <c r="BI38" s="40">
        <f>(BI36*1000)/AVERAGE(BH130:BI130)*12/9</f>
        <v>-3.195068482037832E-4</v>
      </c>
    </row>
    <row r="39" spans="3:61" x14ac:dyDescent="0.3">
      <c r="C39" s="45"/>
      <c r="D39" s="112"/>
      <c r="E39" s="45"/>
      <c r="F39" s="45"/>
      <c r="G39" s="45"/>
      <c r="H39" s="45"/>
      <c r="I39" s="45"/>
      <c r="J39" s="45"/>
      <c r="K39" s="45"/>
      <c r="L39" s="45"/>
      <c r="M39" s="172"/>
      <c r="O39" s="45"/>
      <c r="P39" s="45"/>
      <c r="Q39" s="45"/>
      <c r="R39" s="45"/>
      <c r="S39" s="45"/>
      <c r="T39" s="45"/>
      <c r="U39" s="45"/>
      <c r="V39" s="45"/>
      <c r="W39" s="172"/>
      <c r="Y39" s="45"/>
      <c r="Z39" s="45"/>
      <c r="AA39" s="45"/>
      <c r="AB39" s="45"/>
      <c r="AC39" s="45"/>
      <c r="AD39" s="45"/>
      <c r="AE39" s="45"/>
      <c r="AF39" s="45"/>
      <c r="AH39" s="45"/>
      <c r="AI39" s="45"/>
      <c r="AJ39" s="45"/>
      <c r="AK39" s="45"/>
      <c r="AL39" s="45"/>
      <c r="AM39" s="45"/>
      <c r="AN39" s="45"/>
      <c r="AO39" s="45"/>
      <c r="AQ39" s="45"/>
      <c r="AR39" s="45"/>
      <c r="AS39" s="45"/>
      <c r="AT39" s="45"/>
      <c r="AU39" s="45"/>
      <c r="AV39" s="171"/>
      <c r="AW39" s="171"/>
      <c r="AX39" s="171"/>
      <c r="AY39" s="171"/>
      <c r="AZ39" s="172"/>
      <c r="BB39" s="45"/>
      <c r="BC39" s="45"/>
      <c r="BD39" s="45"/>
      <c r="BE39" s="45"/>
      <c r="BF39" s="45"/>
      <c r="BG39" s="45"/>
      <c r="BH39" s="45"/>
      <c r="BI39" s="45"/>
    </row>
    <row r="40" spans="3:61" x14ac:dyDescent="0.3">
      <c r="C40" s="37" t="s">
        <v>23</v>
      </c>
      <c r="D40" s="107"/>
      <c r="E40" s="37"/>
      <c r="F40" s="37"/>
      <c r="G40" s="37"/>
      <c r="H40" s="37"/>
      <c r="I40" s="37"/>
      <c r="J40" s="37"/>
      <c r="K40" s="37"/>
      <c r="L40" s="37"/>
      <c r="M40" s="171"/>
      <c r="O40" s="37"/>
      <c r="P40" s="37"/>
      <c r="Q40" s="37"/>
      <c r="R40" s="37"/>
      <c r="S40" s="37"/>
      <c r="T40" s="37"/>
      <c r="U40" s="37"/>
      <c r="V40" s="37"/>
      <c r="W40" s="171"/>
      <c r="Y40" s="37"/>
      <c r="Z40" s="37"/>
      <c r="AA40" s="37"/>
      <c r="AB40" s="37"/>
      <c r="AC40" s="37"/>
      <c r="AD40" s="37"/>
      <c r="AE40" s="37"/>
      <c r="AF40" s="37"/>
      <c r="AH40" s="37"/>
      <c r="AI40" s="37"/>
      <c r="AJ40" s="37"/>
      <c r="AK40" s="37"/>
      <c r="AL40" s="37"/>
      <c r="AM40" s="37"/>
      <c r="AN40" s="37"/>
      <c r="AO40" s="37"/>
      <c r="AQ40" s="37"/>
      <c r="AR40" s="37"/>
      <c r="AS40" s="37"/>
      <c r="AT40" s="171"/>
      <c r="AU40" s="37"/>
      <c r="AV40" s="171"/>
      <c r="AW40" s="171"/>
      <c r="AX40" s="171"/>
      <c r="AY40" s="171"/>
      <c r="AZ40" s="171"/>
      <c r="BB40" s="37"/>
      <c r="BC40" s="37"/>
      <c r="BD40" s="37"/>
      <c r="BE40" s="37"/>
      <c r="BF40" s="37"/>
      <c r="BG40" s="37"/>
      <c r="BH40" s="37"/>
      <c r="BI40" s="37"/>
    </row>
    <row r="41" spans="3:61" x14ac:dyDescent="0.3">
      <c r="C41" s="36" t="s">
        <v>24</v>
      </c>
      <c r="E41" s="38"/>
      <c r="F41" s="38">
        <f>SUM('Quarterly I.S'!G41:I41)</f>
        <v>376196.74199999997</v>
      </c>
      <c r="G41" s="38"/>
      <c r="H41" s="38">
        <f>SUM('Quarterly I.S'!K41:M41)</f>
        <v>723601.23499999999</v>
      </c>
      <c r="I41" s="38"/>
      <c r="J41" s="38">
        <f>SUM('Quarterly I.S'!O41:Q41)</f>
        <v>1168772.4440000001</v>
      </c>
      <c r="K41" s="38"/>
      <c r="L41" s="38">
        <f>SUM('Quarterly I.S'!S41:U41)</f>
        <v>1756578.9100000001</v>
      </c>
      <c r="M41" s="132">
        <f>L41/J41-1</f>
        <v>0.50292635578256317</v>
      </c>
      <c r="O41" s="38"/>
      <c r="P41" s="38">
        <f>SUM('Quarterly I.S'!AA41:AC41)</f>
        <v>0</v>
      </c>
      <c r="Q41" s="38"/>
      <c r="R41" s="38">
        <f>SUM('Quarterly I.S'!AE41:AG41)</f>
        <v>0</v>
      </c>
      <c r="S41" s="38"/>
      <c r="T41" s="38">
        <f>SUM('Quarterly I.S'!AI41:AK41)</f>
        <v>0</v>
      </c>
      <c r="U41" s="38"/>
      <c r="V41" s="38">
        <f>SUM('Quarterly I.S'!AM41:AO41)</f>
        <v>0</v>
      </c>
      <c r="W41" s="132" t="e">
        <f>V41/T41-1</f>
        <v>#DIV/0!</v>
      </c>
      <c r="Y41" s="38"/>
      <c r="Z41" s="38">
        <f>SUM('Quarterly I.S'!AU41:AW41)</f>
        <v>376196.74199999997</v>
      </c>
      <c r="AA41" s="38"/>
      <c r="AB41" s="38">
        <f>SUM('Quarterly I.S'!AY41:BA41)</f>
        <v>723601.23499999999</v>
      </c>
      <c r="AC41" s="38"/>
      <c r="AD41" s="38">
        <f>SUM('Quarterly I.S'!BC41:BE41)</f>
        <v>1168772.4440000001</v>
      </c>
      <c r="AE41" s="38"/>
      <c r="AF41" s="38">
        <f>SUM('Quarterly I.S'!BG41:BI41)</f>
        <v>1756578.9100000001</v>
      </c>
      <c r="AH41" s="38"/>
      <c r="AI41" s="38">
        <f>SUM('Quarterly I.S'!BN41:BP41)</f>
        <v>0</v>
      </c>
      <c r="AJ41" s="38"/>
      <c r="AK41" s="38">
        <f>SUM('Quarterly I.S'!BR41:BT41)</f>
        <v>0</v>
      </c>
      <c r="AL41" s="38"/>
      <c r="AM41" s="38">
        <f>SUM('Quarterly I.S'!BV41:BX41)</f>
        <v>0</v>
      </c>
      <c r="AN41" s="38"/>
      <c r="AO41" s="38">
        <f>SUM('Quarterly I.S'!BZ41:CB41)</f>
        <v>0</v>
      </c>
      <c r="AQ41" s="38"/>
      <c r="AR41" s="38">
        <f>Z41+AI41</f>
        <v>376196.74199999997</v>
      </c>
      <c r="AS41" s="38"/>
      <c r="AT41" s="38">
        <f>AB41+AK41</f>
        <v>723601.23499999999</v>
      </c>
      <c r="AU41" s="38"/>
      <c r="AV41" s="38">
        <f>AD41+AM41</f>
        <v>1168772.4440000001</v>
      </c>
      <c r="AW41" s="38"/>
      <c r="AX41" s="38">
        <f>AF41+AO41</f>
        <v>1756578.9100000001</v>
      </c>
      <c r="AY41" s="38"/>
      <c r="AZ41" s="132">
        <f>AX41/AV41-1</f>
        <v>0.50292635578256317</v>
      </c>
      <c r="BB41" s="38"/>
      <c r="BC41" s="38">
        <f>SUM('Quarterly I.S'!DA41:DC41)</f>
        <v>0</v>
      </c>
      <c r="BD41" s="38"/>
      <c r="BE41" s="38">
        <f>SUM('Quarterly I.S'!DE41:DG41)</f>
        <v>0</v>
      </c>
      <c r="BF41" s="38"/>
      <c r="BG41" s="38">
        <f>SUM('Quarterly I.S'!DI41:DK41)</f>
        <v>0</v>
      </c>
      <c r="BH41" s="38"/>
      <c r="BI41" s="38">
        <f>SUM('Quarterly I.S'!DM41:DO41)</f>
        <v>0</v>
      </c>
    </row>
    <row r="42" spans="3:61" x14ac:dyDescent="0.3">
      <c r="C42" s="36" t="s">
        <v>25</v>
      </c>
      <c r="E42" s="38"/>
      <c r="F42" s="38">
        <f>SUM('Quarterly I.S'!G42:I42)</f>
        <v>-38058.589999999997</v>
      </c>
      <c r="G42" s="38"/>
      <c r="H42" s="38">
        <f>SUM('Quarterly I.S'!K42:M42)</f>
        <v>-98662.433999999994</v>
      </c>
      <c r="I42" s="38"/>
      <c r="J42" s="38">
        <f>SUM('Quarterly I.S'!O42:Q42)</f>
        <v>-186257.03599999999</v>
      </c>
      <c r="K42" s="38"/>
      <c r="L42" s="38">
        <f>SUM('Quarterly I.S'!S42:U42)</f>
        <v>-213767.41600000003</v>
      </c>
      <c r="M42" s="132">
        <f>L42/J42-1</f>
        <v>0.1477011585216037</v>
      </c>
      <c r="O42" s="38"/>
      <c r="P42" s="38">
        <f>SUM('Quarterly I.S'!AA42:AC42)</f>
        <v>0</v>
      </c>
      <c r="Q42" s="38"/>
      <c r="R42" s="38">
        <f>SUM('Quarterly I.S'!AE42:AG42)</f>
        <v>0</v>
      </c>
      <c r="S42" s="38"/>
      <c r="T42" s="38">
        <f>SUM('Quarterly I.S'!AI42:AK42)</f>
        <v>0</v>
      </c>
      <c r="U42" s="38"/>
      <c r="V42" s="38">
        <f>SUM('Quarterly I.S'!AM42:AO42)</f>
        <v>0</v>
      </c>
      <c r="W42" s="132" t="e">
        <f>V42/T42-1</f>
        <v>#DIV/0!</v>
      </c>
      <c r="Y42" s="38"/>
      <c r="Z42" s="38">
        <f>SUM('Quarterly I.S'!AU42:AW42)</f>
        <v>-38058.589999999997</v>
      </c>
      <c r="AA42" s="38"/>
      <c r="AB42" s="38">
        <f>SUM('Quarterly I.S'!AY42:BA42)</f>
        <v>-98662.433999999994</v>
      </c>
      <c r="AC42" s="38"/>
      <c r="AD42" s="38">
        <f>SUM('Quarterly I.S'!BC42:BE42)</f>
        <v>-186257.03599999999</v>
      </c>
      <c r="AE42" s="38"/>
      <c r="AF42" s="38">
        <f>SUM('Quarterly I.S'!BG42:BI42)</f>
        <v>-213767.41600000003</v>
      </c>
      <c r="AH42" s="38"/>
      <c r="AI42" s="38">
        <f>SUM('Quarterly I.S'!BN42:BP42)</f>
        <v>0</v>
      </c>
      <c r="AJ42" s="38"/>
      <c r="AK42" s="38">
        <f>SUM('Quarterly I.S'!BR42:BT42)</f>
        <v>0</v>
      </c>
      <c r="AL42" s="38"/>
      <c r="AM42" s="38">
        <f>SUM('Quarterly I.S'!BV42:BX42)</f>
        <v>0</v>
      </c>
      <c r="AN42" s="38"/>
      <c r="AO42" s="38">
        <f>SUM('Quarterly I.S'!BZ42:CB42)</f>
        <v>0</v>
      </c>
      <c r="AQ42" s="38"/>
      <c r="AR42" s="38">
        <f>Z42+AI42</f>
        <v>-38058.589999999997</v>
      </c>
      <c r="AS42" s="38"/>
      <c r="AT42" s="38">
        <f>AB42+AK42</f>
        <v>-98662.433999999994</v>
      </c>
      <c r="AU42" s="38"/>
      <c r="AV42" s="38">
        <f>AD42+AM42</f>
        <v>-186257.03599999999</v>
      </c>
      <c r="AW42" s="38"/>
      <c r="AX42" s="38">
        <f>AF42+AO42</f>
        <v>-213767.41600000003</v>
      </c>
      <c r="AY42" s="38"/>
      <c r="AZ42" s="132">
        <f>AX42/AV42-1</f>
        <v>0.1477011585216037</v>
      </c>
      <c r="BB42" s="38"/>
      <c r="BC42" s="38">
        <f>SUM('Quarterly I.S'!DA42:DC42)</f>
        <v>0</v>
      </c>
      <c r="BD42" s="38"/>
      <c r="BE42" s="38">
        <f>SUM('Quarterly I.S'!DE42:DG42)</f>
        <v>0</v>
      </c>
      <c r="BF42" s="38"/>
      <c r="BG42" s="38">
        <f>SUM('Quarterly I.S'!DI42:DK42)</f>
        <v>0</v>
      </c>
      <c r="BH42" s="38"/>
      <c r="BI42" s="38">
        <f>SUM('Quarterly I.S'!DM42:DO42)</f>
        <v>0</v>
      </c>
    </row>
    <row r="43" spans="3:61" x14ac:dyDescent="0.3">
      <c r="C43" s="36" t="s">
        <v>26</v>
      </c>
      <c r="E43" s="38"/>
      <c r="F43" s="38">
        <f>SUM('Quarterly I.S'!G43:I43)</f>
        <v>-110213.747</v>
      </c>
      <c r="G43" s="38"/>
      <c r="H43" s="38">
        <f>SUM('Quarterly I.S'!K43:M43)</f>
        <v>-211111.16700000002</v>
      </c>
      <c r="I43" s="38"/>
      <c r="J43" s="38">
        <f>SUM('Quarterly I.S'!O43:Q43)</f>
        <v>-332468.16500000004</v>
      </c>
      <c r="K43" s="38"/>
      <c r="L43" s="38">
        <f>SUM('Quarterly I.S'!S43:U43)</f>
        <v>-511427.99099999998</v>
      </c>
      <c r="M43" s="132">
        <f>L43/J43-1</f>
        <v>0.53827657754840952</v>
      </c>
      <c r="O43" s="38"/>
      <c r="P43" s="38">
        <f>SUM('Quarterly I.S'!AA43:AC43)</f>
        <v>0</v>
      </c>
      <c r="Q43" s="38"/>
      <c r="R43" s="38">
        <f>SUM('Quarterly I.S'!AE43:AG43)</f>
        <v>0</v>
      </c>
      <c r="S43" s="38"/>
      <c r="T43" s="38">
        <f>SUM('Quarterly I.S'!AI43:AK43)</f>
        <v>0</v>
      </c>
      <c r="U43" s="38"/>
      <c r="V43" s="38">
        <f>SUM('Quarterly I.S'!AM43:AO43)</f>
        <v>0</v>
      </c>
      <c r="W43" s="132" t="e">
        <f>V43/T43-1</f>
        <v>#DIV/0!</v>
      </c>
      <c r="Y43" s="38"/>
      <c r="Z43" s="38">
        <f>SUM('Quarterly I.S'!AU43:AW43)</f>
        <v>-110213.747</v>
      </c>
      <c r="AA43" s="38"/>
      <c r="AB43" s="38">
        <f>SUM('Quarterly I.S'!AY43:BA43)</f>
        <v>-211111.16700000002</v>
      </c>
      <c r="AC43" s="38"/>
      <c r="AD43" s="38">
        <f>SUM('Quarterly I.S'!BC43:BE43)</f>
        <v>-332468.16500000004</v>
      </c>
      <c r="AE43" s="38"/>
      <c r="AF43" s="38">
        <f>SUM('Quarterly I.S'!BG43:BI43)</f>
        <v>-511427.99099999998</v>
      </c>
      <c r="AH43" s="38"/>
      <c r="AI43" s="38">
        <f>SUM('Quarterly I.S'!BN43:BP43)</f>
        <v>0</v>
      </c>
      <c r="AJ43" s="38"/>
      <c r="AK43" s="38">
        <f>SUM('Quarterly I.S'!BR43:BT43)</f>
        <v>0</v>
      </c>
      <c r="AL43" s="38"/>
      <c r="AM43" s="38">
        <f>SUM('Quarterly I.S'!BV43:BX43)</f>
        <v>0</v>
      </c>
      <c r="AN43" s="38"/>
      <c r="AO43" s="38">
        <f>SUM('Quarterly I.S'!BZ43:CB43)</f>
        <v>0</v>
      </c>
      <c r="AQ43" s="38"/>
      <c r="AR43" s="38">
        <f>Z43+AI43</f>
        <v>-110213.747</v>
      </c>
      <c r="AS43" s="38"/>
      <c r="AT43" s="38">
        <f>AB43+AK43</f>
        <v>-211111.16700000002</v>
      </c>
      <c r="AU43" s="38"/>
      <c r="AV43" s="38">
        <f>AD43+AM43</f>
        <v>-332468.16500000004</v>
      </c>
      <c r="AW43" s="38"/>
      <c r="AX43" s="38">
        <f>AF43+AO43</f>
        <v>-511427.99099999998</v>
      </c>
      <c r="AY43" s="38"/>
      <c r="AZ43" s="132">
        <f>AX43/AV43-1</f>
        <v>0.53827657754840952</v>
      </c>
      <c r="BB43" s="38"/>
      <c r="BC43" s="38">
        <f>SUM('Quarterly I.S'!DA43:DC43)</f>
        <v>0</v>
      </c>
      <c r="BD43" s="38"/>
      <c r="BE43" s="38">
        <f>SUM('Quarterly I.S'!DE43:DG43)</f>
        <v>0</v>
      </c>
      <c r="BF43" s="38"/>
      <c r="BG43" s="38">
        <f>SUM('Quarterly I.S'!DI43:DK43)</f>
        <v>0</v>
      </c>
      <c r="BH43" s="38"/>
      <c r="BI43" s="38">
        <f>SUM('Quarterly I.S'!DM43:DO43)</f>
        <v>0</v>
      </c>
    </row>
    <row r="44" spans="3:61" ht="13.5" thickBot="1" x14ac:dyDescent="0.35">
      <c r="C44" s="54" t="s">
        <v>101</v>
      </c>
      <c r="D44" s="115"/>
      <c r="E44" s="55"/>
      <c r="F44" s="55">
        <f>SUM(F41:F43)</f>
        <v>227924.405</v>
      </c>
      <c r="G44" s="55"/>
      <c r="H44" s="55">
        <f>SUM(H41:H43)</f>
        <v>413827.63399999996</v>
      </c>
      <c r="I44" s="55"/>
      <c r="J44" s="55">
        <f>SUM(J41:J43)</f>
        <v>650047.24300000013</v>
      </c>
      <c r="K44" s="55"/>
      <c r="L44" s="55">
        <f>SUM(L41:L43)</f>
        <v>1031383.5030000003</v>
      </c>
      <c r="M44" s="175">
        <f>L44/J44-1</f>
        <v>0.58662853216654609</v>
      </c>
      <c r="O44" s="55"/>
      <c r="P44" s="55">
        <f>SUM(P41:P43)</f>
        <v>0</v>
      </c>
      <c r="Q44" s="55"/>
      <c r="R44" s="55">
        <f>SUM(R41:R43)</f>
        <v>0</v>
      </c>
      <c r="S44" s="55"/>
      <c r="T44" s="55">
        <f>SUM(T41:T43)</f>
        <v>0</v>
      </c>
      <c r="U44" s="55"/>
      <c r="V44" s="55">
        <f>SUM(V41:V43)</f>
        <v>0</v>
      </c>
      <c r="W44" s="175"/>
      <c r="X44" s="55"/>
      <c r="Y44" s="55"/>
      <c r="Z44" s="55">
        <f>SUM(Z41:Z43)</f>
        <v>227924.405</v>
      </c>
      <c r="AA44" s="55"/>
      <c r="AB44" s="55">
        <f>SUM(AB41:AB43)</f>
        <v>413827.63399999996</v>
      </c>
      <c r="AC44" s="55"/>
      <c r="AD44" s="55">
        <f>SUM(AD41:AD43)</f>
        <v>650047.24300000013</v>
      </c>
      <c r="AE44" s="55"/>
      <c r="AF44" s="55">
        <f>SUM(AF41:AF43)</f>
        <v>1031383.5030000003</v>
      </c>
      <c r="AG44" s="55"/>
      <c r="AH44" s="55"/>
      <c r="AI44" s="55">
        <f>SUM(AI41:AI43)</f>
        <v>0</v>
      </c>
      <c r="AJ44" s="55"/>
      <c r="AK44" s="55">
        <f>SUM(AK41:AK43)</f>
        <v>0</v>
      </c>
      <c r="AL44" s="55"/>
      <c r="AM44" s="55">
        <f>SUM(AM41:AM43)</f>
        <v>0</v>
      </c>
      <c r="AN44" s="55"/>
      <c r="AO44" s="55">
        <f>SUM(AO41:AO43)</f>
        <v>0</v>
      </c>
      <c r="AP44" s="55"/>
      <c r="AQ44" s="55"/>
      <c r="AR44" s="55">
        <f>SUM(AR41:AR43)</f>
        <v>227924.405</v>
      </c>
      <c r="AS44" s="55"/>
      <c r="AT44" s="55">
        <f>SUM(AT41:AT43)</f>
        <v>413827.63399999996</v>
      </c>
      <c r="AU44" s="55"/>
      <c r="AV44" s="55">
        <f>SUM(AV41:AV43)</f>
        <v>650047.24300000013</v>
      </c>
      <c r="AW44" s="55"/>
      <c r="AX44" s="55">
        <f>SUM(AX41:AX43)</f>
        <v>1031383.5030000003</v>
      </c>
      <c r="AY44" s="55"/>
      <c r="AZ44" s="175">
        <f>AX44/AV44-1</f>
        <v>0.58662853216654609</v>
      </c>
      <c r="BA44" s="55"/>
      <c r="BB44" s="55"/>
      <c r="BC44" s="55">
        <f>SUM(BC41:BC43)</f>
        <v>0</v>
      </c>
      <c r="BD44" s="55"/>
      <c r="BE44" s="55">
        <f>SUM(BE41:BE43)</f>
        <v>0</v>
      </c>
      <c r="BF44" s="55"/>
      <c r="BG44" s="55">
        <f>SUM(BG41:BG43)</f>
        <v>0</v>
      </c>
      <c r="BH44" s="55"/>
      <c r="BI44" s="55">
        <f>SUM(BI41:BI43)</f>
        <v>0</v>
      </c>
    </row>
    <row r="45" spans="3:61" ht="13.5" thickTop="1" x14ac:dyDescent="0.3">
      <c r="C45" s="39" t="s">
        <v>61</v>
      </c>
      <c r="D45" s="109"/>
      <c r="E45" s="40"/>
      <c r="F45" s="40">
        <f>F44/F41</f>
        <v>0.60586490937765758</v>
      </c>
      <c r="G45" s="40"/>
      <c r="H45" s="40">
        <f>H44/H41</f>
        <v>0.57190012120418776</v>
      </c>
      <c r="I45" s="40"/>
      <c r="J45" s="40">
        <f>J44/J41</f>
        <v>0.55617947388910216</v>
      </c>
      <c r="K45" s="40"/>
      <c r="L45" s="40">
        <f>L44/L41</f>
        <v>0.58715466588403942</v>
      </c>
      <c r="M45" s="169"/>
      <c r="O45" s="40"/>
      <c r="P45" s="40"/>
      <c r="Q45" s="40"/>
      <c r="R45" s="40"/>
      <c r="S45" s="40"/>
      <c r="T45" s="40"/>
      <c r="U45" s="40"/>
      <c r="V45" s="40"/>
      <c r="W45" s="169"/>
      <c r="Y45" s="40"/>
      <c r="Z45" s="40">
        <f>Z44/Z41</f>
        <v>0.60586490937765758</v>
      </c>
      <c r="AA45" s="40"/>
      <c r="AB45" s="40">
        <f>AB44/AB41</f>
        <v>0.57190012120418776</v>
      </c>
      <c r="AC45" s="40"/>
      <c r="AD45" s="40">
        <f>AD44/AD41</f>
        <v>0.55617947388910216</v>
      </c>
      <c r="AE45" s="40"/>
      <c r="AF45" s="40">
        <f>AF44/AF41</f>
        <v>0.58715466588403942</v>
      </c>
      <c r="AH45" s="40"/>
      <c r="AI45" s="40"/>
      <c r="AJ45" s="40"/>
      <c r="AK45" s="40"/>
      <c r="AL45" s="40"/>
      <c r="AM45" s="40"/>
      <c r="AN45" s="40"/>
      <c r="AO45" s="40"/>
      <c r="AQ45" s="40"/>
      <c r="AR45" s="40">
        <f>AR44/AR41</f>
        <v>0.60586490937765758</v>
      </c>
      <c r="AS45" s="40"/>
      <c r="AT45" s="40">
        <f>AT44/AT41</f>
        <v>0.57190012120418776</v>
      </c>
      <c r="AU45" s="40"/>
      <c r="AV45" s="40">
        <f>AV44/AV41</f>
        <v>0.55617947388910216</v>
      </c>
      <c r="AW45" s="40"/>
      <c r="AX45" s="40">
        <f>AX44/AX41</f>
        <v>0.58715466588403942</v>
      </c>
      <c r="AY45" s="40"/>
      <c r="AZ45" s="169"/>
      <c r="BB45" s="40"/>
      <c r="BC45" s="40"/>
      <c r="BD45" s="40"/>
      <c r="BE45" s="40"/>
      <c r="BF45" s="40"/>
      <c r="BG45" s="40"/>
      <c r="BH45" s="40"/>
      <c r="BI45" s="40"/>
    </row>
    <row r="46" spans="3:61" x14ac:dyDescent="0.3">
      <c r="C46" s="36" t="s">
        <v>27</v>
      </c>
      <c r="D46" s="110">
        <v>14</v>
      </c>
      <c r="E46" s="38"/>
      <c r="F46" s="38">
        <f>SUM('Quarterly I.S'!G46:I46)</f>
        <v>-104845.19099999999</v>
      </c>
      <c r="G46" s="38"/>
      <c r="H46" s="38">
        <f>SUM('Quarterly I.S'!K46:M46)</f>
        <v>-204385.408</v>
      </c>
      <c r="I46" s="38"/>
      <c r="J46" s="38">
        <f>SUM('Quarterly I.S'!O46:Q46)</f>
        <v>-301212.52600000001</v>
      </c>
      <c r="K46" s="38"/>
      <c r="L46" s="38">
        <f>SUM('Quarterly I.S'!S46:U46)</f>
        <v>-525735.98699999996</v>
      </c>
      <c r="M46" s="132">
        <f>L46/J46-1</f>
        <v>0.74539881850730194</v>
      </c>
      <c r="O46" s="38"/>
      <c r="P46" s="38">
        <f>SUM('Quarterly I.S'!AA46:AC46)</f>
        <v>0</v>
      </c>
      <c r="Q46" s="38"/>
      <c r="R46" s="38">
        <f>SUM('Quarterly I.S'!AE46:AG46)</f>
        <v>0</v>
      </c>
      <c r="S46" s="38"/>
      <c r="T46" s="38">
        <f>SUM('Quarterly I.S'!AI46:AK46)</f>
        <v>0</v>
      </c>
      <c r="U46" s="38"/>
      <c r="V46" s="38">
        <f>SUM('Quarterly I.S'!AM46:AO46)</f>
        <v>0</v>
      </c>
      <c r="W46" s="132" t="e">
        <f>V46/T46-1</f>
        <v>#DIV/0!</v>
      </c>
      <c r="Y46" s="38"/>
      <c r="Z46" s="38">
        <f>SUM('Quarterly I.S'!AU46:AW46)</f>
        <v>-104845.19099999999</v>
      </c>
      <c r="AA46" s="38"/>
      <c r="AB46" s="38">
        <f>SUM('Quarterly I.S'!AY46:BA46)</f>
        <v>-204385.408</v>
      </c>
      <c r="AC46" s="38"/>
      <c r="AD46" s="38">
        <f>SUM('Quarterly I.S'!BC46:BE46)</f>
        <v>-301212.52600000001</v>
      </c>
      <c r="AE46" s="38"/>
      <c r="AF46" s="38">
        <f>SUM('Quarterly I.S'!BG46:BI46)</f>
        <v>-525735.98699999996</v>
      </c>
      <c r="AH46" s="38"/>
      <c r="AI46" s="38">
        <f>SUM('Quarterly I.S'!BN46:BP46)</f>
        <v>0</v>
      </c>
      <c r="AJ46" s="38"/>
      <c r="AK46" s="38">
        <f>SUM('Quarterly I.S'!BR46:BT46)</f>
        <v>0</v>
      </c>
      <c r="AL46" s="38"/>
      <c r="AM46" s="38">
        <f>SUM('Quarterly I.S'!BV46:BX46)</f>
        <v>0</v>
      </c>
      <c r="AN46" s="38"/>
      <c r="AO46" s="38">
        <f>SUM('Quarterly I.S'!BZ46:CB46)</f>
        <v>0</v>
      </c>
      <c r="AQ46" s="38"/>
      <c r="AR46" s="38">
        <f>Z46+AI46</f>
        <v>-104845.19099999999</v>
      </c>
      <c r="AS46" s="38"/>
      <c r="AT46" s="38">
        <f>AB46+AK46</f>
        <v>-204385.408</v>
      </c>
      <c r="AU46" s="38"/>
      <c r="AV46" s="38">
        <f>AD46+AM46</f>
        <v>-301212.52600000001</v>
      </c>
      <c r="AW46" s="38"/>
      <c r="AX46" s="38">
        <f>AF46+AO46</f>
        <v>-525735.98699999996</v>
      </c>
      <c r="AY46" s="38"/>
      <c r="AZ46" s="132">
        <f>AX46/AV46-1</f>
        <v>0.74539881850730194</v>
      </c>
      <c r="BB46" s="38"/>
      <c r="BC46" s="38">
        <f>SUM('Quarterly I.S'!DA46:DC46)</f>
        <v>0</v>
      </c>
      <c r="BD46" s="38"/>
      <c r="BE46" s="38">
        <f>SUM('Quarterly I.S'!DE46:DG46)</f>
        <v>0</v>
      </c>
      <c r="BF46" s="38"/>
      <c r="BG46" s="38">
        <f>SUM('Quarterly I.S'!DI46:DK46)</f>
        <v>0</v>
      </c>
      <c r="BH46" s="38"/>
      <c r="BI46" s="38">
        <f>SUM('Quarterly I.S'!DM46:DO46)</f>
        <v>0</v>
      </c>
    </row>
    <row r="47" spans="3:61" x14ac:dyDescent="0.3">
      <c r="C47" s="39" t="s">
        <v>62</v>
      </c>
      <c r="D47" s="109"/>
      <c r="E47" s="40"/>
      <c r="F47" s="40">
        <f>-F46/F44</f>
        <v>0.45999984512408837</v>
      </c>
      <c r="G47" s="40"/>
      <c r="H47" s="40">
        <f>-H46/H44</f>
        <v>0.4938901881066744</v>
      </c>
      <c r="I47" s="40"/>
      <c r="J47" s="40">
        <f>-J46/J44</f>
        <v>0.46337020769427362</v>
      </c>
      <c r="K47" s="40"/>
      <c r="L47" s="40">
        <f>-L46/L44</f>
        <v>0.50973860399238891</v>
      </c>
      <c r="M47" s="169"/>
      <c r="O47" s="40"/>
      <c r="P47" s="40"/>
      <c r="Q47" s="40"/>
      <c r="R47" s="40"/>
      <c r="S47" s="40"/>
      <c r="T47" s="40"/>
      <c r="U47" s="40"/>
      <c r="V47" s="40"/>
      <c r="W47" s="169"/>
      <c r="Y47" s="40"/>
      <c r="Z47" s="40">
        <f>-Z46/Z44</f>
        <v>0.45999984512408837</v>
      </c>
      <c r="AA47" s="40"/>
      <c r="AB47" s="40">
        <f>-AB46/AB44</f>
        <v>0.4938901881066744</v>
      </c>
      <c r="AC47" s="40"/>
      <c r="AD47" s="40">
        <f>-AD46/AD44</f>
        <v>0.46337020769427362</v>
      </c>
      <c r="AE47" s="40"/>
      <c r="AF47" s="40">
        <f>-AF46/AF44</f>
        <v>0.50973860399238891</v>
      </c>
      <c r="AH47" s="40"/>
      <c r="AI47" s="40"/>
      <c r="AJ47" s="40"/>
      <c r="AK47" s="40"/>
      <c r="AL47" s="40"/>
      <c r="AM47" s="40"/>
      <c r="AN47" s="40"/>
      <c r="AO47" s="40"/>
      <c r="AQ47" s="40"/>
      <c r="AR47" s="40">
        <f>-AR46/AR44</f>
        <v>0.45999984512408837</v>
      </c>
      <c r="AS47" s="40"/>
      <c r="AT47" s="40">
        <f>-AT46/AT44</f>
        <v>0.4938901881066744</v>
      </c>
      <c r="AU47" s="40"/>
      <c r="AV47" s="40">
        <f>-AV46/AV44</f>
        <v>0.46337020769427362</v>
      </c>
      <c r="AW47" s="40"/>
      <c r="AX47" s="40">
        <f>-AX46/AX44</f>
        <v>0.50973860399238891</v>
      </c>
      <c r="AY47" s="40"/>
      <c r="AZ47" s="169"/>
      <c r="BB47" s="40"/>
      <c r="BC47" s="40"/>
      <c r="BD47" s="40"/>
      <c r="BE47" s="40"/>
      <c r="BF47" s="40"/>
      <c r="BG47" s="40"/>
      <c r="BH47" s="40"/>
      <c r="BI47" s="40"/>
    </row>
    <row r="48" spans="3:61" x14ac:dyDescent="0.3">
      <c r="C48" s="36" t="s">
        <v>28</v>
      </c>
      <c r="D48" s="110">
        <v>15</v>
      </c>
      <c r="E48" s="38"/>
      <c r="F48" s="38">
        <f>SUM('Quarterly I.S'!G48:I48)</f>
        <v>-79612.107000000004</v>
      </c>
      <c r="G48" s="38"/>
      <c r="H48" s="38">
        <f>SUM('Quarterly I.S'!K48:M48)</f>
        <v>-129622.46099999998</v>
      </c>
      <c r="I48" s="38"/>
      <c r="J48" s="38">
        <f>SUM('Quarterly I.S'!O48:Q48)</f>
        <v>-220841.47500000001</v>
      </c>
      <c r="K48" s="38"/>
      <c r="L48" s="38">
        <f>SUM('Quarterly I.S'!S48:U48)</f>
        <v>-362203.48800000001</v>
      </c>
      <c r="M48" s="132">
        <f>L48/J48-1</f>
        <v>0.64010627079899729</v>
      </c>
      <c r="O48" s="38"/>
      <c r="P48" s="38">
        <f>SUM('Quarterly I.S'!AA48:AC48)</f>
        <v>0</v>
      </c>
      <c r="Q48" s="38"/>
      <c r="R48" s="38">
        <f>SUM('Quarterly I.S'!AE48:AG48)</f>
        <v>0</v>
      </c>
      <c r="S48" s="38"/>
      <c r="T48" s="38">
        <f>SUM('Quarterly I.S'!AI48:AK48)</f>
        <v>0</v>
      </c>
      <c r="U48" s="38"/>
      <c r="V48" s="38">
        <f>SUM('Quarterly I.S'!AM48:AO48)</f>
        <v>0</v>
      </c>
      <c r="W48" s="132" t="e">
        <f>V48/T48-1</f>
        <v>#DIV/0!</v>
      </c>
      <c r="Y48" s="38"/>
      <c r="Z48" s="38">
        <f>SUM('Quarterly I.S'!AU48:AW48)</f>
        <v>-79612.107000000004</v>
      </c>
      <c r="AA48" s="38"/>
      <c r="AB48" s="38">
        <f>SUM('Quarterly I.S'!AY48:BA48)</f>
        <v>-129622.46099999998</v>
      </c>
      <c r="AC48" s="38"/>
      <c r="AD48" s="38">
        <f>SUM('Quarterly I.S'!BC48:BE48)</f>
        <v>-220841.47500000001</v>
      </c>
      <c r="AE48" s="38"/>
      <c r="AF48" s="38">
        <f>SUM('Quarterly I.S'!BG48:BI48)</f>
        <v>-362203.48800000001</v>
      </c>
      <c r="AH48" s="38"/>
      <c r="AI48" s="38">
        <f>SUM('Quarterly I.S'!BN48:BP48)</f>
        <v>0</v>
      </c>
      <c r="AJ48" s="38"/>
      <c r="AK48" s="38">
        <f>SUM('Quarterly I.S'!BR48:BT48)</f>
        <v>0</v>
      </c>
      <c r="AL48" s="38"/>
      <c r="AM48" s="38">
        <f>SUM('Quarterly I.S'!BV48:BX48)</f>
        <v>0</v>
      </c>
      <c r="AN48" s="38"/>
      <c r="AO48" s="38">
        <f>SUM('Quarterly I.S'!BZ48:CB48)</f>
        <v>0</v>
      </c>
      <c r="AQ48" s="38"/>
      <c r="AR48" s="38">
        <f>Z48+AI48</f>
        <v>-79612.107000000004</v>
      </c>
      <c r="AS48" s="38"/>
      <c r="AT48" s="38">
        <f>AB48+AK48</f>
        <v>-129622.46099999998</v>
      </c>
      <c r="AU48" s="38"/>
      <c r="AV48" s="38">
        <f>AD48+AM48</f>
        <v>-220841.47500000001</v>
      </c>
      <c r="AW48" s="38"/>
      <c r="AX48" s="38">
        <f>AF48+AO48</f>
        <v>-362203.48800000001</v>
      </c>
      <c r="AY48" s="38"/>
      <c r="AZ48" s="132">
        <f>AX48/AV48-1</f>
        <v>0.64010627079899729</v>
      </c>
      <c r="BB48" s="38"/>
      <c r="BC48" s="38">
        <f>SUM('Quarterly I.S'!DA48:DC48)</f>
        <v>0</v>
      </c>
      <c r="BD48" s="38"/>
      <c r="BE48" s="38">
        <f>SUM('Quarterly I.S'!DE48:DG48)</f>
        <v>0</v>
      </c>
      <c r="BF48" s="38"/>
      <c r="BG48" s="38">
        <f>SUM('Quarterly I.S'!DI48:DK48)</f>
        <v>0</v>
      </c>
      <c r="BH48" s="38"/>
      <c r="BI48" s="38">
        <f>SUM('Quarterly I.S'!DM48:DO48)</f>
        <v>0</v>
      </c>
    </row>
    <row r="49" spans="3:61" x14ac:dyDescent="0.3">
      <c r="C49" s="39" t="s">
        <v>63</v>
      </c>
      <c r="D49" s="109"/>
      <c r="E49" s="40"/>
      <c r="F49" s="40">
        <f>-F48/F44</f>
        <v>0.34929171801501468</v>
      </c>
      <c r="G49" s="40"/>
      <c r="H49" s="40">
        <f>-H48/H44</f>
        <v>0.31322814222696399</v>
      </c>
      <c r="I49" s="40"/>
      <c r="J49" s="40">
        <f>-J48/J44</f>
        <v>0.33973142318211474</v>
      </c>
      <c r="K49" s="40"/>
      <c r="L49" s="40">
        <f>-L48/L44</f>
        <v>0.35118216157855292</v>
      </c>
      <c r="M49" s="169"/>
      <c r="O49" s="40"/>
      <c r="P49" s="40"/>
      <c r="Q49" s="40"/>
      <c r="R49" s="40"/>
      <c r="S49" s="40"/>
      <c r="T49" s="40"/>
      <c r="U49" s="40"/>
      <c r="V49" s="40"/>
      <c r="W49" s="169"/>
      <c r="Y49" s="40"/>
      <c r="Z49" s="40">
        <f>-Z48/Z44</f>
        <v>0.34929171801501468</v>
      </c>
      <c r="AA49" s="40"/>
      <c r="AB49" s="40">
        <f>-AB48/AB44</f>
        <v>0.31322814222696399</v>
      </c>
      <c r="AC49" s="40"/>
      <c r="AD49" s="40">
        <f>-AD48/AD44</f>
        <v>0.33973142318211474</v>
      </c>
      <c r="AE49" s="40"/>
      <c r="AF49" s="40">
        <f>-AF48/AF44</f>
        <v>0.35118216157855292</v>
      </c>
      <c r="AH49" s="40"/>
      <c r="AI49" s="40"/>
      <c r="AJ49" s="40"/>
      <c r="AK49" s="40"/>
      <c r="AL49" s="40"/>
      <c r="AM49" s="40"/>
      <c r="AN49" s="40"/>
      <c r="AO49" s="40"/>
      <c r="AQ49" s="40"/>
      <c r="AR49" s="40">
        <f>-AR48/AR44</f>
        <v>0.34929171801501468</v>
      </c>
      <c r="AS49" s="40"/>
      <c r="AT49" s="40">
        <f>-AT48/AT44</f>
        <v>0.31322814222696399</v>
      </c>
      <c r="AU49" s="40"/>
      <c r="AV49" s="40">
        <f>-AV48/AV44</f>
        <v>0.33973142318211474</v>
      </c>
      <c r="AW49" s="40"/>
      <c r="AX49" s="40">
        <f>-AX48/AX44</f>
        <v>0.35118216157855292</v>
      </c>
      <c r="AY49" s="40"/>
      <c r="AZ49" s="169"/>
      <c r="BB49" s="40"/>
      <c r="BC49" s="40"/>
      <c r="BD49" s="40"/>
      <c r="BE49" s="40"/>
      <c r="BF49" s="40"/>
      <c r="BG49" s="40"/>
      <c r="BH49" s="40"/>
      <c r="BI49" s="40"/>
    </row>
    <row r="50" spans="3:61" x14ac:dyDescent="0.3">
      <c r="C50" s="36" t="s">
        <v>29</v>
      </c>
      <c r="E50" s="38"/>
      <c r="F50" s="38">
        <f>SUM('Quarterly I.S'!G50:I50)</f>
        <v>5016.6720000000005</v>
      </c>
      <c r="G50" s="38"/>
      <c r="H50" s="38">
        <f>SUM('Quarterly I.S'!K50:M50)</f>
        <v>7242.1570000000011</v>
      </c>
      <c r="I50" s="38"/>
      <c r="J50" s="38">
        <f>SUM('Quarterly I.S'!O50:Q50)</f>
        <v>7289.0439999999999</v>
      </c>
      <c r="K50" s="38"/>
      <c r="L50" s="38">
        <f>SUM('Quarterly I.S'!S50:U50)</f>
        <v>8741.530999999999</v>
      </c>
      <c r="M50" s="132">
        <f>L50/J50-1</f>
        <v>0.19926989053708533</v>
      </c>
      <c r="O50" s="38"/>
      <c r="P50" s="38">
        <f>SUM('Quarterly I.S'!AA50:AC50)</f>
        <v>0</v>
      </c>
      <c r="Q50" s="38"/>
      <c r="R50" s="38">
        <f>SUM('Quarterly I.S'!AE50:AG50)</f>
        <v>0</v>
      </c>
      <c r="S50" s="38"/>
      <c r="T50" s="38">
        <f>SUM('Quarterly I.S'!AI50:AK50)</f>
        <v>0</v>
      </c>
      <c r="U50" s="38"/>
      <c r="V50" s="38">
        <f>SUM('Quarterly I.S'!AM50:AO50)</f>
        <v>0</v>
      </c>
      <c r="W50" s="132" t="e">
        <f>V50/T50-1</f>
        <v>#DIV/0!</v>
      </c>
      <c r="Y50" s="38"/>
      <c r="Z50" s="38">
        <f>SUM('Quarterly I.S'!AU50:AW50)</f>
        <v>5016.6720000000005</v>
      </c>
      <c r="AA50" s="38"/>
      <c r="AB50" s="38">
        <f>SUM('Quarterly I.S'!AY50:BA50)</f>
        <v>7242.1570000000011</v>
      </c>
      <c r="AC50" s="38"/>
      <c r="AD50" s="38">
        <f>SUM('Quarterly I.S'!BC50:BE50)</f>
        <v>7289.0439999999999</v>
      </c>
      <c r="AE50" s="38"/>
      <c r="AF50" s="38">
        <f>SUM('Quarterly I.S'!BG50:BI50)</f>
        <v>8741.530999999999</v>
      </c>
      <c r="AH50" s="38"/>
      <c r="AI50" s="38">
        <f>SUM('Quarterly I.S'!BN50:BP50)</f>
        <v>0</v>
      </c>
      <c r="AJ50" s="38"/>
      <c r="AK50" s="38">
        <f>SUM('Quarterly I.S'!BR50:BT50)</f>
        <v>0</v>
      </c>
      <c r="AL50" s="38"/>
      <c r="AM50" s="38">
        <f>SUM('Quarterly I.S'!BV50:BX50)</f>
        <v>0</v>
      </c>
      <c r="AN50" s="38"/>
      <c r="AO50" s="38">
        <f>SUM('Quarterly I.S'!BZ50:CB50)</f>
        <v>0</v>
      </c>
      <c r="AQ50" s="38"/>
      <c r="AR50" s="38">
        <f>Z50+AI50</f>
        <v>5016.6720000000005</v>
      </c>
      <c r="AS50" s="38"/>
      <c r="AT50" s="38">
        <f>AB50+AK50</f>
        <v>7242.1570000000011</v>
      </c>
      <c r="AU50" s="38"/>
      <c r="AV50" s="38">
        <f>AD50+AM50</f>
        <v>7289.0439999999999</v>
      </c>
      <c r="AW50" s="38"/>
      <c r="AX50" s="38">
        <f>AF50+AO50</f>
        <v>8741.530999999999</v>
      </c>
      <c r="AY50" s="38"/>
      <c r="AZ50" s="132">
        <f>AX50/AV50-1</f>
        <v>0.19926989053708533</v>
      </c>
      <c r="BB50" s="38"/>
      <c r="BC50" s="38">
        <f>SUM('Quarterly I.S'!DA50:DC50)</f>
        <v>0</v>
      </c>
      <c r="BD50" s="38"/>
      <c r="BE50" s="38">
        <f>SUM('Quarterly I.S'!DE50:DG50)</f>
        <v>0</v>
      </c>
      <c r="BF50" s="38"/>
      <c r="BG50" s="38">
        <f>SUM('Quarterly I.S'!DI50:DK50)</f>
        <v>0</v>
      </c>
      <c r="BH50" s="38"/>
      <c r="BI50" s="38">
        <f>SUM('Quarterly I.S'!DM50:DO50)</f>
        <v>0</v>
      </c>
    </row>
    <row r="51" spans="3:61" x14ac:dyDescent="0.3">
      <c r="C51" s="36" t="s">
        <v>30</v>
      </c>
      <c r="E51" s="38"/>
      <c r="F51" s="38">
        <f>SUM('Quarterly I.S'!G51:I51)</f>
        <v>-952.2</v>
      </c>
      <c r="G51" s="38"/>
      <c r="H51" s="38">
        <f>SUM('Quarterly I.S'!K51:M51)</f>
        <v>-4335.8720000000003</v>
      </c>
      <c r="I51" s="38"/>
      <c r="J51" s="38">
        <f>SUM('Quarterly I.S'!O51:Q51)</f>
        <v>-12764.906000000001</v>
      </c>
      <c r="K51" s="38"/>
      <c r="L51" s="38">
        <f>SUM('Quarterly I.S'!S51:U51)</f>
        <v>-8778.9489999999987</v>
      </c>
      <c r="M51" s="132">
        <f>L51/J51-1</f>
        <v>-0.31225901702683923</v>
      </c>
      <c r="O51" s="38"/>
      <c r="P51" s="38">
        <f>SUM('Quarterly I.S'!AA51:AC51)</f>
        <v>0</v>
      </c>
      <c r="Q51" s="38"/>
      <c r="R51" s="38">
        <f>SUM('Quarterly I.S'!AE51:AG51)</f>
        <v>0</v>
      </c>
      <c r="S51" s="38"/>
      <c r="T51" s="38">
        <f>SUM('Quarterly I.S'!AI51:AK51)</f>
        <v>0</v>
      </c>
      <c r="U51" s="38"/>
      <c r="V51" s="38">
        <f>SUM('Quarterly I.S'!AM51:AO51)</f>
        <v>0</v>
      </c>
      <c r="W51" s="132" t="e">
        <f>V51/T51-1</f>
        <v>#DIV/0!</v>
      </c>
      <c r="Y51" s="38"/>
      <c r="Z51" s="38">
        <f>SUM('Quarterly I.S'!AU51:AW51)</f>
        <v>-952.2</v>
      </c>
      <c r="AA51" s="38"/>
      <c r="AB51" s="38">
        <f>SUM('Quarterly I.S'!AY51:BA51)</f>
        <v>-4335.8720000000003</v>
      </c>
      <c r="AC51" s="38"/>
      <c r="AD51" s="38">
        <f>SUM('Quarterly I.S'!BC51:BE51)</f>
        <v>-12764.906000000001</v>
      </c>
      <c r="AE51" s="38"/>
      <c r="AF51" s="38">
        <f>SUM('Quarterly I.S'!BG51:BI51)</f>
        <v>-8778.9489999999987</v>
      </c>
      <c r="AH51" s="38"/>
      <c r="AI51" s="38">
        <f>SUM('Quarterly I.S'!BN51:BP51)</f>
        <v>0</v>
      </c>
      <c r="AJ51" s="38"/>
      <c r="AK51" s="38">
        <f>SUM('Quarterly I.S'!BR51:BT51)</f>
        <v>0</v>
      </c>
      <c r="AL51" s="38"/>
      <c r="AM51" s="38">
        <f>SUM('Quarterly I.S'!BV51:BX51)</f>
        <v>0</v>
      </c>
      <c r="AN51" s="38"/>
      <c r="AO51" s="38">
        <f>SUM('Quarterly I.S'!BZ51:CB51)</f>
        <v>0</v>
      </c>
      <c r="AQ51" s="38"/>
      <c r="AR51" s="38">
        <f>Z51+AI51</f>
        <v>-952.2</v>
      </c>
      <c r="AS51" s="38"/>
      <c r="AT51" s="38">
        <f>AB51+AK51</f>
        <v>-4335.8720000000003</v>
      </c>
      <c r="AU51" s="38"/>
      <c r="AV51" s="38">
        <f>AD51+AM51</f>
        <v>-12764.906000000001</v>
      </c>
      <c r="AW51" s="38"/>
      <c r="AX51" s="38">
        <f>AF51+AO51</f>
        <v>-8778.9489999999987</v>
      </c>
      <c r="AY51" s="38"/>
      <c r="AZ51" s="132">
        <f>AX51/AV51-1</f>
        <v>-0.31225901702683923</v>
      </c>
      <c r="BB51" s="38"/>
      <c r="BC51" s="38">
        <f>SUM('Quarterly I.S'!DA51:DC51)</f>
        <v>0</v>
      </c>
      <c r="BD51" s="38"/>
      <c r="BE51" s="38">
        <f>SUM('Quarterly I.S'!DE51:DG51)</f>
        <v>0</v>
      </c>
      <c r="BF51" s="38"/>
      <c r="BG51" s="38">
        <f>SUM('Quarterly I.S'!DI51:DK51)</f>
        <v>0</v>
      </c>
      <c r="BH51" s="38"/>
      <c r="BI51" s="38">
        <f>SUM('Quarterly I.S'!DM51:DO51)</f>
        <v>0</v>
      </c>
    </row>
    <row r="52" spans="3:61" x14ac:dyDescent="0.3">
      <c r="C52" s="39" t="s">
        <v>71</v>
      </c>
      <c r="D52" s="109"/>
      <c r="E52" s="40"/>
      <c r="F52" s="40"/>
      <c r="G52" s="40"/>
      <c r="H52" s="40"/>
      <c r="I52" s="40"/>
      <c r="J52" s="40"/>
      <c r="K52" s="40"/>
      <c r="L52" s="40"/>
      <c r="M52" s="169"/>
      <c r="O52" s="40"/>
      <c r="P52" s="40"/>
      <c r="Q52" s="40"/>
      <c r="R52" s="40"/>
      <c r="S52" s="40"/>
      <c r="T52" s="40"/>
      <c r="U52" s="40"/>
      <c r="V52" s="40"/>
      <c r="W52" s="169"/>
      <c r="Y52" s="40"/>
      <c r="Z52" s="40">
        <f>-(Z50+Z51+Z72+Z73)/Z44</f>
        <v>0.16561704307180267</v>
      </c>
      <c r="AA52" s="40"/>
      <c r="AB52" s="40">
        <f>-(AB50+AB51+AB72+AB73)/AB44</f>
        <v>0.12723083156887488</v>
      </c>
      <c r="AC52" s="40"/>
      <c r="AD52" s="40">
        <f>-(AD50+AD51+AD72+AD73)/AD44</f>
        <v>0.1253279602018095</v>
      </c>
      <c r="AE52" s="40"/>
      <c r="AF52" s="40">
        <f>-(AF50+AF51+AF72+AF73)/AF44</f>
        <v>0.1041036817902254</v>
      </c>
      <c r="AH52" s="40"/>
      <c r="AI52" s="40"/>
      <c r="AJ52" s="40"/>
      <c r="AK52" s="40"/>
      <c r="AL52" s="40"/>
      <c r="AM52" s="40"/>
      <c r="AN52" s="40"/>
      <c r="AO52" s="40"/>
      <c r="AQ52" s="40"/>
      <c r="AR52" s="40"/>
      <c r="AS52" s="40"/>
      <c r="AT52" s="40"/>
      <c r="AU52" s="40"/>
      <c r="AV52" s="40"/>
      <c r="AW52" s="40"/>
      <c r="AX52" s="40"/>
      <c r="AY52" s="40"/>
      <c r="AZ52" s="169"/>
      <c r="BB52" s="40"/>
      <c r="BC52" s="40"/>
      <c r="BD52" s="40"/>
      <c r="BE52" s="40"/>
      <c r="BF52" s="40"/>
      <c r="BG52" s="40"/>
      <c r="BH52" s="40"/>
      <c r="BI52" s="40"/>
    </row>
    <row r="53" spans="3:61" x14ac:dyDescent="0.3">
      <c r="C53" s="43" t="s">
        <v>90</v>
      </c>
      <c r="D53" s="111"/>
      <c r="E53" s="44"/>
      <c r="F53" s="44">
        <f>F44+F46+F48+F50+F51</f>
        <v>47531.579000000005</v>
      </c>
      <c r="G53" s="44"/>
      <c r="H53" s="44">
        <f>H44+H46+H48+H50+H51</f>
        <v>82726.049999999988</v>
      </c>
      <c r="I53" s="44"/>
      <c r="J53" s="44">
        <f>J44+J46+J48+J50+J51</f>
        <v>122517.38000000011</v>
      </c>
      <c r="K53" s="44"/>
      <c r="L53" s="44">
        <f>L44+L46+L48+L50+L51</f>
        <v>143406.61000000028</v>
      </c>
      <c r="M53" s="170">
        <f>L53/J53-1</f>
        <v>0.17050013638881389</v>
      </c>
      <c r="O53" s="44"/>
      <c r="P53" s="44">
        <f>P44+P46+P48+P50+P51</f>
        <v>0</v>
      </c>
      <c r="Q53" s="44"/>
      <c r="R53" s="44">
        <f>R44+R46+R48+R50+R51</f>
        <v>0</v>
      </c>
      <c r="S53" s="44"/>
      <c r="T53" s="44">
        <f>T44+T46+T48+T50+T51</f>
        <v>0</v>
      </c>
      <c r="U53" s="44"/>
      <c r="V53" s="44">
        <f>V44+V46+V48+V50+V51</f>
        <v>0</v>
      </c>
      <c r="W53" s="170"/>
      <c r="X53" s="44"/>
      <c r="Y53" s="44"/>
      <c r="Z53" s="44">
        <f>Z44+Z46+Z48+Z50+Z51</f>
        <v>47531.579000000005</v>
      </c>
      <c r="AA53" s="44"/>
      <c r="AB53" s="44">
        <f>AB44+AB46+AB48+AB50+AB51</f>
        <v>82726.049999999988</v>
      </c>
      <c r="AC53" s="44"/>
      <c r="AD53" s="44">
        <f>AD44+AD46+AD48+AD50+AD51</f>
        <v>122517.38000000011</v>
      </c>
      <c r="AE53" s="44"/>
      <c r="AF53" s="44">
        <f>AF44+AF46+AF48+AF50+AF51</f>
        <v>143406.61000000028</v>
      </c>
      <c r="AG53" s="44"/>
      <c r="AH53" s="44"/>
      <c r="AI53" s="44">
        <f>AI44+AI46+AI48+AI50+AI51</f>
        <v>0</v>
      </c>
      <c r="AJ53" s="44"/>
      <c r="AK53" s="44">
        <f>AK44+AK46+AK48+AK50+AK51</f>
        <v>0</v>
      </c>
      <c r="AL53" s="44"/>
      <c r="AM53" s="44">
        <f>AM44+AM46+AM48+AM50+AM51</f>
        <v>0</v>
      </c>
      <c r="AN53" s="44"/>
      <c r="AO53" s="44">
        <f>AO44+AO46+AO48+AO50+AO51</f>
        <v>0</v>
      </c>
      <c r="AP53" s="44"/>
      <c r="AQ53" s="44"/>
      <c r="AR53" s="44">
        <f>AR44+AR46+AR48+AR50+AR51</f>
        <v>47531.579000000005</v>
      </c>
      <c r="AS53" s="44"/>
      <c r="AT53" s="44">
        <f>AT44+AT46+AT48+AT50+AT51</f>
        <v>82726.049999999988</v>
      </c>
      <c r="AU53" s="44"/>
      <c r="AV53" s="44">
        <f>AV44+AV46+AV48+AV50+AV51</f>
        <v>122517.38000000011</v>
      </c>
      <c r="AW53" s="44"/>
      <c r="AX53" s="44">
        <f>AX44+AX46+AX48+AX50+AX51</f>
        <v>143406.61000000028</v>
      </c>
      <c r="AY53" s="44"/>
      <c r="AZ53" s="170">
        <f>AX53/AV53-1</f>
        <v>0.17050013638881389</v>
      </c>
      <c r="BA53" s="146"/>
      <c r="BB53" s="44"/>
      <c r="BC53" s="44">
        <f>BC44+BC46+BC48+BC50+BC51</f>
        <v>0</v>
      </c>
      <c r="BD53" s="44"/>
      <c r="BE53" s="44">
        <f>BE44+BE46+BE48+BE50+BE51</f>
        <v>0</v>
      </c>
      <c r="BF53" s="44"/>
      <c r="BG53" s="44">
        <f>BG44+BG46+BG48+BG50+BG51</f>
        <v>0</v>
      </c>
      <c r="BH53" s="44"/>
      <c r="BI53" s="44">
        <f>BI44+BI46+BI48+BI50+BI51</f>
        <v>0</v>
      </c>
    </row>
    <row r="54" spans="3:61" x14ac:dyDescent="0.3">
      <c r="C54" s="39" t="s">
        <v>72</v>
      </c>
      <c r="D54" s="109"/>
      <c r="E54" s="40"/>
      <c r="F54" s="40"/>
      <c r="G54" s="40"/>
      <c r="H54" s="40"/>
      <c r="I54" s="40"/>
      <c r="J54" s="40"/>
      <c r="K54" s="40"/>
      <c r="L54" s="40"/>
      <c r="M54" s="169"/>
      <c r="O54" s="40"/>
      <c r="P54" s="40"/>
      <c r="Q54" s="40"/>
      <c r="R54" s="40"/>
      <c r="S54" s="40"/>
      <c r="T54" s="40"/>
      <c r="U54" s="40"/>
      <c r="V54" s="40"/>
      <c r="W54" s="169"/>
      <c r="Y54" s="40"/>
      <c r="Z54" s="40">
        <f>Z47+Z49+Z52</f>
        <v>0.9749086062109058</v>
      </c>
      <c r="AA54" s="40"/>
      <c r="AB54" s="40">
        <f>AB47+AB49+AB52</f>
        <v>0.93434916190251327</v>
      </c>
      <c r="AC54" s="40"/>
      <c r="AD54" s="40">
        <f>AD47+AD49+AD52</f>
        <v>0.92842959107819778</v>
      </c>
      <c r="AE54" s="40"/>
      <c r="AF54" s="40">
        <f>AF47+AF49+AF52</f>
        <v>0.96502444736116733</v>
      </c>
      <c r="AH54" s="40"/>
      <c r="AI54" s="40"/>
      <c r="AJ54" s="40"/>
      <c r="AK54" s="40"/>
      <c r="AL54" s="40"/>
      <c r="AM54" s="40"/>
      <c r="AN54" s="40"/>
      <c r="AO54" s="40"/>
      <c r="AQ54" s="40"/>
      <c r="AR54" s="40"/>
      <c r="AS54" s="40"/>
      <c r="AT54" s="40"/>
      <c r="AU54" s="40"/>
      <c r="AV54" s="40"/>
      <c r="AW54" s="40"/>
      <c r="AX54" s="40"/>
      <c r="AY54" s="40"/>
      <c r="AZ54" s="169"/>
      <c r="BB54" s="40"/>
      <c r="BC54" s="40"/>
      <c r="BD54" s="40"/>
      <c r="BE54" s="40"/>
      <c r="BF54" s="40"/>
      <c r="BG54" s="40"/>
      <c r="BH54" s="40"/>
      <c r="BI54" s="40"/>
    </row>
    <row r="55" spans="3:61" x14ac:dyDescent="0.3">
      <c r="C55" s="45"/>
      <c r="D55" s="112"/>
      <c r="E55" s="45"/>
      <c r="F55" s="45"/>
      <c r="G55" s="45"/>
      <c r="H55" s="45"/>
      <c r="I55" s="45"/>
      <c r="J55" s="45"/>
      <c r="K55" s="45"/>
      <c r="L55" s="45"/>
      <c r="M55" s="172"/>
      <c r="O55" s="45"/>
      <c r="P55" s="45"/>
      <c r="Q55" s="45"/>
      <c r="R55" s="45"/>
      <c r="S55" s="45"/>
      <c r="T55" s="45"/>
      <c r="U55" s="45"/>
      <c r="V55" s="45"/>
      <c r="W55" s="172"/>
      <c r="Y55" s="45"/>
      <c r="Z55" s="45"/>
      <c r="AA55" s="45"/>
      <c r="AB55" s="45"/>
      <c r="AC55" s="45"/>
      <c r="AD55" s="45"/>
      <c r="AE55" s="45"/>
      <c r="AF55" s="45"/>
      <c r="AH55" s="45"/>
      <c r="AI55" s="45"/>
      <c r="AJ55" s="45"/>
      <c r="AK55" s="45"/>
      <c r="AL55" s="45"/>
      <c r="AM55" s="45"/>
      <c r="AN55" s="45"/>
      <c r="AO55" s="45"/>
      <c r="AQ55" s="45"/>
      <c r="AR55" s="45"/>
      <c r="AS55" s="45"/>
      <c r="AT55" s="45"/>
      <c r="AU55" s="45"/>
      <c r="AV55" s="45"/>
      <c r="AW55" s="45"/>
      <c r="AX55" s="45"/>
      <c r="AY55" s="45"/>
      <c r="AZ55" s="172"/>
      <c r="BB55" s="45"/>
      <c r="BC55" s="45"/>
      <c r="BD55" s="45"/>
      <c r="BE55" s="45"/>
      <c r="BF55" s="45"/>
      <c r="BG55" s="45"/>
      <c r="BH55" s="45"/>
      <c r="BI55" s="45"/>
    </row>
    <row r="56" spans="3:61" x14ac:dyDescent="0.3">
      <c r="C56" s="46" t="s">
        <v>89</v>
      </c>
      <c r="D56" s="113"/>
      <c r="E56" s="47"/>
      <c r="F56" s="47">
        <f>SUM('Quarterly I.S'!G56:I56)</f>
        <v>32343.651809999999</v>
      </c>
      <c r="G56" s="47"/>
      <c r="H56" s="47">
        <f>SUM('Quarterly I.S'!K56:M56)</f>
        <v>46138.775310000005</v>
      </c>
      <c r="I56" s="47"/>
      <c r="J56" s="47">
        <f>SUM('Quarterly I.S'!O56:Q56)</f>
        <v>90780.803940000013</v>
      </c>
      <c r="K56" s="47"/>
      <c r="L56" s="47">
        <f>SUM('Quarterly I.S'!S56:U56)</f>
        <v>162203.0612</v>
      </c>
      <c r="M56" s="173">
        <f>L56/J56-1</f>
        <v>0.7867550645090704</v>
      </c>
      <c r="O56" s="47"/>
      <c r="P56" s="47">
        <f>SUM('Quarterly I.S'!AA56:AC56)</f>
        <v>0</v>
      </c>
      <c r="Q56" s="47"/>
      <c r="R56" s="47">
        <f>SUM('Quarterly I.S'!AE56:AG56)</f>
        <v>0</v>
      </c>
      <c r="S56" s="47"/>
      <c r="T56" s="47">
        <f>SUM('Quarterly I.S'!AI56:AK56)</f>
        <v>0</v>
      </c>
      <c r="U56" s="47"/>
      <c r="V56" s="47">
        <f>SUM('Quarterly I.S'!AM56:AO56)</f>
        <v>0</v>
      </c>
      <c r="W56" s="173" t="e">
        <f>V56/T56-1</f>
        <v>#DIV/0!</v>
      </c>
      <c r="Y56" s="47"/>
      <c r="Z56" s="47">
        <f>SUM('Quarterly I.S'!AU56:AW56)</f>
        <v>31020.356999999996</v>
      </c>
      <c r="AA56" s="47"/>
      <c r="AB56" s="47">
        <f>SUM('Quarterly I.S'!AY56:BA56)</f>
        <v>44989.165000000001</v>
      </c>
      <c r="AC56" s="47"/>
      <c r="AD56" s="47">
        <f>SUM('Quarterly I.S'!BC56:BE56)</f>
        <v>89761.985000000001</v>
      </c>
      <c r="AE56" s="47"/>
      <c r="AF56" s="47">
        <f>SUM('Quarterly I.S'!BG56:BI56)</f>
        <v>158435.84899999999</v>
      </c>
      <c r="AH56" s="47"/>
      <c r="AI56" s="47">
        <f>SUM('Quarterly I.S'!BN56:BP56)</f>
        <v>1323.2948100000001</v>
      </c>
      <c r="AJ56" s="47"/>
      <c r="AK56" s="47">
        <f>SUM('Quarterly I.S'!BR56:BT56)</f>
        <v>1149.61031</v>
      </c>
      <c r="AL56" s="47"/>
      <c r="AM56" s="47">
        <f>SUM('Quarterly I.S'!BV56:BX56)</f>
        <v>1018.81894</v>
      </c>
      <c r="AN56" s="47"/>
      <c r="AO56" s="47">
        <f>SUM('Quarterly I.S'!BZ56:CB56)</f>
        <v>3767.2121999999999</v>
      </c>
      <c r="AQ56" s="47"/>
      <c r="AR56" s="47">
        <f>Z56+AI56</f>
        <v>32343.651809999996</v>
      </c>
      <c r="AS56" s="47"/>
      <c r="AT56" s="47">
        <f>AB56+AK56</f>
        <v>46138.775309999997</v>
      </c>
      <c r="AU56" s="47"/>
      <c r="AV56" s="47">
        <f>AD56+AM56</f>
        <v>90780.803939999998</v>
      </c>
      <c r="AW56" s="47"/>
      <c r="AX56" s="47">
        <f>AF56+AO56</f>
        <v>162203.0612</v>
      </c>
      <c r="AY56" s="47"/>
      <c r="AZ56" s="173">
        <f>AX56/AV56-1</f>
        <v>0.78675506450907062</v>
      </c>
      <c r="BB56" s="47"/>
      <c r="BC56" s="47">
        <f>SUM('Quarterly I.S'!DA56:DC56)</f>
        <v>0</v>
      </c>
      <c r="BD56" s="47"/>
      <c r="BE56" s="47">
        <f>SUM('Quarterly I.S'!DE56:DG56)</f>
        <v>0</v>
      </c>
      <c r="BF56" s="47"/>
      <c r="BG56" s="47">
        <f>SUM('Quarterly I.S'!DI56:DK56)</f>
        <v>0</v>
      </c>
      <c r="BH56" s="47"/>
      <c r="BI56" s="47">
        <f>SUM('Quarterly I.S'!DM56:DO56)</f>
        <v>0</v>
      </c>
    </row>
    <row r="57" spans="3:61" x14ac:dyDescent="0.3">
      <c r="L57" s="132">
        <f>L56/L62</f>
        <v>0.44698244338745508</v>
      </c>
    </row>
    <row r="58" spans="3:61" x14ac:dyDescent="0.3">
      <c r="C58" s="36" t="s">
        <v>31</v>
      </c>
      <c r="D58" s="110">
        <v>16</v>
      </c>
      <c r="E58" s="38"/>
      <c r="F58" s="38">
        <f>SUM('Quarterly I.S'!G58:I58)</f>
        <v>29888.875479999995</v>
      </c>
      <c r="G58" s="38"/>
      <c r="H58" s="38">
        <f>SUM('Quarterly I.S'!K58:M58)</f>
        <v>31551.910130000004</v>
      </c>
      <c r="I58" s="38"/>
      <c r="J58" s="38">
        <f>SUM('Quarterly I.S'!O58:Q58)</f>
        <v>44390.397260000005</v>
      </c>
      <c r="K58" s="38"/>
      <c r="L58" s="38">
        <f>SUM('Quarterly I.S'!S58:U58)</f>
        <v>89261.003669999976</v>
      </c>
      <c r="M58" s="132">
        <f>L58/J58-1</f>
        <v>1.0108178610609704</v>
      </c>
      <c r="O58" s="38"/>
      <c r="P58" s="38">
        <f>SUM('Quarterly I.S'!AA58:AC58)</f>
        <v>0</v>
      </c>
      <c r="Q58" s="38"/>
      <c r="R58" s="38">
        <f>SUM('Quarterly I.S'!AE58:AG58)</f>
        <v>0</v>
      </c>
      <c r="S58" s="38"/>
      <c r="T58" s="38">
        <f>SUM('Quarterly I.S'!AI58:AK58)</f>
        <v>0</v>
      </c>
      <c r="U58" s="38"/>
      <c r="V58" s="38">
        <f>SUM('Quarterly I.S'!AM58:AO58)</f>
        <v>0</v>
      </c>
      <c r="W58" s="132" t="e">
        <f>V58/T58-1</f>
        <v>#DIV/0!</v>
      </c>
      <c r="Y58" s="38"/>
      <c r="Z58" s="38">
        <f>SUM('Quarterly I.S'!AU58:AW58)</f>
        <v>175.23700000000002</v>
      </c>
      <c r="AA58" s="38"/>
      <c r="AB58" s="38">
        <f>SUM('Quarterly I.S'!AY58:BA58)</f>
        <v>1059.0640000000001</v>
      </c>
      <c r="AC58" s="38"/>
      <c r="AD58" s="38">
        <f>SUM('Quarterly I.S'!BC58:BE58)</f>
        <v>1887.538</v>
      </c>
      <c r="AE58" s="38"/>
      <c r="AF58" s="38">
        <f>SUM('Quarterly I.S'!BG58:BI58)</f>
        <v>3521.3560000000002</v>
      </c>
      <c r="AH58" s="38"/>
      <c r="AI58" s="38">
        <f>SUM('Quarterly I.S'!BN58:BP58)</f>
        <v>29713.638479999998</v>
      </c>
      <c r="AJ58" s="38"/>
      <c r="AK58" s="38">
        <f>SUM('Quarterly I.S'!BR58:BT58)</f>
        <v>30492.846130000005</v>
      </c>
      <c r="AL58" s="38"/>
      <c r="AM58" s="38">
        <f>SUM('Quarterly I.S'!BV58:BX58)</f>
        <v>42502.859260000012</v>
      </c>
      <c r="AN58" s="38"/>
      <c r="AO58" s="38">
        <f>SUM('Quarterly I.S'!BZ58:CB58)</f>
        <v>85739.647669999991</v>
      </c>
      <c r="AQ58" s="38"/>
      <c r="AR58" s="38">
        <f>Z58+AI58</f>
        <v>29888.875479999999</v>
      </c>
      <c r="AS58" s="38"/>
      <c r="AT58" s="38">
        <f>AB58+AK58</f>
        <v>31551.910130000004</v>
      </c>
      <c r="AU58" s="38"/>
      <c r="AV58" s="38">
        <f>AD58+AM58</f>
        <v>44390.397260000012</v>
      </c>
      <c r="AW58" s="38"/>
      <c r="AX58" s="38">
        <f>AF58+AO58</f>
        <v>89261.003669999991</v>
      </c>
      <c r="AY58" s="38"/>
      <c r="AZ58" s="132">
        <f>AX58/AV58-1</f>
        <v>1.0108178610609704</v>
      </c>
      <c r="BB58" s="38"/>
      <c r="BC58" s="38">
        <f>SUM('Quarterly I.S'!DA58:DC58)</f>
        <v>0</v>
      </c>
      <c r="BD58" s="38"/>
      <c r="BE58" s="38">
        <f>SUM('Quarterly I.S'!DE58:DG58)</f>
        <v>0</v>
      </c>
      <c r="BF58" s="38"/>
      <c r="BG58" s="38">
        <f>SUM('Quarterly I.S'!DI58:DK58)</f>
        <v>0</v>
      </c>
      <c r="BH58" s="38"/>
      <c r="BI58" s="38">
        <f>SUM('Quarterly I.S'!DM58:DO58)</f>
        <v>0</v>
      </c>
    </row>
    <row r="59" spans="3:61" x14ac:dyDescent="0.3">
      <c r="C59" s="36" t="s">
        <v>32</v>
      </c>
      <c r="D59" s="110">
        <v>17</v>
      </c>
      <c r="E59" s="38"/>
      <c r="F59" s="38">
        <f>SUM('Quarterly I.S'!G59:I59)</f>
        <v>-1907.9560139999999</v>
      </c>
      <c r="G59" s="38"/>
      <c r="H59" s="38">
        <f>SUM('Quarterly I.S'!K59:M59)</f>
        <v>-6153.43055</v>
      </c>
      <c r="I59" s="38"/>
      <c r="J59" s="38">
        <f>SUM('Quarterly I.S'!O59:Q59)</f>
        <v>-19961.452686999997</v>
      </c>
      <c r="K59" s="38"/>
      <c r="L59" s="38">
        <f>SUM('Quarterly I.S'!S59:U59)</f>
        <v>-31986.03902</v>
      </c>
      <c r="M59" s="132">
        <f>L59/J59-1</f>
        <v>0.6023903431051929</v>
      </c>
      <c r="O59" s="38"/>
      <c r="P59" s="38">
        <f>SUM('Quarterly I.S'!AA59:AC59)</f>
        <v>0</v>
      </c>
      <c r="Q59" s="38"/>
      <c r="R59" s="38">
        <f>SUM('Quarterly I.S'!AE59:AG59)</f>
        <v>0</v>
      </c>
      <c r="S59" s="38"/>
      <c r="T59" s="38">
        <f>SUM('Quarterly I.S'!AI59:AK59)</f>
        <v>0</v>
      </c>
      <c r="U59" s="38"/>
      <c r="V59" s="38">
        <f>SUM('Quarterly I.S'!AM59:AO59)</f>
        <v>0</v>
      </c>
      <c r="W59" s="132" t="e">
        <f>V59/T59-1</f>
        <v>#DIV/0!</v>
      </c>
      <c r="Y59" s="38"/>
      <c r="Z59" s="38">
        <f>SUM('Quarterly I.S'!AU59:AW59)</f>
        <v>0</v>
      </c>
      <c r="AA59" s="38"/>
      <c r="AB59" s="38">
        <f>SUM('Quarterly I.S'!AY59:BA59)</f>
        <v>0</v>
      </c>
      <c r="AC59" s="38"/>
      <c r="AD59" s="38">
        <f>SUM('Quarterly I.S'!BC59:BE59)</f>
        <v>0</v>
      </c>
      <c r="AE59" s="38"/>
      <c r="AF59" s="38">
        <f>SUM('Quarterly I.S'!BG59:BI59)</f>
        <v>0</v>
      </c>
      <c r="AH59" s="38"/>
      <c r="AI59" s="38">
        <f>SUM('Quarterly I.S'!BN59:BP59)</f>
        <v>-1907.9560139999999</v>
      </c>
      <c r="AJ59" s="38"/>
      <c r="AK59" s="38">
        <f>SUM('Quarterly I.S'!BR59:BT59)</f>
        <v>-6153.43055</v>
      </c>
      <c r="AL59" s="38"/>
      <c r="AM59" s="38">
        <f>SUM('Quarterly I.S'!BV59:BX59)</f>
        <v>-19961.452686999997</v>
      </c>
      <c r="AN59" s="38"/>
      <c r="AO59" s="38">
        <f>SUM('Quarterly I.S'!BZ59:CB59)</f>
        <v>-31986.03902</v>
      </c>
      <c r="AQ59" s="38"/>
      <c r="AR59" s="38">
        <f>Z59+AI59</f>
        <v>-1907.9560139999999</v>
      </c>
      <c r="AS59" s="38"/>
      <c r="AT59" s="38">
        <f>AB59+AK59</f>
        <v>-6153.43055</v>
      </c>
      <c r="AU59" s="38"/>
      <c r="AV59" s="38">
        <f>AD59+AM59</f>
        <v>-19961.452686999997</v>
      </c>
      <c r="AW59" s="38"/>
      <c r="AX59" s="38">
        <f>AF59+AO59</f>
        <v>-31986.03902</v>
      </c>
      <c r="AY59" s="38"/>
      <c r="AZ59" s="132">
        <f>AX59/AV59-1</f>
        <v>0.6023903431051929</v>
      </c>
      <c r="BB59" s="38"/>
      <c r="BC59" s="38">
        <f>SUM('Quarterly I.S'!DA59:DC59)</f>
        <v>0</v>
      </c>
      <c r="BD59" s="38"/>
      <c r="BE59" s="38">
        <f>SUM('Quarterly I.S'!DE59:DG59)</f>
        <v>0</v>
      </c>
      <c r="BF59" s="38"/>
      <c r="BG59" s="38">
        <f>SUM('Quarterly I.S'!DI59:DK59)</f>
        <v>0</v>
      </c>
      <c r="BH59" s="38"/>
      <c r="BI59" s="38">
        <f>SUM('Quarterly I.S'!DM59:DO59)</f>
        <v>0</v>
      </c>
    </row>
    <row r="60" spans="3:61" x14ac:dyDescent="0.3">
      <c r="C60" s="56" t="s">
        <v>33</v>
      </c>
      <c r="D60" s="116"/>
      <c r="E60" s="57"/>
      <c r="F60" s="57">
        <f>SUM(F58:F59)</f>
        <v>27980.919465999996</v>
      </c>
      <c r="G60" s="57"/>
      <c r="H60" s="57">
        <f>SUM(H58:H59)</f>
        <v>25398.479580000003</v>
      </c>
      <c r="I60" s="57"/>
      <c r="J60" s="57">
        <f>SUM(J58:J59)</f>
        <v>24428.944573000008</v>
      </c>
      <c r="K60" s="57"/>
      <c r="L60" s="57">
        <f>SUM(L58:L59)</f>
        <v>57274.96464999998</v>
      </c>
      <c r="M60" s="176">
        <f>L60/J60-1</f>
        <v>1.3445533833378502</v>
      </c>
      <c r="O60" s="57"/>
      <c r="P60" s="57">
        <f>SUM(P58:P59)</f>
        <v>0</v>
      </c>
      <c r="Q60" s="57"/>
      <c r="R60" s="57">
        <f>SUM(R58:R59)</f>
        <v>0</v>
      </c>
      <c r="S60" s="57"/>
      <c r="T60" s="57">
        <f>SUM(T58:T59)</f>
        <v>0</v>
      </c>
      <c r="U60" s="57"/>
      <c r="V60" s="57">
        <f>SUM(V58:V59)</f>
        <v>0</v>
      </c>
      <c r="W60" s="176"/>
      <c r="X60" s="57"/>
      <c r="Y60" s="57"/>
      <c r="Z60" s="57">
        <f>SUM(Z58:Z59)</f>
        <v>175.23700000000002</v>
      </c>
      <c r="AA60" s="57"/>
      <c r="AB60" s="57">
        <f>SUM(AB58:AB59)</f>
        <v>1059.0640000000001</v>
      </c>
      <c r="AC60" s="57"/>
      <c r="AD60" s="57">
        <f>SUM(AD58:AD59)</f>
        <v>1887.538</v>
      </c>
      <c r="AE60" s="57"/>
      <c r="AF60" s="57">
        <f>SUM(AF58:AF59)</f>
        <v>3521.3560000000002</v>
      </c>
      <c r="AG60" s="57"/>
      <c r="AH60" s="57"/>
      <c r="AI60" s="57">
        <f>SUM(AI58:AI59)</f>
        <v>27805.682465999998</v>
      </c>
      <c r="AJ60" s="57"/>
      <c r="AK60" s="57">
        <f>SUM(AK58:AK59)</f>
        <v>24339.415580000004</v>
      </c>
      <c r="AL60" s="57"/>
      <c r="AM60" s="57">
        <f>SUM(AM58:AM59)</f>
        <v>22541.406573000015</v>
      </c>
      <c r="AN60" s="57"/>
      <c r="AO60" s="57">
        <f>SUM(AO58:AO59)</f>
        <v>53753.608649999995</v>
      </c>
      <c r="AP60" s="57"/>
      <c r="AQ60" s="57"/>
      <c r="AR60" s="57">
        <f>SUM(AR58:AR59)</f>
        <v>27980.919465999999</v>
      </c>
      <c r="AS60" s="57"/>
      <c r="AT60" s="57">
        <f>SUM(AT58:AT59)</f>
        <v>25398.479580000003</v>
      </c>
      <c r="AU60" s="57"/>
      <c r="AV60" s="57">
        <f>SUM(AV58:AV59)</f>
        <v>24428.944573000015</v>
      </c>
      <c r="AW60" s="57"/>
      <c r="AX60" s="57">
        <f>SUM(AX58:AX59)</f>
        <v>57274.964649999994</v>
      </c>
      <c r="AY60" s="57"/>
      <c r="AZ60" s="176">
        <f>AX60/AV60-1</f>
        <v>1.3445533833378498</v>
      </c>
      <c r="BA60" s="57"/>
      <c r="BB60" s="57"/>
      <c r="BC60" s="57">
        <f>SUM(BC58:BC59)</f>
        <v>0</v>
      </c>
      <c r="BD60" s="57"/>
      <c r="BE60" s="57">
        <f>SUM(BE58:BE59)</f>
        <v>0</v>
      </c>
      <c r="BF60" s="57"/>
      <c r="BG60" s="57">
        <f>SUM(BG58:BG59)</f>
        <v>0</v>
      </c>
      <c r="BH60" s="57"/>
      <c r="BI60" s="57">
        <f>SUM(BI58:BI59)</f>
        <v>0</v>
      </c>
    </row>
    <row r="61" spans="3:61" x14ac:dyDescent="0.3">
      <c r="C61" s="39" t="s">
        <v>64</v>
      </c>
      <c r="D61" s="109"/>
      <c r="E61" s="40"/>
      <c r="F61" s="40"/>
      <c r="G61" s="40"/>
      <c r="H61" s="40"/>
      <c r="I61" s="40"/>
      <c r="J61" s="40"/>
      <c r="K61" s="40"/>
      <c r="L61" s="40"/>
      <c r="M61" s="169"/>
      <c r="O61" s="40"/>
      <c r="P61" s="40"/>
      <c r="Q61" s="40"/>
      <c r="R61" s="40"/>
      <c r="S61" s="40"/>
      <c r="T61" s="40"/>
      <c r="U61" s="40"/>
      <c r="V61" s="40"/>
      <c r="W61" s="169"/>
      <c r="Y61" s="40"/>
      <c r="Z61" s="40"/>
      <c r="AA61" s="40"/>
      <c r="AB61" s="40"/>
      <c r="AC61" s="40"/>
      <c r="AD61" s="40"/>
      <c r="AE61" s="40"/>
      <c r="AF61" s="40"/>
      <c r="AH61" s="40"/>
      <c r="AI61" s="40">
        <f>AI60/AI183</f>
        <v>0.2225011411191665</v>
      </c>
      <c r="AJ61" s="40"/>
      <c r="AK61" s="40">
        <f>AK60/AK183</f>
        <v>0.15613027030282678</v>
      </c>
      <c r="AL61" s="40"/>
      <c r="AM61" s="40">
        <f>AM60/AM183</f>
        <v>8.1025804917500943E-2</v>
      </c>
      <c r="AN61" s="40"/>
      <c r="AO61" s="40">
        <f>AO60/AO183</f>
        <v>0.13930912056769482</v>
      </c>
      <c r="AQ61" s="40"/>
      <c r="AR61" s="40"/>
      <c r="AS61" s="40"/>
      <c r="AT61" s="40"/>
      <c r="AU61" s="40"/>
      <c r="AV61" s="40"/>
      <c r="AW61" s="40"/>
      <c r="AX61" s="40"/>
      <c r="AY61" s="40"/>
      <c r="AZ61" s="169"/>
      <c r="BB61" s="40"/>
      <c r="BC61" s="40"/>
      <c r="BD61" s="40"/>
      <c r="BE61" s="40"/>
      <c r="BF61" s="40"/>
      <c r="BG61" s="40"/>
      <c r="BH61" s="40"/>
      <c r="BI61" s="40"/>
    </row>
    <row r="62" spans="3:61" ht="13.5" thickBot="1" x14ac:dyDescent="0.35">
      <c r="C62" s="50" t="s">
        <v>34</v>
      </c>
      <c r="D62" s="114"/>
      <c r="E62" s="51"/>
      <c r="F62" s="51">
        <f>F53+F56+F60</f>
        <v>107856.150276</v>
      </c>
      <c r="G62" s="51"/>
      <c r="H62" s="51">
        <f>H53+H56+H60</f>
        <v>154263.30489</v>
      </c>
      <c r="I62" s="51"/>
      <c r="J62" s="51">
        <f>J53+J56+J60</f>
        <v>237727.12851300015</v>
      </c>
      <c r="K62" s="51"/>
      <c r="L62" s="51">
        <f>L53+L56+L60</f>
        <v>362884.63585000025</v>
      </c>
      <c r="M62" s="174">
        <f>L62/J62-1</f>
        <v>0.52647549364630408</v>
      </c>
      <c r="O62" s="51"/>
      <c r="P62" s="51">
        <f>P53+P56+P60</f>
        <v>0</v>
      </c>
      <c r="Q62" s="51"/>
      <c r="R62" s="51">
        <f>R53+R56+R60</f>
        <v>0</v>
      </c>
      <c r="S62" s="51"/>
      <c r="T62" s="51">
        <f>T53+T56+T60</f>
        <v>0</v>
      </c>
      <c r="U62" s="51"/>
      <c r="V62" s="51">
        <f>V53+V56+V60</f>
        <v>0</v>
      </c>
      <c r="W62" s="174"/>
      <c r="X62" s="52"/>
      <c r="Y62" s="51"/>
      <c r="Z62" s="51">
        <f>Z53+Z56+Z60</f>
        <v>78727.172999999995</v>
      </c>
      <c r="AA62" s="51"/>
      <c r="AB62" s="51">
        <f>AB53+AB56+AB60</f>
        <v>128774.27899999999</v>
      </c>
      <c r="AC62" s="51"/>
      <c r="AD62" s="51">
        <f>AD53+AD56+AD60</f>
        <v>214166.90300000011</v>
      </c>
      <c r="AE62" s="51"/>
      <c r="AF62" s="51">
        <f>AF53+AF56+AF60</f>
        <v>305363.81500000029</v>
      </c>
      <c r="AG62" s="52"/>
      <c r="AH62" s="51"/>
      <c r="AI62" s="51">
        <f>AI53+AI56+AI60</f>
        <v>29128.977275999998</v>
      </c>
      <c r="AJ62" s="51"/>
      <c r="AK62" s="51">
        <f>AK53+AK56+AK60</f>
        <v>25489.025890000004</v>
      </c>
      <c r="AL62" s="51"/>
      <c r="AM62" s="51">
        <f>AM53+AM56+AM60</f>
        <v>23560.225513000016</v>
      </c>
      <c r="AN62" s="51"/>
      <c r="AO62" s="51">
        <f>AO53+AO56+AO60</f>
        <v>57520.820849999996</v>
      </c>
      <c r="AP62" s="52"/>
      <c r="AQ62" s="51"/>
      <c r="AR62" s="51">
        <f>AR53+AR56+AR60</f>
        <v>107856.150276</v>
      </c>
      <c r="AS62" s="51"/>
      <c r="AT62" s="51">
        <f>AT53+AT56+AT60</f>
        <v>154263.30489</v>
      </c>
      <c r="AU62" s="51"/>
      <c r="AV62" s="51">
        <f>AV53+AV56+AV60</f>
        <v>237727.12851300012</v>
      </c>
      <c r="AW62" s="51"/>
      <c r="AX62" s="51">
        <f>AX53+AX56+AX60</f>
        <v>362884.63585000025</v>
      </c>
      <c r="AY62" s="51"/>
      <c r="AZ62" s="174">
        <f>AX62/AV62-1</f>
        <v>0.52647549364630408</v>
      </c>
      <c r="BA62" s="144"/>
      <c r="BB62" s="51"/>
      <c r="BC62" s="51">
        <f>BC53+BC56+BC60</f>
        <v>0</v>
      </c>
      <c r="BD62" s="51"/>
      <c r="BE62" s="51">
        <f>BE53+BE56+BE60</f>
        <v>0</v>
      </c>
      <c r="BF62" s="51"/>
      <c r="BG62" s="51">
        <f>BG53+BG56+BG60</f>
        <v>0</v>
      </c>
      <c r="BH62" s="51"/>
      <c r="BI62" s="51">
        <f>BI53+BI56+BI60</f>
        <v>0</v>
      </c>
    </row>
    <row r="63" spans="3:61" ht="13.5" thickTop="1" x14ac:dyDescent="0.3">
      <c r="C63" s="39" t="s">
        <v>79</v>
      </c>
      <c r="D63" s="109"/>
      <c r="E63" s="41"/>
      <c r="F63" s="41">
        <f>(F41+F50+F56+F58)/1000</f>
        <v>443.44594129000001</v>
      </c>
      <c r="G63" s="41"/>
      <c r="H63" s="41">
        <f>(H41+H50+H56+H58)/1000</f>
        <v>808.53407744000003</v>
      </c>
      <c r="I63" s="41"/>
      <c r="J63" s="41">
        <f>(J41+J50+J56+J58)/1000</f>
        <v>1311.2326892000001</v>
      </c>
      <c r="K63" s="41"/>
      <c r="L63" s="41">
        <f>(L41+L50+L56+L58)/1000</f>
        <v>2016.78450587</v>
      </c>
      <c r="M63" s="169"/>
      <c r="O63" s="41"/>
      <c r="P63" s="41"/>
      <c r="Q63" s="41"/>
      <c r="R63" s="41"/>
      <c r="S63" s="41"/>
      <c r="T63" s="41"/>
      <c r="U63" s="41"/>
      <c r="V63" s="41"/>
      <c r="W63" s="169"/>
      <c r="Y63" s="41"/>
      <c r="Z63" s="41">
        <f>(Z41+Z50+Z56+Z58)/1000</f>
        <v>412.40900800000003</v>
      </c>
      <c r="AA63" s="41"/>
      <c r="AB63" s="41">
        <f>(AB41+AB50+AB56+AB58)/1000</f>
        <v>776.89162099999999</v>
      </c>
      <c r="AC63" s="41"/>
      <c r="AD63" s="41">
        <f>(AD41+AD50+AD56+AD58)/1000</f>
        <v>1267.7110110000001</v>
      </c>
      <c r="AE63" s="41"/>
      <c r="AF63" s="41">
        <f>(AF41+AF50+AF56+AF58)/1000</f>
        <v>1927.277646</v>
      </c>
      <c r="AH63" s="41"/>
      <c r="AI63" s="41">
        <f>(AI41+AI50+AI56+AI58)/1000</f>
        <v>31.036933289999997</v>
      </c>
      <c r="AJ63" s="41"/>
      <c r="AK63" s="41">
        <f>(AK41+AK50+AK56+AK58)/1000</f>
        <v>31.642456440000004</v>
      </c>
      <c r="AL63" s="41"/>
      <c r="AM63" s="41">
        <f>(AM41+AM50+AM56+AM58)/1000</f>
        <v>43.521678200000011</v>
      </c>
      <c r="AN63" s="41"/>
      <c r="AO63" s="41">
        <f>(AO41+AO50+AO56+AO58)/1000</f>
        <v>89.506859869999985</v>
      </c>
      <c r="AQ63" s="41"/>
      <c r="AR63" s="41">
        <f>(AR41+AR50+AR56+AR58)/1000</f>
        <v>443.44594129000001</v>
      </c>
      <c r="AS63" s="41"/>
      <c r="AT63" s="41">
        <f>(AT41+AT50+AT56+AT58)/1000</f>
        <v>808.53407743999992</v>
      </c>
      <c r="AU63" s="41"/>
      <c r="AV63" s="41">
        <f>(AV41+AV50+AV56+AV58)/1000</f>
        <v>1311.2326892000001</v>
      </c>
      <c r="AW63" s="41"/>
      <c r="AX63" s="41">
        <f>(AX41+AX50+AX56+AX58)/1000</f>
        <v>2016.78450587</v>
      </c>
      <c r="AY63" s="41"/>
      <c r="AZ63" s="169"/>
      <c r="BB63" s="41"/>
      <c r="BC63" s="41">
        <f>(BC41+BC50+BC56+BC58)/1000</f>
        <v>0</v>
      </c>
      <c r="BD63" s="41"/>
      <c r="BE63" s="41">
        <f>(BE41+BE50+BE56+BE58)/1000</f>
        <v>0</v>
      </c>
      <c r="BF63" s="41"/>
      <c r="BG63" s="41">
        <f>(BG41+BG50+BG56+BG58)/1000</f>
        <v>0</v>
      </c>
      <c r="BH63" s="41"/>
      <c r="BI63" s="41">
        <f>(BI41+BI50+BI56+BI58)/1000</f>
        <v>0</v>
      </c>
    </row>
    <row r="65" spans="3:61" x14ac:dyDescent="0.3">
      <c r="C65" s="36" t="s">
        <v>35</v>
      </c>
      <c r="D65" s="110">
        <v>18</v>
      </c>
      <c r="E65" s="38"/>
      <c r="F65" s="38">
        <f>SUM('Quarterly I.S'!G65:I65)</f>
        <v>11597.881649999999</v>
      </c>
      <c r="G65" s="38"/>
      <c r="H65" s="38">
        <f>SUM('Quarterly I.S'!K65:M65)</f>
        <v>16898.010459999998</v>
      </c>
      <c r="I65" s="38"/>
      <c r="J65" s="38">
        <f>SUM('Quarterly I.S'!O65:Q65)</f>
        <v>26524.260500000004</v>
      </c>
      <c r="K65" s="38"/>
      <c r="L65" s="38">
        <f>SUM('Quarterly I.S'!S65:U65)</f>
        <v>32638.090510000002</v>
      </c>
      <c r="M65" s="132">
        <f>L65/J65-1</f>
        <v>0.23049954625502167</v>
      </c>
      <c r="O65" s="38"/>
      <c r="P65" s="38">
        <f>SUM('Quarterly I.S'!AA65:AC65)</f>
        <v>10167.676650000001</v>
      </c>
      <c r="Q65" s="38"/>
      <c r="R65" s="38">
        <f>SUM('Quarterly I.S'!AE65:AG65)</f>
        <v>12286.114549999998</v>
      </c>
      <c r="S65" s="38"/>
      <c r="T65" s="38">
        <f>SUM('Quarterly I.S'!AI65:AK65)</f>
        <v>19683.279560000003</v>
      </c>
      <c r="U65" s="38"/>
      <c r="V65" s="38">
        <f>SUM('Quarterly I.S'!AM65:AO65)</f>
        <v>17527.704160000001</v>
      </c>
      <c r="W65" s="132">
        <f>V65/T65-1</f>
        <v>-0.1095130206035646</v>
      </c>
      <c r="Y65" s="38"/>
      <c r="Z65" s="38">
        <f>SUM('Quarterly I.S'!AU65:AW65)</f>
        <v>1430.2049999999999</v>
      </c>
      <c r="AA65" s="38"/>
      <c r="AB65" s="38">
        <f>SUM('Quarterly I.S'!AY65:BA65)</f>
        <v>2075.3009999999999</v>
      </c>
      <c r="AC65" s="38"/>
      <c r="AD65" s="38">
        <f>SUM('Quarterly I.S'!BC65:BE65)</f>
        <v>1492.0390000000002</v>
      </c>
      <c r="AE65" s="38"/>
      <c r="AF65" s="38">
        <f>SUM('Quarterly I.S'!BG65:BI65)</f>
        <v>1145.0320000000002</v>
      </c>
      <c r="AH65" s="38"/>
      <c r="AI65" s="38">
        <f>SUM('Quarterly I.S'!BN65:BP65)</f>
        <v>0</v>
      </c>
      <c r="AJ65" s="38"/>
      <c r="AK65" s="38">
        <f>SUM('Quarterly I.S'!BR65:BT65)</f>
        <v>0</v>
      </c>
      <c r="AL65" s="38"/>
      <c r="AM65" s="38">
        <f>SUM('Quarterly I.S'!BV65:BX65)</f>
        <v>0</v>
      </c>
      <c r="AN65" s="38"/>
      <c r="AO65" s="38">
        <f>SUM('Quarterly I.S'!BZ65:CB65)</f>
        <v>0</v>
      </c>
      <c r="AQ65" s="38"/>
      <c r="AR65" s="38">
        <f>Z65+AI65</f>
        <v>1430.2049999999999</v>
      </c>
      <c r="AS65" s="38"/>
      <c r="AT65" s="38">
        <f>AB65+AK65</f>
        <v>2075.3009999999999</v>
      </c>
      <c r="AU65" s="38"/>
      <c r="AV65" s="38">
        <f>AD65+AM65</f>
        <v>1492.0390000000002</v>
      </c>
      <c r="AW65" s="38"/>
      <c r="AX65" s="38">
        <f>AF65+AO65</f>
        <v>1145.0320000000002</v>
      </c>
      <c r="AY65" s="38"/>
      <c r="AZ65" s="132">
        <f>AX65/AV65-1</f>
        <v>-0.23257233892679752</v>
      </c>
      <c r="BB65" s="38"/>
      <c r="BC65" s="38">
        <f>SUM('Quarterly I.S'!DA65:DC65)</f>
        <v>0</v>
      </c>
      <c r="BD65" s="38"/>
      <c r="BE65" s="38">
        <f>SUM('Quarterly I.S'!DE65:DG65)</f>
        <v>2536.5949100000003</v>
      </c>
      <c r="BF65" s="38"/>
      <c r="BG65" s="38">
        <f>SUM('Quarterly I.S'!DI65:DK65)</f>
        <v>5348.9419399999988</v>
      </c>
      <c r="BH65" s="38"/>
      <c r="BI65" s="38">
        <f>SUM('Quarterly I.S'!DM65:DO65)</f>
        <v>13965.354350000001</v>
      </c>
    </row>
    <row r="66" spans="3:61" x14ac:dyDescent="0.3">
      <c r="C66" s="36" t="s">
        <v>36</v>
      </c>
      <c r="D66" s="110">
        <v>19</v>
      </c>
      <c r="E66" s="38"/>
      <c r="F66" s="38">
        <f>SUM('Quarterly I.S'!G66:I66)</f>
        <v>-8727.5387099999971</v>
      </c>
      <c r="G66" s="38"/>
      <c r="H66" s="38">
        <f>SUM('Quarterly I.S'!K66:M66)</f>
        <v>-17785.131659999999</v>
      </c>
      <c r="I66" s="38"/>
      <c r="J66" s="38">
        <f>SUM('Quarterly I.S'!O66:Q66)</f>
        <v>-26587.326500000003</v>
      </c>
      <c r="K66" s="38"/>
      <c r="L66" s="38">
        <f>SUM('Quarterly I.S'!S66:U66)</f>
        <v>-34029.842720000001</v>
      </c>
      <c r="M66" s="132">
        <f>L66/J66-1</f>
        <v>0.2799272134413362</v>
      </c>
      <c r="O66" s="38"/>
      <c r="P66" s="38">
        <f>SUM('Quarterly I.S'!AA66:AC66)</f>
        <v>-8727.5387099999971</v>
      </c>
      <c r="Q66" s="38"/>
      <c r="R66" s="38">
        <f>SUM('Quarterly I.S'!AE66:AG66)</f>
        <v>-16574.202669999999</v>
      </c>
      <c r="S66" s="38"/>
      <c r="T66" s="38">
        <f>SUM('Quarterly I.S'!AI66:AK66)</f>
        <v>-23682.53703</v>
      </c>
      <c r="U66" s="38"/>
      <c r="V66" s="38">
        <f>SUM('Quarterly I.S'!AM66:AO66)</f>
        <v>-29583.902370000003</v>
      </c>
      <c r="W66" s="132">
        <f>V66/T66-1</f>
        <v>0.24918636599298516</v>
      </c>
      <c r="Y66" s="38"/>
      <c r="Z66" s="38">
        <f>SUM('Quarterly I.S'!AU66:AW66)</f>
        <v>0</v>
      </c>
      <c r="AA66" s="38"/>
      <c r="AB66" s="38">
        <f>SUM('Quarterly I.S'!AY66:BA66)</f>
        <v>0</v>
      </c>
      <c r="AC66" s="38"/>
      <c r="AD66" s="38">
        <f>SUM('Quarterly I.S'!BC66:BE66)</f>
        <v>0</v>
      </c>
      <c r="AE66" s="38"/>
      <c r="AF66" s="38">
        <f>SUM('Quarterly I.S'!BG66:BI66)</f>
        <v>0</v>
      </c>
      <c r="AH66" s="38"/>
      <c r="AI66" s="38">
        <f>SUM('Quarterly I.S'!BN66:BP66)</f>
        <v>0</v>
      </c>
      <c r="AJ66" s="38"/>
      <c r="AK66" s="38">
        <f>SUM('Quarterly I.S'!BR66:BT66)</f>
        <v>0</v>
      </c>
      <c r="AL66" s="38"/>
      <c r="AM66" s="38">
        <f>SUM('Quarterly I.S'!BV66:BX66)</f>
        <v>0</v>
      </c>
      <c r="AN66" s="38"/>
      <c r="AO66" s="38">
        <f>SUM('Quarterly I.S'!BZ66:CB66)</f>
        <v>0</v>
      </c>
      <c r="AQ66" s="38"/>
      <c r="AR66" s="38">
        <f>Z66+AI66</f>
        <v>0</v>
      </c>
      <c r="AS66" s="38"/>
      <c r="AT66" s="38">
        <f>AB66+AK66</f>
        <v>0</v>
      </c>
      <c r="AU66" s="38"/>
      <c r="AV66" s="38">
        <f>AD66+AM66</f>
        <v>0</v>
      </c>
      <c r="AW66" s="38"/>
      <c r="AX66" s="38">
        <f>AF66+AO66</f>
        <v>0</v>
      </c>
      <c r="AY66" s="38"/>
      <c r="AZ66" s="132" t="e">
        <f>AX66/AV66-1</f>
        <v>#DIV/0!</v>
      </c>
      <c r="BB66" s="38"/>
      <c r="BC66" s="38">
        <f>SUM('Quarterly I.S'!DA66:DC66)</f>
        <v>0</v>
      </c>
      <c r="BD66" s="38"/>
      <c r="BE66" s="38">
        <f>SUM('Quarterly I.S'!DE66:DG66)</f>
        <v>-1210.9289900000003</v>
      </c>
      <c r="BF66" s="38"/>
      <c r="BG66" s="38">
        <f>SUM('Quarterly I.S'!DI66:DK66)</f>
        <v>-2904.7894699999997</v>
      </c>
      <c r="BH66" s="38"/>
      <c r="BI66" s="38">
        <f>SUM('Quarterly I.S'!DM66:DO66)</f>
        <v>-4445.9403500000008</v>
      </c>
    </row>
    <row r="67" spans="3:61" ht="13.5" thickBot="1" x14ac:dyDescent="0.35">
      <c r="C67" s="50" t="s">
        <v>37</v>
      </c>
      <c r="D67" s="114"/>
      <c r="E67" s="58"/>
      <c r="F67" s="58">
        <f>SUM(F65:F66)</f>
        <v>2870.3429400000023</v>
      </c>
      <c r="G67" s="58"/>
      <c r="H67" s="58">
        <f>SUM(H65:H66)</f>
        <v>-887.12120000000141</v>
      </c>
      <c r="I67" s="58"/>
      <c r="J67" s="58">
        <f>SUM(J65:J66)</f>
        <v>-63.065999999998894</v>
      </c>
      <c r="K67" s="58"/>
      <c r="L67" s="58">
        <f>SUM(L65:L66)</f>
        <v>-1391.7522099999987</v>
      </c>
      <c r="M67" s="174">
        <f>L67/J67-1</f>
        <v>21.068185868772765</v>
      </c>
      <c r="O67" s="58"/>
      <c r="P67" s="58">
        <f>SUM(P65:P66)</f>
        <v>1440.1379400000042</v>
      </c>
      <c r="Q67" s="58"/>
      <c r="R67" s="58">
        <f>SUM(R65:R66)</f>
        <v>-4288.0881200000003</v>
      </c>
      <c r="S67" s="58"/>
      <c r="T67" s="58">
        <f>SUM(T65:T66)</f>
        <v>-3999.2574699999968</v>
      </c>
      <c r="U67" s="58"/>
      <c r="V67" s="58">
        <f>SUM(V65:V66)</f>
        <v>-12056.198210000002</v>
      </c>
      <c r="W67" s="174">
        <f>V67/T67-1</f>
        <v>2.014609161935256</v>
      </c>
      <c r="X67" s="58"/>
      <c r="Y67" s="58"/>
      <c r="Z67" s="58">
        <f>SUM(Z65:Z66)</f>
        <v>1430.2049999999999</v>
      </c>
      <c r="AA67" s="58"/>
      <c r="AB67" s="58">
        <f>SUM(AB65:AB66)</f>
        <v>2075.3009999999999</v>
      </c>
      <c r="AC67" s="58"/>
      <c r="AD67" s="58">
        <f>SUM(AD65:AD66)</f>
        <v>1492.0390000000002</v>
      </c>
      <c r="AE67" s="58"/>
      <c r="AF67" s="58">
        <f>SUM(AF65:AF66)</f>
        <v>1145.0320000000002</v>
      </c>
      <c r="AG67" s="58"/>
      <c r="AH67" s="58"/>
      <c r="AI67" s="58">
        <f>SUM(AI65:AI66)</f>
        <v>0</v>
      </c>
      <c r="AJ67" s="58"/>
      <c r="AK67" s="58">
        <f>SUM(AK65:AK66)</f>
        <v>0</v>
      </c>
      <c r="AL67" s="58"/>
      <c r="AM67" s="58">
        <f>SUM(AM65:AM66)</f>
        <v>0</v>
      </c>
      <c r="AN67" s="58"/>
      <c r="AO67" s="58">
        <f>SUM(AO65:AO66)</f>
        <v>0</v>
      </c>
      <c r="AP67" s="58"/>
      <c r="AQ67" s="58"/>
      <c r="AR67" s="58">
        <f>SUM(AR65:AR66)</f>
        <v>1430.2049999999999</v>
      </c>
      <c r="AS67" s="58"/>
      <c r="AT67" s="58">
        <f>SUM(AT65:AT66)</f>
        <v>2075.3009999999999</v>
      </c>
      <c r="AU67" s="58"/>
      <c r="AV67" s="58">
        <f>SUM(AV65:AV66)</f>
        <v>1492.0390000000002</v>
      </c>
      <c r="AW67" s="58"/>
      <c r="AX67" s="58">
        <f>SUM(AX65:AX66)</f>
        <v>1145.0320000000002</v>
      </c>
      <c r="AY67" s="58"/>
      <c r="AZ67" s="174">
        <f>AX67/AV67-1</f>
        <v>-0.23257233892679752</v>
      </c>
      <c r="BA67" s="58"/>
      <c r="BB67" s="58"/>
      <c r="BC67" s="58">
        <f>SUM(BC65:BC66)</f>
        <v>0</v>
      </c>
      <c r="BD67" s="58"/>
      <c r="BE67" s="58">
        <f>SUM(BE65:BE66)</f>
        <v>1325.6659199999999</v>
      </c>
      <c r="BF67" s="58"/>
      <c r="BG67" s="58">
        <f>SUM(BG65:BG66)</f>
        <v>2444.1524699999991</v>
      </c>
      <c r="BH67" s="58"/>
      <c r="BI67" s="58">
        <f>SUM(BI65:BI66)</f>
        <v>9519.4140000000007</v>
      </c>
    </row>
    <row r="68" spans="3:61" ht="13.5" thickTop="1" x14ac:dyDescent="0.3">
      <c r="C68" s="45"/>
      <c r="D68" s="112"/>
      <c r="E68" s="45"/>
      <c r="F68" s="45"/>
      <c r="G68" s="45"/>
      <c r="H68" s="225"/>
      <c r="I68" s="45"/>
      <c r="J68" s="226"/>
      <c r="K68" s="226"/>
      <c r="L68" s="226"/>
      <c r="M68" s="172"/>
      <c r="O68" s="45"/>
      <c r="P68" s="45"/>
      <c r="Q68" s="45"/>
      <c r="R68" s="45"/>
      <c r="S68" s="45"/>
      <c r="T68" s="45"/>
      <c r="U68" s="45"/>
      <c r="V68" s="45"/>
      <c r="W68" s="172"/>
      <c r="Y68" s="45"/>
      <c r="Z68" s="45"/>
      <c r="AA68" s="45"/>
      <c r="AB68" s="45"/>
      <c r="AC68" s="45"/>
      <c r="AD68" s="45"/>
      <c r="AE68" s="45"/>
      <c r="AF68" s="45"/>
      <c r="AH68" s="45"/>
      <c r="AI68" s="45"/>
      <c r="AJ68" s="45"/>
      <c r="AK68" s="45"/>
      <c r="AL68" s="45"/>
      <c r="AM68" s="45"/>
      <c r="AN68" s="45"/>
      <c r="AO68" s="45"/>
      <c r="AQ68" s="45"/>
      <c r="AR68" s="45"/>
      <c r="AS68" s="45"/>
      <c r="AT68" s="45"/>
      <c r="AU68" s="45"/>
      <c r="AV68" s="45"/>
      <c r="AW68" s="45"/>
      <c r="AX68" s="45"/>
      <c r="AY68" s="45"/>
      <c r="AZ68" s="172"/>
      <c r="BB68" s="45"/>
      <c r="BC68" s="45"/>
      <c r="BD68" s="45"/>
      <c r="BE68" s="45"/>
      <c r="BF68" s="45"/>
      <c r="BG68" s="45"/>
      <c r="BH68" s="45"/>
      <c r="BI68" s="45"/>
    </row>
    <row r="69" spans="3:61" ht="13.5" thickBot="1" x14ac:dyDescent="0.35">
      <c r="C69" s="50" t="s">
        <v>100</v>
      </c>
      <c r="D69" s="114"/>
      <c r="E69" s="58"/>
      <c r="F69" s="58">
        <f>F35+F62+F67</f>
        <v>886265.595236002</v>
      </c>
      <c r="G69" s="58"/>
      <c r="H69" s="58">
        <f>H35+H62+H67</f>
        <v>1137724.0392434415</v>
      </c>
      <c r="I69" s="58"/>
      <c r="J69" s="58">
        <f>J35+J62+J67</f>
        <v>1600391.1108967003</v>
      </c>
      <c r="K69" s="58"/>
      <c r="L69" s="58">
        <f>L35+L62+L67</f>
        <v>1696288.31102984</v>
      </c>
      <c r="M69" s="174">
        <f>L69/J69-1</f>
        <v>5.9921102710579488E-2</v>
      </c>
      <c r="O69" s="58"/>
      <c r="P69" s="58">
        <f>P35+P62+P67</f>
        <v>776979.23996000201</v>
      </c>
      <c r="Q69" s="58"/>
      <c r="R69" s="58">
        <f>R35+R62+R67</f>
        <v>973619.83687828435</v>
      </c>
      <c r="S69" s="58"/>
      <c r="T69" s="58">
        <f>T35+T62+T67</f>
        <v>1358994.7030088694</v>
      </c>
      <c r="U69" s="58"/>
      <c r="V69" s="58">
        <f>V35+V62+V67</f>
        <v>1327816.8905296826</v>
      </c>
      <c r="W69" s="174">
        <f>V69/T69-1</f>
        <v>-2.2941820457546891E-2</v>
      </c>
      <c r="X69" s="58"/>
      <c r="Y69" s="58"/>
      <c r="Z69" s="58">
        <f>Z35+Z62+Z67</f>
        <v>80157.377999999997</v>
      </c>
      <c r="AA69" s="58"/>
      <c r="AB69" s="58">
        <f>AB35+AB62+AB67</f>
        <v>130849.58</v>
      </c>
      <c r="AC69" s="58"/>
      <c r="AD69" s="58">
        <f>AD35+AD62+AD67</f>
        <v>215658.9420000001</v>
      </c>
      <c r="AE69" s="58"/>
      <c r="AF69" s="58">
        <f>AF35+AF62+AF67</f>
        <v>306508.8470000003</v>
      </c>
      <c r="AG69" s="58"/>
      <c r="AH69" s="58"/>
      <c r="AI69" s="58">
        <f>AI35+AI62+AI67</f>
        <v>29128.977275999998</v>
      </c>
      <c r="AJ69" s="58"/>
      <c r="AK69" s="58">
        <f>AK35+AK62+AK67</f>
        <v>25489.025890000004</v>
      </c>
      <c r="AL69" s="58"/>
      <c r="AM69" s="58">
        <f>AM35+AM62+AM67</f>
        <v>23560.225513000016</v>
      </c>
      <c r="AN69" s="58"/>
      <c r="AO69" s="58">
        <f>AO35+AO62+AO67</f>
        <v>57520.820849999996</v>
      </c>
      <c r="AP69" s="58"/>
      <c r="AQ69" s="58"/>
      <c r="AR69" s="58">
        <f>AR35+AR62+AR67</f>
        <v>109286.355276</v>
      </c>
      <c r="AS69" s="58"/>
      <c r="AT69" s="58">
        <f>AT35+AT62+AT67</f>
        <v>156338.60589000001</v>
      </c>
      <c r="AU69" s="58"/>
      <c r="AV69" s="58">
        <f>AV35+AV62+AV67</f>
        <v>239219.16751300011</v>
      </c>
      <c r="AW69" s="58"/>
      <c r="AX69" s="58">
        <f>AX35+AX62+AX67</f>
        <v>364029.66785000026</v>
      </c>
      <c r="AY69" s="58"/>
      <c r="AZ69" s="174">
        <f>AX69/AV69-1</f>
        <v>0.52174122013118973</v>
      </c>
      <c r="BA69" s="58"/>
      <c r="BB69" s="58"/>
      <c r="BC69" s="58">
        <f>BC35+BC62+BC67</f>
        <v>0</v>
      </c>
      <c r="BD69" s="58"/>
      <c r="BE69" s="58">
        <f>BE35+BE62+BE67</f>
        <v>7765.5964751572974</v>
      </c>
      <c r="BF69" s="58"/>
      <c r="BG69" s="58">
        <f>BG35+BG62+BG67</f>
        <v>2177.2403748307861</v>
      </c>
      <c r="BH69" s="58"/>
      <c r="BI69" s="58">
        <f>BI35+BI62+BI67</f>
        <v>4441.7526501573266</v>
      </c>
    </row>
    <row r="70" spans="3:61" ht="13.5" thickTop="1" x14ac:dyDescent="0.3">
      <c r="C70" s="36" t="s">
        <v>212</v>
      </c>
      <c r="D70" s="112"/>
      <c r="E70" s="45"/>
      <c r="F70" s="38">
        <f>SUM('Quarterly I.S'!G70:I70)</f>
        <v>0</v>
      </c>
      <c r="G70" s="38"/>
      <c r="H70" s="38">
        <f>SUM('Quarterly I.S'!K70:M70)</f>
        <v>0</v>
      </c>
      <c r="I70" s="38"/>
      <c r="J70" s="38">
        <f>SUM('Quarterly I.S'!O70:Q70)</f>
        <v>0</v>
      </c>
      <c r="K70" s="38"/>
      <c r="L70" s="38">
        <f>SUM('Quarterly I.S'!S70:U70)</f>
        <v>0</v>
      </c>
      <c r="M70" s="132" t="e">
        <f>L70/J70-1</f>
        <v>#DIV/0!</v>
      </c>
      <c r="O70" s="45"/>
      <c r="P70" s="38">
        <f>SUM('Quarterly I.S'!AA70:AC70)</f>
        <v>0</v>
      </c>
      <c r="Q70" s="38"/>
      <c r="R70" s="38">
        <f>SUM('Quarterly I.S'!AE70:AG70)</f>
        <v>0</v>
      </c>
      <c r="S70" s="38"/>
      <c r="T70" s="38">
        <f>SUM('Quarterly I.S'!AI70:AK70)</f>
        <v>0</v>
      </c>
      <c r="U70" s="38"/>
      <c r="V70" s="38">
        <f>SUM('Quarterly I.S'!AM70:AO70)</f>
        <v>0</v>
      </c>
      <c r="W70" s="172" t="e">
        <f>V70/T70-1</f>
        <v>#DIV/0!</v>
      </c>
      <c r="Y70" s="38"/>
      <c r="Z70" s="38">
        <f>SUM('Quarterly I.S'!AU70:AW70)</f>
        <v>0</v>
      </c>
      <c r="AA70" s="38"/>
      <c r="AB70" s="38">
        <f>SUM('Quarterly I.S'!AY70:BA70)</f>
        <v>0</v>
      </c>
      <c r="AC70" s="38"/>
      <c r="AD70" s="38">
        <f>SUM('Quarterly I.S'!BC70:BE70)</f>
        <v>0</v>
      </c>
      <c r="AE70" s="38"/>
      <c r="AF70" s="38">
        <f>SUM('Quarterly I.S'!BG70:BI70)</f>
        <v>0</v>
      </c>
      <c r="AH70" s="38"/>
      <c r="AI70" s="38">
        <f>SUM('Quarterly I.S'!BN70:BP70)</f>
        <v>0</v>
      </c>
      <c r="AJ70" s="38"/>
      <c r="AK70" s="38">
        <f>SUM('Quarterly I.S'!BR70:BT70)</f>
        <v>0</v>
      </c>
      <c r="AL70" s="38"/>
      <c r="AM70" s="38">
        <f>SUM('Quarterly I.S'!BV70:BX70)</f>
        <v>0</v>
      </c>
      <c r="AN70" s="38"/>
      <c r="AO70" s="38">
        <f>SUM('Quarterly I.S'!BZ70:CB70)</f>
        <v>0</v>
      </c>
      <c r="AQ70" s="38"/>
      <c r="AR70" s="38">
        <f>Z70+AI70</f>
        <v>0</v>
      </c>
      <c r="AS70" s="38"/>
      <c r="AT70" s="38">
        <f>AB70+AK70</f>
        <v>0</v>
      </c>
      <c r="AU70" s="38"/>
      <c r="AV70" s="38">
        <f>AD70+AM70</f>
        <v>0</v>
      </c>
      <c r="AW70" s="38"/>
      <c r="AX70" s="38">
        <f>AF70+AO70</f>
        <v>0</v>
      </c>
      <c r="AY70" s="38"/>
      <c r="AZ70" s="172" t="e">
        <f>AX70/AV70-1</f>
        <v>#DIV/0!</v>
      </c>
      <c r="BB70" s="45"/>
      <c r="BC70" s="38">
        <f>SUM('Quarterly I.S'!DA70:DC70)</f>
        <v>0</v>
      </c>
      <c r="BD70" s="38"/>
      <c r="BE70" s="38">
        <f>SUM('Quarterly I.S'!DE70:DG70)</f>
        <v>0</v>
      </c>
      <c r="BF70" s="38"/>
      <c r="BG70" s="38">
        <f>SUM('Quarterly I.S'!DI70:DK70)</f>
        <v>0</v>
      </c>
      <c r="BH70" s="38"/>
      <c r="BI70" s="38">
        <f>SUM('Quarterly I.S'!DM70:DO70)</f>
        <v>0</v>
      </c>
    </row>
    <row r="71" spans="3:61" x14ac:dyDescent="0.3">
      <c r="C71" s="36" t="s">
        <v>38</v>
      </c>
      <c r="D71" s="110">
        <v>20</v>
      </c>
      <c r="E71" s="38"/>
      <c r="F71" s="38">
        <f>SUM('Quarterly I.S'!G71:I71)</f>
        <v>-45146.255605000013</v>
      </c>
      <c r="G71" s="38"/>
      <c r="H71" s="38">
        <f>SUM('Quarterly I.S'!K71:M71)</f>
        <v>-70097.512830000007</v>
      </c>
      <c r="I71" s="38"/>
      <c r="J71" s="38">
        <f>SUM('Quarterly I.S'!O71:Q71)</f>
        <v>-87771.395940999981</v>
      </c>
      <c r="K71" s="38"/>
      <c r="L71" s="38">
        <f>SUM('Quarterly I.S'!S71:U71)</f>
        <v>-97022.468388502515</v>
      </c>
      <c r="M71" s="132">
        <f>L71/J71-1</f>
        <v>0.10539962761582511</v>
      </c>
      <c r="O71" s="38"/>
      <c r="P71" s="38">
        <f>SUM('Quarterly I.S'!AA71:AC71)</f>
        <v>-38191.458630000008</v>
      </c>
      <c r="Q71" s="38"/>
      <c r="R71" s="38">
        <f>SUM('Quarterly I.S'!AE71:AG71)</f>
        <v>-59405.53671</v>
      </c>
      <c r="S71" s="38"/>
      <c r="T71" s="38">
        <f>SUM('Quarterly I.S'!AI71:AK71)</f>
        <v>-76675.187749999983</v>
      </c>
      <c r="U71" s="38"/>
      <c r="V71" s="38">
        <f>SUM('Quarterly I.S'!AM71:AO71)</f>
        <v>-82472.91287850251</v>
      </c>
      <c r="W71" s="132">
        <f>V71/T71-1</f>
        <v>7.5614097580120054E-2</v>
      </c>
      <c r="Y71" s="38"/>
      <c r="Z71" s="38">
        <f>SUM('Quarterly I.S'!AU71:AW71)</f>
        <v>-6317.518</v>
      </c>
      <c r="AA71" s="38"/>
      <c r="AB71" s="38">
        <f>SUM('Quarterly I.S'!AY71:BA71)</f>
        <v>-8809.3289999999997</v>
      </c>
      <c r="AC71" s="38"/>
      <c r="AD71" s="38">
        <f>SUM('Quarterly I.S'!BC71:BE71)</f>
        <v>-8855.4179999999997</v>
      </c>
      <c r="AE71" s="38"/>
      <c r="AF71" s="38">
        <f>SUM('Quarterly I.S'!BG71:BI71)</f>
        <v>-11149.755999999999</v>
      </c>
      <c r="AH71" s="38"/>
      <c r="AI71" s="38">
        <f>SUM('Quarterly I.S'!BN71:BP71)</f>
        <v>-637.27897499999995</v>
      </c>
      <c r="AJ71" s="38"/>
      <c r="AK71" s="38">
        <f>SUM('Quarterly I.S'!BR71:BT71)</f>
        <v>-1433.0610899999999</v>
      </c>
      <c r="AL71" s="38"/>
      <c r="AM71" s="38">
        <f>SUM('Quarterly I.S'!BV71:BX71)</f>
        <v>-1377.4304909999998</v>
      </c>
      <c r="AN71" s="38"/>
      <c r="AO71" s="38">
        <f>SUM('Quarterly I.S'!BZ71:CB71)</f>
        <v>-1578.1094199999998</v>
      </c>
      <c r="AQ71" s="38"/>
      <c r="AR71" s="38">
        <f>Z71+AI71</f>
        <v>-6954.7969750000002</v>
      </c>
      <c r="AS71" s="38"/>
      <c r="AT71" s="38">
        <f>AB71+AK71</f>
        <v>-10242.390089999999</v>
      </c>
      <c r="AU71" s="38"/>
      <c r="AV71" s="38">
        <f>AD71+AM71</f>
        <v>-10232.848490999999</v>
      </c>
      <c r="AW71" s="38"/>
      <c r="AX71" s="38">
        <f>AF71+AO71</f>
        <v>-12727.865419999998</v>
      </c>
      <c r="AY71" s="38"/>
      <c r="AZ71" s="132">
        <f>AX71/AV71-1</f>
        <v>0.24382428130294498</v>
      </c>
      <c r="BB71" s="38"/>
      <c r="BC71" s="38">
        <f>SUM('Quarterly I.S'!DA71:DC71)</f>
        <v>0</v>
      </c>
      <c r="BD71" s="38"/>
      <c r="BE71" s="38">
        <f>SUM('Quarterly I.S'!DE71:DG71)</f>
        <v>-449.58602999999994</v>
      </c>
      <c r="BF71" s="38"/>
      <c r="BG71" s="38">
        <f>SUM('Quarterly I.S'!DI71:DK71)</f>
        <v>-863.35969999999998</v>
      </c>
      <c r="BH71" s="38"/>
      <c r="BI71" s="38">
        <f>SUM('Quarterly I.S'!DM71:DO71)</f>
        <v>-1821.6900900000001</v>
      </c>
    </row>
    <row r="72" spans="3:61" x14ac:dyDescent="0.3">
      <c r="C72" s="36" t="s">
        <v>78</v>
      </c>
      <c r="E72" s="38"/>
      <c r="F72" s="38">
        <f>SUM('Quarterly I.S'!G72:I72)</f>
        <v>-266114.31131100003</v>
      </c>
      <c r="G72" s="38"/>
      <c r="H72" s="38">
        <f>SUM('Quarterly I.S'!K72:M72)</f>
        <v>-363011.53405000013</v>
      </c>
      <c r="I72" s="38"/>
      <c r="J72" s="38">
        <f>SUM('Quarterly I.S'!O72:Q72)</f>
        <v>-444302.77399000002</v>
      </c>
      <c r="K72" s="38"/>
      <c r="L72" s="38">
        <f>SUM('Quarterly I.S'!S72:U72)</f>
        <v>-615844.37069389806</v>
      </c>
      <c r="M72" s="132">
        <f>L72/J72-1</f>
        <v>0.38609166259168792</v>
      </c>
      <c r="O72" s="38"/>
      <c r="P72" s="38">
        <f>SUM('Quarterly I.S'!AA72:AC72)</f>
        <v>-224124.44304000004</v>
      </c>
      <c r="Q72" s="38"/>
      <c r="R72" s="38">
        <f>SUM('Quarterly I.S'!AE72:AG72)</f>
        <v>-298650.42679000011</v>
      </c>
      <c r="S72" s="38"/>
      <c r="T72" s="38">
        <f>SUM('Quarterly I.S'!AI72:AK72)</f>
        <v>-360130.49287999998</v>
      </c>
      <c r="U72" s="38"/>
      <c r="V72" s="38">
        <f>SUM('Quarterly I.S'!AM72:AO72)</f>
        <v>-502532.77746389806</v>
      </c>
      <c r="W72" s="132">
        <f>V72/T72-1</f>
        <v>0.39541857021073845</v>
      </c>
      <c r="X72" s="197"/>
      <c r="Y72" s="38"/>
      <c r="Z72" s="38">
        <f>SUM('Quarterly I.S'!AU72:AW72)</f>
        <v>-35275.404999999999</v>
      </c>
      <c r="AA72" s="38"/>
      <c r="AB72" s="38">
        <f>SUM('Quarterly I.S'!AY72:BA72)</f>
        <v>-45008.945</v>
      </c>
      <c r="AC72" s="38"/>
      <c r="AD72" s="38">
        <f>SUM('Quarterly I.S'!BC72:BE72)</f>
        <v>-56558.707999999999</v>
      </c>
      <c r="AE72" s="38"/>
      <c r="AF72" s="38">
        <f>SUM('Quarterly I.S'!BG72:BI72)</f>
        <v>-77333.379000000001</v>
      </c>
      <c r="AH72" s="38"/>
      <c r="AI72" s="38">
        <f>SUM('Quarterly I.S'!BN72:BP72)</f>
        <v>-6714.4632710000005</v>
      </c>
      <c r="AJ72" s="38"/>
      <c r="AK72" s="38">
        <f>SUM('Quarterly I.S'!BR72:BT72)</f>
        <v>-9320.7837099999997</v>
      </c>
      <c r="AL72" s="38"/>
      <c r="AM72" s="38">
        <f>SUM('Quarterly I.S'!BV72:BX72)</f>
        <v>-14035.094999999998</v>
      </c>
      <c r="AN72" s="38"/>
      <c r="AO72" s="38">
        <f>SUM('Quarterly I.S'!BZ72:CB72)</f>
        <v>-20031.220430000001</v>
      </c>
      <c r="AQ72" s="38"/>
      <c r="AR72" s="38">
        <f>Z72+AI72</f>
        <v>-41989.868270999999</v>
      </c>
      <c r="AS72" s="38"/>
      <c r="AT72" s="38">
        <f>AB72+AK72</f>
        <v>-54329.728709999996</v>
      </c>
      <c r="AU72" s="38"/>
      <c r="AV72" s="38">
        <f>AD72+AM72</f>
        <v>-70593.803</v>
      </c>
      <c r="AW72" s="38"/>
      <c r="AX72" s="38">
        <f>AF72+AO72</f>
        <v>-97364.599430000002</v>
      </c>
      <c r="AY72" s="38"/>
      <c r="AZ72" s="132">
        <f>AX72/AV72-1</f>
        <v>0.37922303789186707</v>
      </c>
      <c r="BB72" s="38"/>
      <c r="BC72" s="38">
        <f>SUM('Quarterly I.S'!DA72:DC72)</f>
        <v>0</v>
      </c>
      <c r="BD72" s="38"/>
      <c r="BE72" s="38">
        <f>SUM('Quarterly I.S'!DE72:DG72)</f>
        <v>-10031.378550000003</v>
      </c>
      <c r="BF72" s="38"/>
      <c r="BG72" s="38">
        <f>SUM('Quarterly I.S'!DI72:DK72)</f>
        <v>-13578.47811</v>
      </c>
      <c r="BH72" s="38"/>
      <c r="BI72" s="38">
        <f>SUM('Quarterly I.S'!DM72:DO72)</f>
        <v>-15946.9938</v>
      </c>
    </row>
    <row r="73" spans="3:61" x14ac:dyDescent="0.3">
      <c r="C73" s="36" t="s">
        <v>39</v>
      </c>
      <c r="D73" s="110">
        <v>21</v>
      </c>
      <c r="E73" s="38"/>
      <c r="F73" s="38">
        <f>SUM('Quarterly I.S'!G73:I73)</f>
        <v>-63846.794076999999</v>
      </c>
      <c r="G73" s="38"/>
      <c r="H73" s="38">
        <f>SUM('Quarterly I.S'!K73:M73)</f>
        <v>-86002.967010000008</v>
      </c>
      <c r="I73" s="38"/>
      <c r="J73" s="38">
        <f>SUM('Quarterly I.S'!O73:Q73)</f>
        <v>-123893.83577099998</v>
      </c>
      <c r="K73" s="38"/>
      <c r="L73" s="38">
        <f>SUM('Quarterly I.S'!S73:U73)</f>
        <v>-155716.50237501485</v>
      </c>
      <c r="M73" s="132">
        <f>L73/J73-1</f>
        <v>0.25685431729496622</v>
      </c>
      <c r="O73" s="38"/>
      <c r="P73" s="38">
        <f>SUM('Quarterly I.S'!AA73:AC73)</f>
        <v>-55714.349939999993</v>
      </c>
      <c r="Q73" s="38"/>
      <c r="R73" s="38">
        <f>SUM('Quarterly I.S'!AE73:AG73)</f>
        <v>-69271.562109999999</v>
      </c>
      <c r="S73" s="38"/>
      <c r="T73" s="38">
        <f>SUM('Quarterly I.S'!AI73:AK73)</f>
        <v>-93715.596099999995</v>
      </c>
      <c r="U73" s="38"/>
      <c r="V73" s="38">
        <f>SUM('Quarterly I.S'!AM73:AO73)</f>
        <v>-115212.13427501485</v>
      </c>
      <c r="W73" s="132">
        <f>V73/T73-1</f>
        <v>0.22938058412472562</v>
      </c>
      <c r="Y73" s="38"/>
      <c r="Z73" s="38">
        <f>SUM('Quarterly I.S'!AU73:AW73)</f>
        <v>-6537.2330000000002</v>
      </c>
      <c r="AA73" s="38"/>
      <c r="AB73" s="38">
        <f>SUM('Quarterly I.S'!AY73:BA73)</f>
        <v>-10548.974</v>
      </c>
      <c r="AC73" s="38"/>
      <c r="AD73" s="38">
        <f>SUM('Quarterly I.S'!BC73:BE73)</f>
        <v>-19434.525000000001</v>
      </c>
      <c r="AE73" s="38"/>
      <c r="AF73" s="38">
        <f>SUM('Quarterly I.S'!BG73:BI73)</f>
        <v>-30000.023000000001</v>
      </c>
      <c r="AH73" s="38"/>
      <c r="AI73" s="38">
        <f>SUM('Quarterly I.S'!BN73:BP73)</f>
        <v>-1595.211137</v>
      </c>
      <c r="AJ73" s="38"/>
      <c r="AK73" s="38">
        <f>SUM('Quarterly I.S'!BR73:BT73)</f>
        <v>-2185.4022199999999</v>
      </c>
      <c r="AL73" s="38"/>
      <c r="AM73" s="38">
        <f>SUM('Quarterly I.S'!BV73:BX73)</f>
        <v>-4209.9179910000003</v>
      </c>
      <c r="AN73" s="38"/>
      <c r="AO73" s="38">
        <f>SUM('Quarterly I.S'!BZ73:CB73)</f>
        <v>-4750.4116300000005</v>
      </c>
      <c r="AQ73" s="38"/>
      <c r="AR73" s="38">
        <f>Z73+AI73</f>
        <v>-8132.4441370000004</v>
      </c>
      <c r="AS73" s="38"/>
      <c r="AT73" s="38">
        <f>AB73+AK73</f>
        <v>-12734.37622</v>
      </c>
      <c r="AU73" s="38"/>
      <c r="AV73" s="38">
        <f>AD73+AM73</f>
        <v>-23644.442991000004</v>
      </c>
      <c r="AW73" s="38"/>
      <c r="AX73" s="38">
        <f>AF73+AO73</f>
        <v>-34750.434630000003</v>
      </c>
      <c r="AY73" s="38"/>
      <c r="AZ73" s="132">
        <f>AX73/AV73-1</f>
        <v>0.46970832187619616</v>
      </c>
      <c r="BB73" s="38"/>
      <c r="BC73" s="38">
        <f>SUM('Quarterly I.S'!DA73:DC73)</f>
        <v>0</v>
      </c>
      <c r="BD73" s="38"/>
      <c r="BE73" s="38">
        <f>SUM('Quarterly I.S'!DE73:DG73)</f>
        <v>-3997.0286800000003</v>
      </c>
      <c r="BF73" s="38"/>
      <c r="BG73" s="38">
        <f>SUM('Quarterly I.S'!DI73:DK73)</f>
        <v>-6533.7966800000004</v>
      </c>
      <c r="BH73" s="38"/>
      <c r="BI73" s="38">
        <f>SUM('Quarterly I.S'!DM73:DO73)</f>
        <v>-5753.9334700000009</v>
      </c>
    </row>
    <row r="74" spans="3:61" x14ac:dyDescent="0.3">
      <c r="C74" s="39" t="s">
        <v>93</v>
      </c>
      <c r="D74" s="109"/>
      <c r="E74" s="40"/>
      <c r="F74" s="40">
        <f>-SUM(F72:F73)/F69</f>
        <v>0.37230499204940398</v>
      </c>
      <c r="G74" s="40"/>
      <c r="H74" s="40">
        <f>-SUM(H72:H73)/H69</f>
        <v>0.39466029157526084</v>
      </c>
      <c r="I74" s="40"/>
      <c r="J74" s="40">
        <f>-SUM(J72:J73)/J69</f>
        <v>0.35503609454731289</v>
      </c>
      <c r="K74" s="40"/>
      <c r="L74" s="40">
        <f>-SUM(L72:L73)/L69</f>
        <v>0.45485243755555188</v>
      </c>
      <c r="M74" s="169"/>
      <c r="O74" s="40"/>
      <c r="P74" s="40">
        <f>-SUM(P72:P73)/P69</f>
        <v>0.36016250961146118</v>
      </c>
      <c r="Q74" s="40"/>
      <c r="R74" s="40">
        <f>-SUM(R72:R73)/R69</f>
        <v>0.37789081011297776</v>
      </c>
      <c r="S74" s="40"/>
      <c r="T74" s="40">
        <f>-SUM(T72:T73)/T69</f>
        <v>0.33395721703341913</v>
      </c>
      <c r="U74" s="40"/>
      <c r="V74" s="40">
        <f>-SUM(V72:V73)/V69</f>
        <v>0.4652335093376368</v>
      </c>
      <c r="W74" s="169"/>
      <c r="Y74" s="40"/>
      <c r="Z74" s="40">
        <f>-SUM(Z72:Z73)/Z69</f>
        <v>0.52163180786676933</v>
      </c>
      <c r="AA74" s="40"/>
      <c r="AB74" s="40">
        <f>-SUM(AB72:AB73)/AB69</f>
        <v>0.42459378929607572</v>
      </c>
      <c r="AC74" s="40"/>
      <c r="AD74" s="40">
        <f>-SUM(AD72:AD73)/AD69</f>
        <v>0.35237691651107134</v>
      </c>
      <c r="AE74" s="40"/>
      <c r="AF74" s="40">
        <f>-SUM(AF72:AF73)/AF69</f>
        <v>0.35018043704298002</v>
      </c>
      <c r="AH74" s="40"/>
      <c r="AI74" s="40">
        <f>-SUM(AI72:AI73)/AI69</f>
        <v>0.2852717529099974</v>
      </c>
      <c r="AJ74" s="40"/>
      <c r="AK74" s="40">
        <f>-SUM(AK72:AK73)/AK69</f>
        <v>0.45141724833486752</v>
      </c>
      <c r="AL74" s="40"/>
      <c r="AM74" s="40">
        <f>-SUM(AM72:AM73)/AM69</f>
        <v>0.77439891145917927</v>
      </c>
      <c r="AN74" s="40"/>
      <c r="AO74" s="40">
        <f>-SUM(AO72:AO73)/AO69</f>
        <v>0.43082890149680481</v>
      </c>
      <c r="AQ74" s="40"/>
      <c r="AR74" s="40">
        <f>-SUM(AR72:AR73)/AR69</f>
        <v>0.45863284836809987</v>
      </c>
      <c r="AS74" s="40"/>
      <c r="AT74" s="40">
        <f>-SUM(AT72:AT73)/AT69</f>
        <v>0.42896701392608277</v>
      </c>
      <c r="AU74" s="40"/>
      <c r="AV74" s="40">
        <f>-SUM(AV72:AV73)/AV69</f>
        <v>0.39394103311507733</v>
      </c>
      <c r="AW74" s="40"/>
      <c r="AX74" s="40">
        <f>-SUM(AX72:AX73)/AX69</f>
        <v>0.36292381013966829</v>
      </c>
      <c r="AY74" s="40"/>
      <c r="AZ74" s="169"/>
      <c r="BB74" s="40"/>
      <c r="BC74" s="40"/>
      <c r="BD74" s="40"/>
      <c r="BE74" s="40"/>
      <c r="BF74" s="40"/>
      <c r="BG74" s="40"/>
      <c r="BH74" s="40"/>
      <c r="BI74" s="40"/>
    </row>
    <row r="75" spans="3:61" x14ac:dyDescent="0.3">
      <c r="C75" s="36" t="s">
        <v>40</v>
      </c>
      <c r="E75" s="38"/>
      <c r="F75" s="38">
        <f>SUM('Quarterly I.S'!G75:I75)</f>
        <v>-21522.094539999998</v>
      </c>
      <c r="G75" s="38"/>
      <c r="H75" s="38">
        <f>SUM('Quarterly I.S'!K75:M75)</f>
        <v>-26916.083910000005</v>
      </c>
      <c r="I75" s="38"/>
      <c r="J75" s="38">
        <f>SUM('Quarterly I.S'!O75:Q75)</f>
        <v>-49170.85355</v>
      </c>
      <c r="K75" s="38"/>
      <c r="L75" s="38">
        <f>SUM('Quarterly I.S'!S75:U75)</f>
        <v>-65308.164469999989</v>
      </c>
      <c r="M75" s="132">
        <f t="shared" ref="M75:M80" si="5">L75/J75-1</f>
        <v>0.32818854575283218</v>
      </c>
      <c r="O75" s="38"/>
      <c r="P75" s="38">
        <f>SUM('Quarterly I.S'!AA75:AC75)</f>
        <v>-20539.787539999998</v>
      </c>
      <c r="Q75" s="38"/>
      <c r="R75" s="38">
        <f>SUM('Quarterly I.S'!AE75:AG75)</f>
        <v>-15766.220850000002</v>
      </c>
      <c r="S75" s="38"/>
      <c r="T75" s="38">
        <f>SUM('Quarterly I.S'!AI75:AK75)</f>
        <v>-33643.581830000003</v>
      </c>
      <c r="U75" s="38"/>
      <c r="V75" s="38">
        <f>SUM('Quarterly I.S'!AM75:AO75)</f>
        <v>-50230.277300000002</v>
      </c>
      <c r="W75" s="132">
        <f t="shared" ref="W75:W80" si="6">V75/T75-1</f>
        <v>0.49301217551127774</v>
      </c>
      <c r="Y75" s="38"/>
      <c r="Z75" s="38">
        <f>SUM('Quarterly I.S'!AU75:AW75)</f>
        <v>-820.1869999999999</v>
      </c>
      <c r="AA75" s="38"/>
      <c r="AB75" s="38">
        <f>SUM('Quarterly I.S'!AY75:BA75)</f>
        <v>-6365.7420000000002</v>
      </c>
      <c r="AC75" s="38"/>
      <c r="AD75" s="38">
        <f>SUM('Quarterly I.S'!BC75:BE75)</f>
        <v>-9997.3060000000005</v>
      </c>
      <c r="AE75" s="38"/>
      <c r="AF75" s="38">
        <f>SUM('Quarterly I.S'!BG75:BI75)</f>
        <v>-14175.296999999999</v>
      </c>
      <c r="AH75" s="38"/>
      <c r="AI75" s="38">
        <f>SUM('Quarterly I.S'!BN75:BP75)</f>
        <v>-162.12</v>
      </c>
      <c r="AJ75" s="38"/>
      <c r="AK75" s="38">
        <f>SUM('Quarterly I.S'!BR75:BT75)</f>
        <v>-68.400000000000006</v>
      </c>
      <c r="AL75" s="38"/>
      <c r="AM75" s="38">
        <f>SUM('Quarterly I.S'!BV75:BX75)</f>
        <v>-1041.2460000000001</v>
      </c>
      <c r="AN75" s="38"/>
      <c r="AO75" s="38">
        <f>SUM('Quarterly I.S'!BZ75:CB75)</f>
        <v>-86.51885</v>
      </c>
      <c r="AQ75" s="38"/>
      <c r="AR75" s="38">
        <f t="shared" ref="AR75:AR80" si="7">Z75+AI75</f>
        <v>-982.3069999999999</v>
      </c>
      <c r="AS75" s="38"/>
      <c r="AT75" s="38">
        <f t="shared" ref="AT75:AT80" si="8">AB75+AK75</f>
        <v>-6434.1419999999998</v>
      </c>
      <c r="AU75" s="38"/>
      <c r="AV75" s="38">
        <f t="shared" ref="AV75:AV80" si="9">AD75+AM75</f>
        <v>-11038.552</v>
      </c>
      <c r="AW75" s="38"/>
      <c r="AX75" s="38">
        <f t="shared" ref="AX75:AX80" si="10">AF75+AO75</f>
        <v>-14261.815849999999</v>
      </c>
      <c r="AY75" s="38"/>
      <c r="AZ75" s="132">
        <f t="shared" ref="AZ75:AZ80" si="11">AX75/AV75-1</f>
        <v>0.29200060388355276</v>
      </c>
      <c r="BB75" s="38"/>
      <c r="BC75" s="38">
        <f>SUM('Quarterly I.S'!DA75:DC75)</f>
        <v>0</v>
      </c>
      <c r="BD75" s="38"/>
      <c r="BE75" s="38">
        <f>SUM('Quarterly I.S'!DE75:DG75)</f>
        <v>-4715.7210599999999</v>
      </c>
      <c r="BF75" s="38"/>
      <c r="BG75" s="38">
        <f>SUM('Quarterly I.S'!DI75:DK75)</f>
        <v>-4488.7197200000001</v>
      </c>
      <c r="BH75" s="38"/>
      <c r="BI75" s="38">
        <f>SUM('Quarterly I.S'!DM75:DO75)</f>
        <v>-816.07132000000001</v>
      </c>
    </row>
    <row r="76" spans="3:61" x14ac:dyDescent="0.3">
      <c r="C76" s="36" t="s">
        <v>41</v>
      </c>
      <c r="E76" s="38"/>
      <c r="F76" s="38">
        <f>SUM('Quarterly I.S'!G76:I76)</f>
        <v>8819.8439999999991</v>
      </c>
      <c r="G76" s="38"/>
      <c r="H76" s="38">
        <f>SUM('Quarterly I.S'!K76:M76)</f>
        <v>-520</v>
      </c>
      <c r="I76" s="38"/>
      <c r="J76" s="38">
        <f>SUM('Quarterly I.S'!O76:Q76)</f>
        <v>-300</v>
      </c>
      <c r="K76" s="38"/>
      <c r="L76" s="38">
        <f>SUM('Quarterly I.S'!S76:U76)</f>
        <v>14800</v>
      </c>
      <c r="M76" s="132">
        <f t="shared" si="5"/>
        <v>-50.333333333333336</v>
      </c>
      <c r="O76" s="38"/>
      <c r="P76" s="38">
        <f>SUM('Quarterly I.S'!AA76:AC76)</f>
        <v>8819.8439999999991</v>
      </c>
      <c r="Q76" s="38"/>
      <c r="R76" s="38">
        <f>SUM('Quarterly I.S'!AE76:AG76)</f>
        <v>0</v>
      </c>
      <c r="S76" s="38"/>
      <c r="T76" s="38">
        <f>SUM('Quarterly I.S'!AI76:AK76)</f>
        <v>0</v>
      </c>
      <c r="U76" s="38"/>
      <c r="V76" s="38">
        <f>SUM('Quarterly I.S'!AM76:AO76)</f>
        <v>15000</v>
      </c>
      <c r="W76" s="132" t="e">
        <f t="shared" si="6"/>
        <v>#DIV/0!</v>
      </c>
      <c r="Y76" s="38"/>
      <c r="Z76" s="38">
        <f>SUM('Quarterly I.S'!AU76:AW76)</f>
        <v>0</v>
      </c>
      <c r="AA76" s="38"/>
      <c r="AB76" s="38">
        <f>SUM('Quarterly I.S'!AY76:BA76)</f>
        <v>-520</v>
      </c>
      <c r="AC76" s="38"/>
      <c r="AD76" s="38">
        <f>SUM('Quarterly I.S'!BC76:BE76)</f>
        <v>-300</v>
      </c>
      <c r="AE76" s="38"/>
      <c r="AF76" s="38">
        <f>SUM('Quarterly I.S'!BG76:BI76)</f>
        <v>-200</v>
      </c>
      <c r="AH76" s="38"/>
      <c r="AI76" s="38">
        <f>SUM('Quarterly I.S'!BN76:BP76)</f>
        <v>0</v>
      </c>
      <c r="AJ76" s="38"/>
      <c r="AK76" s="38">
        <f>SUM('Quarterly I.S'!BR76:BT76)</f>
        <v>0</v>
      </c>
      <c r="AL76" s="38"/>
      <c r="AM76" s="38">
        <f>SUM('Quarterly I.S'!BV76:BX76)</f>
        <v>0</v>
      </c>
      <c r="AN76" s="38"/>
      <c r="AO76" s="38">
        <f>SUM('Quarterly I.S'!BZ76:CB76)</f>
        <v>0</v>
      </c>
      <c r="AQ76" s="38"/>
      <c r="AR76" s="38">
        <f t="shared" si="7"/>
        <v>0</v>
      </c>
      <c r="AS76" s="38"/>
      <c r="AT76" s="38">
        <f t="shared" si="8"/>
        <v>-520</v>
      </c>
      <c r="AU76" s="38"/>
      <c r="AV76" s="38">
        <f t="shared" si="9"/>
        <v>-300</v>
      </c>
      <c r="AW76" s="38"/>
      <c r="AX76" s="38">
        <f t="shared" si="10"/>
        <v>-200</v>
      </c>
      <c r="AY76" s="38"/>
      <c r="AZ76" s="132">
        <f t="shared" si="11"/>
        <v>-0.33333333333333337</v>
      </c>
      <c r="BB76" s="38"/>
      <c r="BC76" s="38">
        <f>SUM('Quarterly I.S'!DA76:DC76)</f>
        <v>0</v>
      </c>
      <c r="BD76" s="38"/>
      <c r="BE76" s="38">
        <f>SUM('Quarterly I.S'!DE76:DG76)</f>
        <v>0</v>
      </c>
      <c r="BF76" s="38"/>
      <c r="BG76" s="38">
        <f>SUM('Quarterly I.S'!DI76:DK76)</f>
        <v>0</v>
      </c>
      <c r="BH76" s="38"/>
      <c r="BI76" s="38">
        <f>SUM('Quarterly I.S'!DM76:DO76)</f>
        <v>0</v>
      </c>
    </row>
    <row r="77" spans="3:61" x14ac:dyDescent="0.3">
      <c r="C77" s="36" t="s">
        <v>42</v>
      </c>
      <c r="D77" s="110">
        <v>40</v>
      </c>
      <c r="E77" s="38"/>
      <c r="F77" s="38">
        <f>SUM('Quarterly I.S'!G77:I77)</f>
        <v>-17565.709559999999</v>
      </c>
      <c r="G77" s="38"/>
      <c r="H77" s="38">
        <f>SUM('Quarterly I.S'!K77:M77)</f>
        <v>-30937.165980000002</v>
      </c>
      <c r="I77" s="38"/>
      <c r="J77" s="38">
        <f>SUM('Quarterly I.S'!O77:Q77)</f>
        <v>-40255.087129999993</v>
      </c>
      <c r="K77" s="38"/>
      <c r="L77" s="38">
        <f>SUM('Quarterly I.S'!S77:U77)</f>
        <v>-51144.036900000006</v>
      </c>
      <c r="M77" s="132">
        <f t="shared" si="5"/>
        <v>0.27049872566006838</v>
      </c>
      <c r="O77" s="38"/>
      <c r="P77" s="38">
        <f>SUM('Quarterly I.S'!AA77:AC77)</f>
        <v>-16677.31885</v>
      </c>
      <c r="Q77" s="38"/>
      <c r="R77" s="38">
        <f>SUM('Quarterly I.S'!AE77:AG77)</f>
        <v>-30064.104190000005</v>
      </c>
      <c r="S77" s="38"/>
      <c r="T77" s="38">
        <f>SUM('Quarterly I.S'!AI77:AK77)</f>
        <v>-27776.082469999994</v>
      </c>
      <c r="U77" s="38"/>
      <c r="V77" s="38">
        <f>SUM('Quarterly I.S'!AM77:AO77)</f>
        <v>-34376.235419999997</v>
      </c>
      <c r="W77" s="132">
        <f t="shared" si="6"/>
        <v>0.23762000840574271</v>
      </c>
      <c r="Y77" s="38"/>
      <c r="Z77" s="38">
        <f>SUM('Quarterly I.S'!AU77:AW77)</f>
        <v>-779.49700000000007</v>
      </c>
      <c r="AA77" s="38"/>
      <c r="AB77" s="38">
        <f>SUM('Quarterly I.S'!AY77:BA77)</f>
        <v>-835.45600000000002</v>
      </c>
      <c r="AC77" s="38"/>
      <c r="AD77" s="38">
        <f>SUM('Quarterly I.S'!BC77:BE77)</f>
        <v>-10611.198280000001</v>
      </c>
      <c r="AE77" s="38"/>
      <c r="AF77" s="38">
        <f>SUM('Quarterly I.S'!BG77:BI77)</f>
        <v>-13772.10224</v>
      </c>
      <c r="AH77" s="38"/>
      <c r="AI77" s="38">
        <f>SUM('Quarterly I.S'!BN77:BP77)</f>
        <v>-108.89371000000001</v>
      </c>
      <c r="AJ77" s="38"/>
      <c r="AK77" s="38">
        <f>SUM('Quarterly I.S'!BR77:BT77)</f>
        <v>-37.605789999999999</v>
      </c>
      <c r="AL77" s="38"/>
      <c r="AM77" s="38">
        <f>SUM('Quarterly I.S'!BV77:BX77)</f>
        <v>-1865.12538</v>
      </c>
      <c r="AN77" s="38"/>
      <c r="AO77" s="38">
        <f>SUM('Quarterly I.S'!BZ77:CB77)</f>
        <v>-2483.5232000000005</v>
      </c>
      <c r="AQ77" s="38"/>
      <c r="AR77" s="38">
        <f t="shared" si="7"/>
        <v>-888.39071000000013</v>
      </c>
      <c r="AS77" s="38"/>
      <c r="AT77" s="38">
        <f t="shared" si="8"/>
        <v>-873.06178999999997</v>
      </c>
      <c r="AU77" s="38"/>
      <c r="AV77" s="38">
        <f t="shared" si="9"/>
        <v>-12476.32366</v>
      </c>
      <c r="AW77" s="38"/>
      <c r="AX77" s="38">
        <f t="shared" si="10"/>
        <v>-16255.62544</v>
      </c>
      <c r="AY77" s="38"/>
      <c r="AZ77" s="132">
        <f t="shared" si="11"/>
        <v>0.302917901378009</v>
      </c>
      <c r="BB77" s="38"/>
      <c r="BC77" s="38">
        <f>SUM('Quarterly I.S'!DA77:DC77)</f>
        <v>0</v>
      </c>
      <c r="BD77" s="38"/>
      <c r="BE77" s="38">
        <f>SUM('Quarterly I.S'!DE77:DG77)</f>
        <v>0</v>
      </c>
      <c r="BF77" s="38"/>
      <c r="BG77" s="38">
        <f>SUM('Quarterly I.S'!DI77:DK77)</f>
        <v>-2.681</v>
      </c>
      <c r="BH77" s="38"/>
      <c r="BI77" s="38">
        <f>SUM('Quarterly I.S'!DM77:DO77)</f>
        <v>-512.17604000000006</v>
      </c>
    </row>
    <row r="78" spans="3:61" x14ac:dyDescent="0.3">
      <c r="C78" s="36" t="s">
        <v>4</v>
      </c>
      <c r="E78" s="38"/>
      <c r="F78" s="38">
        <f>SUM('Quarterly I.S'!G78:I78)</f>
        <v>124.77500000000001</v>
      </c>
      <c r="G78" s="38"/>
      <c r="H78" s="38">
        <f>SUM('Quarterly I.S'!K78:M78)</f>
        <v>127.14999</v>
      </c>
      <c r="I78" s="38"/>
      <c r="J78" s="38">
        <f>SUM('Quarterly I.S'!O78:Q78)</f>
        <v>-1E-3</v>
      </c>
      <c r="K78" s="38"/>
      <c r="L78" s="38">
        <f>SUM('Quarterly I.S'!S78:U78)</f>
        <v>616.02651000000003</v>
      </c>
      <c r="M78" s="132">
        <f t="shared" si="5"/>
        <v>-616027.51</v>
      </c>
      <c r="O78" s="38"/>
      <c r="P78" s="38">
        <f>SUM('Quarterly I.S'!AA78:AC78)</f>
        <v>0</v>
      </c>
      <c r="Q78" s="38"/>
      <c r="R78" s="38">
        <f>SUM('Quarterly I.S'!AE78:AG78)</f>
        <v>627.47599000000002</v>
      </c>
      <c r="S78" s="38"/>
      <c r="T78" s="38">
        <f>SUM('Quarterly I.S'!AI78:AK78)</f>
        <v>0</v>
      </c>
      <c r="U78" s="38"/>
      <c r="V78" s="38">
        <f>SUM('Quarterly I.S'!AM78:AO78)</f>
        <v>418.07189</v>
      </c>
      <c r="W78" s="132" t="e">
        <f t="shared" si="6"/>
        <v>#DIV/0!</v>
      </c>
      <c r="Y78" s="38"/>
      <c r="Z78" s="38">
        <f>SUM('Quarterly I.S'!AU78:AW78)</f>
        <v>124.77500000000001</v>
      </c>
      <c r="AA78" s="38"/>
      <c r="AB78" s="38">
        <f>SUM('Quarterly I.S'!AY78:BA78)</f>
        <v>-500.32600000000002</v>
      </c>
      <c r="AC78" s="38"/>
      <c r="AD78" s="38">
        <f>SUM('Quarterly I.S'!BC78:BE78)</f>
        <v>-1E-3</v>
      </c>
      <c r="AE78" s="38"/>
      <c r="AF78" s="38">
        <f>SUM('Quarterly I.S'!BG78:BI78)</f>
        <v>188.46299999999999</v>
      </c>
      <c r="AH78" s="38"/>
      <c r="AI78" s="38">
        <f>SUM('Quarterly I.S'!BN78:BP78)</f>
        <v>0</v>
      </c>
      <c r="AJ78" s="38"/>
      <c r="AK78" s="38">
        <f>SUM('Quarterly I.S'!BR78:BT78)</f>
        <v>0</v>
      </c>
      <c r="AL78" s="38"/>
      <c r="AM78" s="38">
        <f>SUM('Quarterly I.S'!BV78:BX78)</f>
        <v>0</v>
      </c>
      <c r="AN78" s="38"/>
      <c r="AO78" s="38">
        <f>SUM('Quarterly I.S'!BZ78:CB78)</f>
        <v>0</v>
      </c>
      <c r="AQ78" s="38"/>
      <c r="AR78" s="38">
        <f t="shared" si="7"/>
        <v>124.77500000000001</v>
      </c>
      <c r="AS78" s="38"/>
      <c r="AT78" s="38">
        <f t="shared" si="8"/>
        <v>-500.32600000000002</v>
      </c>
      <c r="AU78" s="38"/>
      <c r="AV78" s="38">
        <f t="shared" si="9"/>
        <v>-1E-3</v>
      </c>
      <c r="AW78" s="38"/>
      <c r="AX78" s="38">
        <f t="shared" si="10"/>
        <v>188.46299999999999</v>
      </c>
      <c r="AY78" s="38"/>
      <c r="AZ78" s="132">
        <f t="shared" si="11"/>
        <v>-188464</v>
      </c>
      <c r="BB78" s="38"/>
      <c r="BC78" s="38">
        <f>SUM('Quarterly I.S'!DA78:DC78)</f>
        <v>0</v>
      </c>
      <c r="BD78" s="38"/>
      <c r="BE78" s="38">
        <f>SUM('Quarterly I.S'!DE78:DG78)</f>
        <v>0</v>
      </c>
      <c r="BF78" s="38"/>
      <c r="BG78" s="38">
        <f>SUM('Quarterly I.S'!DI78:DK78)</f>
        <v>0</v>
      </c>
      <c r="BH78" s="38"/>
      <c r="BI78" s="38">
        <f>SUM('Quarterly I.S'!DM78:DO78)</f>
        <v>9.4916200000000011</v>
      </c>
    </row>
    <row r="79" spans="3:61" x14ac:dyDescent="0.3">
      <c r="C79" s="36" t="s">
        <v>5</v>
      </c>
      <c r="E79" s="38"/>
      <c r="F79" s="38">
        <f>SUM('Quarterly I.S'!G79:I79)</f>
        <v>-689</v>
      </c>
      <c r="G79" s="38"/>
      <c r="H79" s="38">
        <f>SUM('Quarterly I.S'!K79:M79)</f>
        <v>-1075</v>
      </c>
      <c r="I79" s="38"/>
      <c r="J79" s="38">
        <f>SUM('Quarterly I.S'!O79:Q79)</f>
        <v>-1443</v>
      </c>
      <c r="K79" s="38"/>
      <c r="L79" s="38">
        <f>SUM('Quarterly I.S'!S79:U79)</f>
        <v>-2503</v>
      </c>
      <c r="M79" s="132">
        <f t="shared" si="5"/>
        <v>0.73458073458073447</v>
      </c>
      <c r="O79" s="38"/>
      <c r="P79" s="38">
        <f>SUM('Quarterly I.S'!AA79:AC79)</f>
        <v>-689</v>
      </c>
      <c r="Q79" s="38"/>
      <c r="R79" s="38">
        <f>SUM('Quarterly I.S'!AE79:AG79)</f>
        <v>-1075</v>
      </c>
      <c r="S79" s="38"/>
      <c r="T79" s="38">
        <f>SUM('Quarterly I.S'!AI79:AK79)</f>
        <v>-1443</v>
      </c>
      <c r="U79" s="38"/>
      <c r="V79" s="38">
        <f>SUM('Quarterly I.S'!AM79:AO79)</f>
        <v>-2503</v>
      </c>
      <c r="W79" s="132">
        <f t="shared" si="6"/>
        <v>0.73458073458073447</v>
      </c>
      <c r="Y79" s="38"/>
      <c r="Z79" s="38">
        <f>SUM('Quarterly I.S'!AU79:AW79)</f>
        <v>0</v>
      </c>
      <c r="AA79" s="38"/>
      <c r="AB79" s="38">
        <f>SUM('Quarterly I.S'!AY79:BA79)</f>
        <v>0</v>
      </c>
      <c r="AC79" s="38"/>
      <c r="AD79" s="38">
        <f>SUM('Quarterly I.S'!BC79:BE79)</f>
        <v>0</v>
      </c>
      <c r="AE79" s="38"/>
      <c r="AF79" s="38">
        <f>SUM('Quarterly I.S'!BG79:BI79)</f>
        <v>0</v>
      </c>
      <c r="AH79" s="38"/>
      <c r="AI79" s="38">
        <f>SUM('Quarterly I.S'!BN79:BP79)</f>
        <v>0</v>
      </c>
      <c r="AJ79" s="38"/>
      <c r="AK79" s="38">
        <f>SUM('Quarterly I.S'!BR79:BT79)</f>
        <v>0</v>
      </c>
      <c r="AL79" s="38"/>
      <c r="AM79" s="38">
        <f>SUM('Quarterly I.S'!BV79:BX79)</f>
        <v>0</v>
      </c>
      <c r="AN79" s="38"/>
      <c r="AO79" s="38">
        <f>SUM('Quarterly I.S'!BZ79:CB79)</f>
        <v>0</v>
      </c>
      <c r="AQ79" s="38"/>
      <c r="AR79" s="38">
        <f t="shared" si="7"/>
        <v>0</v>
      </c>
      <c r="AS79" s="38"/>
      <c r="AT79" s="38">
        <f t="shared" si="8"/>
        <v>0</v>
      </c>
      <c r="AU79" s="38"/>
      <c r="AV79" s="38">
        <f t="shared" si="9"/>
        <v>0</v>
      </c>
      <c r="AW79" s="38"/>
      <c r="AX79" s="38">
        <f t="shared" si="10"/>
        <v>0</v>
      </c>
      <c r="AY79" s="38"/>
      <c r="AZ79" s="132" t="e">
        <f t="shared" si="11"/>
        <v>#DIV/0!</v>
      </c>
      <c r="BB79" s="38"/>
      <c r="BC79" s="38">
        <f>SUM('Quarterly I.S'!DA79:DC79)</f>
        <v>0</v>
      </c>
      <c r="BD79" s="38"/>
      <c r="BE79" s="38">
        <f>SUM('Quarterly I.S'!DE79:DG79)</f>
        <v>0</v>
      </c>
      <c r="BF79" s="38"/>
      <c r="BG79" s="38">
        <f>SUM('Quarterly I.S'!DI79:DK79)</f>
        <v>0</v>
      </c>
      <c r="BH79" s="38"/>
      <c r="BI79" s="38">
        <f>SUM('Quarterly I.S'!DM79:DO79)</f>
        <v>0</v>
      </c>
    </row>
    <row r="80" spans="3:61" x14ac:dyDescent="0.3">
      <c r="C80" s="36" t="s">
        <v>182</v>
      </c>
      <c r="D80" s="110">
        <v>22</v>
      </c>
      <c r="E80" s="38"/>
      <c r="F80" s="38">
        <f>SUM('Quarterly I.S'!G80:I80)</f>
        <v>-10594.2942564881</v>
      </c>
      <c r="G80" s="38"/>
      <c r="H80" s="38">
        <f>SUM('Quarterly I.S'!K80:M80)</f>
        <v>-55331.502112848597</v>
      </c>
      <c r="I80" s="38"/>
      <c r="J80" s="38">
        <f>SUM('Quarterly I.S'!O80:Q80)</f>
        <v>-189261.65482997947</v>
      </c>
      <c r="K80" s="38"/>
      <c r="L80" s="38">
        <f>SUM('Quarterly I.S'!S80:U80)</f>
        <v>-81280.441224370588</v>
      </c>
      <c r="M80" s="132">
        <f t="shared" si="5"/>
        <v>-0.57053930814782472</v>
      </c>
      <c r="O80" s="38"/>
      <c r="P80" s="38">
        <f>SUM('Quarterly I.S'!AA80:AC80)</f>
        <v>-8170.7726999999995</v>
      </c>
      <c r="Q80" s="38"/>
      <c r="R80" s="38">
        <f>SUM('Quarterly I.S'!AE80:AG80)</f>
        <v>-55128.085559999992</v>
      </c>
      <c r="S80" s="38"/>
      <c r="T80" s="38">
        <f>SUM('Quarterly I.S'!AI80:AK80)</f>
        <v>-178154.03356000007</v>
      </c>
      <c r="U80" s="38"/>
      <c r="V80" s="38">
        <f>SUM('Quarterly I.S'!AM80:AO80)</f>
        <v>-83365.631199999974</v>
      </c>
      <c r="W80" s="132">
        <f t="shared" si="6"/>
        <v>-0.53205869362523606</v>
      </c>
      <c r="Y80" s="38"/>
      <c r="Z80" s="38">
        <f>SUM('Quarterly I.S'!AU80:AW80)</f>
        <v>-361.08979648810009</v>
      </c>
      <c r="AA80" s="38"/>
      <c r="AB80" s="38">
        <f>SUM('Quarterly I.S'!AY80:BA80)</f>
        <v>-493.79715284859986</v>
      </c>
      <c r="AC80" s="38"/>
      <c r="AD80" s="38">
        <f>SUM('Quarterly I.S'!BC80:BE80)</f>
        <v>-11722.035224979401</v>
      </c>
      <c r="AE80" s="38"/>
      <c r="AF80" s="38">
        <f>SUM('Quarterly I.S'!BG80:BI80)</f>
        <v>163.67479562940005</v>
      </c>
      <c r="AH80" s="38"/>
      <c r="AI80" s="38">
        <f>SUM('Quarterly I.S'!BN80:BP80)</f>
        <v>-2062.4317599999999</v>
      </c>
      <c r="AJ80" s="38"/>
      <c r="AK80" s="38">
        <f>SUM('Quarterly I.S'!BR80:BT80)</f>
        <v>332.02680999999995</v>
      </c>
      <c r="AL80" s="38"/>
      <c r="AM80" s="38">
        <f>SUM('Quarterly I.S'!BV80:BX80)</f>
        <v>629.849065</v>
      </c>
      <c r="AN80" s="38"/>
      <c r="AO80" s="38">
        <f>SUM('Quarterly I.S'!BZ80:CB80)</f>
        <v>1977.3613700000001</v>
      </c>
      <c r="AQ80" s="38"/>
      <c r="AR80" s="38">
        <f t="shared" si="7"/>
        <v>-2423.5215564881</v>
      </c>
      <c r="AS80" s="38"/>
      <c r="AT80" s="38">
        <f t="shared" si="8"/>
        <v>-161.77034284859991</v>
      </c>
      <c r="AU80" s="38"/>
      <c r="AV80" s="38">
        <f t="shared" si="9"/>
        <v>-11092.186159979401</v>
      </c>
      <c r="AW80" s="38"/>
      <c r="AX80" s="38">
        <f t="shared" si="10"/>
        <v>2141.0361656294003</v>
      </c>
      <c r="AY80" s="38"/>
      <c r="AZ80" s="132">
        <f t="shared" si="11"/>
        <v>-1.1930220188112473</v>
      </c>
      <c r="BB80" s="38"/>
      <c r="BC80" s="38">
        <f>SUM('Quarterly I.S'!DA80:DC80)</f>
        <v>0</v>
      </c>
      <c r="BD80" s="38"/>
      <c r="BE80" s="38">
        <f>SUM('Quarterly I.S'!DE80:DG80)</f>
        <v>-41.646209999999996</v>
      </c>
      <c r="BF80" s="38"/>
      <c r="BG80" s="38">
        <f>SUM('Quarterly I.S'!DI80:DK80)</f>
        <v>-15.435109999999998</v>
      </c>
      <c r="BH80" s="38"/>
      <c r="BI80" s="38">
        <f>SUM('Quarterly I.S'!DM80:DO80)</f>
        <v>-55.84619</v>
      </c>
    </row>
    <row r="81" spans="2:61" x14ac:dyDescent="0.3">
      <c r="C81" s="43" t="s">
        <v>11</v>
      </c>
      <c r="D81" s="111"/>
      <c r="E81" s="44"/>
      <c r="F81" s="44">
        <f>F71+F72+F73+F75+F76+F77+F78+F79+F80+F70</f>
        <v>-416533.84034948813</v>
      </c>
      <c r="G81" s="44"/>
      <c r="H81" s="44">
        <f>H71+H72+H73+H75+H76+H77+H78+H79+H80+H70</f>
        <v>-633764.61590284889</v>
      </c>
      <c r="I81" s="44"/>
      <c r="J81" s="44">
        <f>J71+J72+J73+J75+J76+J77+J78+J79+J80+J70</f>
        <v>-936398.60221197945</v>
      </c>
      <c r="K81" s="44"/>
      <c r="L81" s="44">
        <f>L71+L72+L73+L75+L76+L77+L78+L79+L80+L70</f>
        <v>-1053402.9575417859</v>
      </c>
      <c r="M81" s="170">
        <f>L81/J81-1</f>
        <v>0.12495144167603023</v>
      </c>
      <c r="O81" s="44"/>
      <c r="P81" s="44">
        <f>P71+P72+P73+P75+P76+P77+P78+P79+P80+P70</f>
        <v>-355287.2867</v>
      </c>
      <c r="Q81" s="44"/>
      <c r="R81" s="44">
        <f>R71+R72+R73+R75+R76+R77+R78+R79+R80+R70</f>
        <v>-528733.46022000012</v>
      </c>
      <c r="S81" s="44"/>
      <c r="T81" s="44">
        <f>T71+T72+T73+T75+T76+T77+T78+T79+T80+T70</f>
        <v>-771537.97459</v>
      </c>
      <c r="U81" s="44"/>
      <c r="V81" s="44">
        <f>V71+V72+V73+V75+V76+V77+V78+V79+V80+V70</f>
        <v>-855274.89664741536</v>
      </c>
      <c r="W81" s="170">
        <f>V81/T81-1</f>
        <v>0.10853246996936683</v>
      </c>
      <c r="X81" s="44"/>
      <c r="Y81" s="44"/>
      <c r="Z81" s="44">
        <f>Z71+Z72+Z73+Z75+Z76+Z77+Z78+Z79+Z80+Z70</f>
        <v>-49966.154796488096</v>
      </c>
      <c r="AA81" s="44"/>
      <c r="AB81" s="44">
        <f>AB71+AB72+AB73+AB75+AB76+AB77+AB78+AB79+AB80+AB70</f>
        <v>-73082.569152848606</v>
      </c>
      <c r="AC81" s="44"/>
      <c r="AD81" s="44">
        <f>AD71+AD72+AD73+AD75+AD76+AD77+AD78+AD79+AD80+AD70</f>
        <v>-117479.19150497939</v>
      </c>
      <c r="AE81" s="44"/>
      <c r="AF81" s="44">
        <f>AF71+AF72+AF73+AF75+AF76+AF77+AF78+AF79+AF80+AF70</f>
        <v>-146278.41944437061</v>
      </c>
      <c r="AG81" s="44"/>
      <c r="AH81" s="44"/>
      <c r="AI81" s="44">
        <f>AI71+AI72+AI73+AI75+AI76+AI77+AI78+AI79+AI80+AI70</f>
        <v>-11280.398853000001</v>
      </c>
      <c r="AJ81" s="44"/>
      <c r="AK81" s="44">
        <f>AK71+AK72+AK73+AK75+AK76+AK77+AK78+AK79+AK80+AK70</f>
        <v>-12713.225999999999</v>
      </c>
      <c r="AL81" s="44"/>
      <c r="AM81" s="44">
        <f>AM71+AM72+AM73+AM75+AM76+AM77+AM78+AM79+AM80+AM70</f>
        <v>-21898.965796999997</v>
      </c>
      <c r="AN81" s="44"/>
      <c r="AO81" s="44">
        <f>AO71+AO72+AO73+AO75+AO76+AO77+AO78+AO79+AO80+AO70</f>
        <v>-26952.422160000006</v>
      </c>
      <c r="AP81" s="44"/>
      <c r="AQ81" s="44"/>
      <c r="AR81" s="44">
        <f>AR71+AR72+AR73+AR75+AR76+AR77+AR78+AR79+AR80+AR70</f>
        <v>-61246.553649488094</v>
      </c>
      <c r="AS81" s="44"/>
      <c r="AT81" s="44">
        <f>AT71+AT72+AT73+AT75+AT76+AT77+AT78+AT79+AT80+AT70</f>
        <v>-85795.795152848601</v>
      </c>
      <c r="AU81" s="44"/>
      <c r="AV81" s="44">
        <f>AV71+AV72+AV73+AV75+AV76+AV77+AV78+AV79+AV80+AV70</f>
        <v>-139378.1573019794</v>
      </c>
      <c r="AW81" s="44"/>
      <c r="AX81" s="44">
        <f>AX71+AX72+AX73+AX75+AX76+AX77+AX78+AX79+AX80+AX70</f>
        <v>-173230.84160437065</v>
      </c>
      <c r="AY81" s="44"/>
      <c r="AZ81" s="170">
        <f>AX81/AV81-1</f>
        <v>0.2428837126110468</v>
      </c>
      <c r="BA81" s="44"/>
      <c r="BB81" s="44"/>
      <c r="BC81" s="44">
        <f>BC71+BC72+BC73+BC75+BC76+BC77+BC78+BC79+BC80+BC70</f>
        <v>0</v>
      </c>
      <c r="BD81" s="44"/>
      <c r="BE81" s="44">
        <f>BE71+BE72+BE73+BE75+BE76+BE77+BE78+BE79+BE80+BE70</f>
        <v>-19235.360530000002</v>
      </c>
      <c r="BF81" s="44"/>
      <c r="BG81" s="44">
        <f>BG71+BG72+BG73+BG75+BG76+BG77+BG78+BG79+BG80+BG70</f>
        <v>-25482.47032</v>
      </c>
      <c r="BH81" s="44"/>
      <c r="BI81" s="44">
        <f>BI71+BI72+BI73+BI75+BI76+BI77+BI78+BI79+BI80+BI70</f>
        <v>-24897.219289999997</v>
      </c>
    </row>
    <row r="82" spans="2:61" s="45" customFormat="1" x14ac:dyDescent="0.3">
      <c r="C82" s="88" t="s">
        <v>43</v>
      </c>
      <c r="D82" s="117"/>
      <c r="E82" s="89"/>
      <c r="F82" s="89">
        <f>F35+F62+F81+F67</f>
        <v>469731.75488651387</v>
      </c>
      <c r="G82" s="89"/>
      <c r="H82" s="89">
        <f>H35+H62+H81+H67</f>
        <v>503959.42334059259</v>
      </c>
      <c r="I82" s="89"/>
      <c r="J82" s="89">
        <f>J35+J62+J81+J67</f>
        <v>663992.50868472096</v>
      </c>
      <c r="K82" s="89"/>
      <c r="L82" s="89">
        <f>L35+L62+L81+L67</f>
        <v>642885.35348805424</v>
      </c>
      <c r="M82" s="177">
        <f>L82/J82-1</f>
        <v>-3.178824297050753E-2</v>
      </c>
      <c r="O82" s="89"/>
      <c r="P82" s="89">
        <f>P35+P62+P81+P67</f>
        <v>421691.95326000196</v>
      </c>
      <c r="Q82" s="89"/>
      <c r="R82" s="89">
        <f>R35+R62+R81+R67</f>
        <v>444886.37665828422</v>
      </c>
      <c r="S82" s="89"/>
      <c r="T82" s="89">
        <f>T35+T62+T81+T67</f>
        <v>587456.72841886955</v>
      </c>
      <c r="U82" s="89"/>
      <c r="V82" s="89">
        <f>V35+V62+V81+V67</f>
        <v>472541.99388226733</v>
      </c>
      <c r="W82" s="177">
        <f>V82/T82-1</f>
        <v>-0.19561395584980945</v>
      </c>
      <c r="X82" s="90"/>
      <c r="Y82" s="89"/>
      <c r="Z82" s="89">
        <f>Z35+Z62+Z81+Z67</f>
        <v>30191.223203511901</v>
      </c>
      <c r="AA82" s="89"/>
      <c r="AB82" s="89">
        <f>AB35+AB62+AB81+AB67</f>
        <v>57767.010847151389</v>
      </c>
      <c r="AC82" s="89"/>
      <c r="AD82" s="89">
        <f>AD35+AD62+AD81+AD67</f>
        <v>98179.750495020722</v>
      </c>
      <c r="AE82" s="89"/>
      <c r="AF82" s="89">
        <f>AF35+AF62+AF81+AF67</f>
        <v>160230.42755562969</v>
      </c>
      <c r="AG82" s="90"/>
      <c r="AH82" s="89"/>
      <c r="AI82" s="89">
        <f>AI35+AI62+AI81+AI67</f>
        <v>17848.578422999999</v>
      </c>
      <c r="AJ82" s="89"/>
      <c r="AK82" s="89">
        <f>AK35+AK62+AK81+AK67</f>
        <v>12775.799890000006</v>
      </c>
      <c r="AL82" s="89"/>
      <c r="AM82" s="89">
        <f>AM35+AM62+AM81+AM67</f>
        <v>1661.2597160000187</v>
      </c>
      <c r="AN82" s="89"/>
      <c r="AO82" s="89">
        <f>AO35+AO62+AO81+AO67</f>
        <v>30568.398689999991</v>
      </c>
      <c r="AP82" s="90"/>
      <c r="AQ82" s="89"/>
      <c r="AR82" s="89">
        <f>AR35+AR62+AR81+AR67</f>
        <v>48039.801626511908</v>
      </c>
      <c r="AS82" s="89"/>
      <c r="AT82" s="89">
        <f>AT35+AT62+AT81+AT67</f>
        <v>70542.810737151405</v>
      </c>
      <c r="AU82" s="89"/>
      <c r="AV82" s="89">
        <f>AV35+AV62+AV81+AV67</f>
        <v>99841.010211020723</v>
      </c>
      <c r="AW82" s="89"/>
      <c r="AX82" s="89">
        <f>AX35+AX62+AX81+AX67</f>
        <v>190798.82624562961</v>
      </c>
      <c r="AY82" s="89"/>
      <c r="AZ82" s="177">
        <f>AX82/AV82-1</f>
        <v>0.91102659961436072</v>
      </c>
      <c r="BA82" s="90"/>
      <c r="BB82" s="89"/>
      <c r="BC82" s="89">
        <f>BC35+BC62+BC81+BC67</f>
        <v>0</v>
      </c>
      <c r="BD82" s="89"/>
      <c r="BE82" s="89">
        <f>BE35+BE62+BE81+BE67</f>
        <v>-11469.764054842704</v>
      </c>
      <c r="BF82" s="89"/>
      <c r="BG82" s="89">
        <f>BG35+BG62+BG81+BG67</f>
        <v>-23305.229945169216</v>
      </c>
      <c r="BH82" s="89"/>
      <c r="BI82" s="89">
        <f>BI35+BI62+BI81+BI67</f>
        <v>-20455.466639842671</v>
      </c>
    </row>
    <row r="83" spans="2:61" x14ac:dyDescent="0.3">
      <c r="C83" s="36" t="s">
        <v>6</v>
      </c>
      <c r="D83" s="110">
        <v>23</v>
      </c>
      <c r="E83" s="38"/>
      <c r="F83" s="38">
        <f>SUM('Quarterly I.S'!G83:I83)</f>
        <v>-127808.08623699998</v>
      </c>
      <c r="G83" s="38"/>
      <c r="H83" s="38">
        <f>SUM('Quarterly I.S'!K83:M83)</f>
        <v>-153412.85165000003</v>
      </c>
      <c r="I83" s="38"/>
      <c r="J83" s="38">
        <f>SUM('Quarterly I.S'!O83:Q83)</f>
        <v>-200683.80522000004</v>
      </c>
      <c r="K83" s="38"/>
      <c r="L83" s="38">
        <f>SUM('Quarterly I.S'!S83:U83)</f>
        <v>-188831.97550999999</v>
      </c>
      <c r="M83" s="132">
        <f>L83/J83-1</f>
        <v>-5.9057230338080635E-2</v>
      </c>
      <c r="O83" s="38"/>
      <c r="P83" s="38">
        <f>SUM('Quarterly I.S'!AA83:AC83)</f>
        <v>-120214.75289999999</v>
      </c>
      <c r="Q83" s="38"/>
      <c r="R83" s="38">
        <f>SUM('Quarterly I.S'!AE83:AG83)</f>
        <v>-136852.18976000004</v>
      </c>
      <c r="S83" s="38"/>
      <c r="T83" s="38">
        <f>SUM('Quarterly I.S'!AI83:AK83)</f>
        <v>-171636.37458000003</v>
      </c>
      <c r="U83" s="38"/>
      <c r="V83" s="38">
        <f>SUM('Quarterly I.S'!AM83:AO83)</f>
        <v>-145947.54584000001</v>
      </c>
      <c r="W83" s="132">
        <f>V83/T83-1</f>
        <v>-0.14967007315821867</v>
      </c>
      <c r="Y83" s="38"/>
      <c r="Z83" s="38">
        <f>SUM('Quarterly I.S'!AU83:AW83)</f>
        <v>-5794.6129999999994</v>
      </c>
      <c r="AA83" s="38"/>
      <c r="AB83" s="38">
        <f>SUM('Quarterly I.S'!AY83:BA83)</f>
        <v>-12143.851000000001</v>
      </c>
      <c r="AC83" s="38"/>
      <c r="AD83" s="38">
        <f>SUM('Quarterly I.S'!BC83:BE83)</f>
        <v>-26417.887000000002</v>
      </c>
      <c r="AE83" s="38"/>
      <c r="AF83" s="38">
        <f>SUM('Quarterly I.S'!BG83:BI83)</f>
        <v>-34299.221000000005</v>
      </c>
      <c r="AH83" s="38"/>
      <c r="AI83" s="38">
        <f>SUM('Quarterly I.S'!BN83:BP83)</f>
        <v>-1798.7203369999997</v>
      </c>
      <c r="AJ83" s="38"/>
      <c r="AK83" s="38">
        <f>SUM('Quarterly I.S'!BR83:BT83)</f>
        <v>-2349.9647799999998</v>
      </c>
      <c r="AL83" s="38"/>
      <c r="AM83" s="38">
        <f>SUM('Quarterly I.S'!BV83:BX83)</f>
        <v>-129.26812000000001</v>
      </c>
      <c r="AN83" s="38"/>
      <c r="AO83" s="38">
        <f>SUM('Quarterly I.S'!BZ83:CB83)</f>
        <v>-6560.9085699999996</v>
      </c>
      <c r="AQ83" s="38"/>
      <c r="AR83" s="38">
        <f>Z83+AI83</f>
        <v>-7593.3333369999991</v>
      </c>
      <c r="AS83" s="38"/>
      <c r="AT83" s="38">
        <f>AB83+AK83</f>
        <v>-14493.815780000001</v>
      </c>
      <c r="AU83" s="38"/>
      <c r="AV83" s="38">
        <f>AD83+AM83</f>
        <v>-26547.155120000003</v>
      </c>
      <c r="AW83" s="38"/>
      <c r="AX83" s="38">
        <f>AF83+AO83</f>
        <v>-40860.129570000005</v>
      </c>
      <c r="AY83" s="38"/>
      <c r="AZ83" s="132">
        <f>AX83/AV83-1</f>
        <v>0.53915285405542157</v>
      </c>
      <c r="BB83" s="38"/>
      <c r="BC83" s="38">
        <f>SUM('Quarterly I.S'!DA83:DC83)</f>
        <v>0</v>
      </c>
      <c r="BD83" s="38"/>
      <c r="BE83" s="38">
        <f>SUM('Quarterly I.S'!DE83:DG83)</f>
        <v>-2066.84611</v>
      </c>
      <c r="BF83" s="38"/>
      <c r="BG83" s="38">
        <f>SUM('Quarterly I.S'!DI83:DK83)</f>
        <v>-2500.2755200000001</v>
      </c>
      <c r="BH83" s="38"/>
      <c r="BI83" s="38">
        <f>SUM('Quarterly I.S'!DM83:DO83)</f>
        <v>-2024.3001000000002</v>
      </c>
    </row>
    <row r="84" spans="2:61" x14ac:dyDescent="0.3">
      <c r="C84" s="39" t="s">
        <v>65</v>
      </c>
      <c r="D84" s="109"/>
      <c r="E84" s="40"/>
      <c r="F84" s="40">
        <f>-F83/F82</f>
        <v>0.27208738797716181</v>
      </c>
      <c r="G84" s="40"/>
      <c r="H84" s="40">
        <f>-H83/H82</f>
        <v>0.304415086899404</v>
      </c>
      <c r="I84" s="40"/>
      <c r="J84" s="40">
        <f>-J83/J82</f>
        <v>0.30223805629603778</v>
      </c>
      <c r="K84" s="40"/>
      <c r="L84" s="40">
        <f>-L83/L82</f>
        <v>0.29372573894469467</v>
      </c>
      <c r="M84" s="169"/>
      <c r="O84" s="40"/>
      <c r="P84" s="40">
        <f>-P83/P82</f>
        <v>0.2850771800852443</v>
      </c>
      <c r="Q84" s="40"/>
      <c r="R84" s="40">
        <f>-R83/R82</f>
        <v>0.3076115541859259</v>
      </c>
      <c r="S84" s="40"/>
      <c r="T84" s="40">
        <f>-T83/T82</f>
        <v>0.29216853987179042</v>
      </c>
      <c r="U84" s="40"/>
      <c r="V84" s="40">
        <f>-V83/V82</f>
        <v>0.30885624500996728</v>
      </c>
      <c r="W84" s="169"/>
      <c r="Y84" s="40"/>
      <c r="Z84" s="40">
        <f>-Z83/Z82</f>
        <v>0.19193038191728379</v>
      </c>
      <c r="AA84" s="40"/>
      <c r="AB84" s="40">
        <f>-AB83/AB82</f>
        <v>0.21022121141306793</v>
      </c>
      <c r="AC84" s="40"/>
      <c r="AD84" s="40">
        <f>-AD83/AD82</f>
        <v>0.26907673799130105</v>
      </c>
      <c r="AE84" s="40"/>
      <c r="AF84" s="40">
        <f>-AF83/AF82</f>
        <v>0.21406184532642411</v>
      </c>
      <c r="AH84" s="40"/>
      <c r="AI84" s="40">
        <f>-AI83/AI82</f>
        <v>0.1007766722016436</v>
      </c>
      <c r="AJ84" s="40"/>
      <c r="AK84" s="40">
        <f>-AK83/AK82</f>
        <v>0.1839387592349021</v>
      </c>
      <c r="AL84" s="40"/>
      <c r="AM84" s="40">
        <f>-AM83/AM82</f>
        <v>7.7813311642355235E-2</v>
      </c>
      <c r="AN84" s="40"/>
      <c r="AO84" s="40">
        <f>-AO83/AO82</f>
        <v>0.2146304304826509</v>
      </c>
      <c r="AQ84" s="40"/>
      <c r="AR84" s="40">
        <f>-AR83/AR82</f>
        <v>0.15806337828025996</v>
      </c>
      <c r="AS84" s="40"/>
      <c r="AT84" s="40">
        <f>-AT83/AT82</f>
        <v>0.20546127420418797</v>
      </c>
      <c r="AU84" s="40"/>
      <c r="AV84" s="40">
        <f>-AV83/AV82</f>
        <v>0.26589429598008668</v>
      </c>
      <c r="AW84" s="40"/>
      <c r="AX84" s="40">
        <f>-AX83/AX82</f>
        <v>0.21415293990015274</v>
      </c>
      <c r="AY84" s="40"/>
      <c r="AZ84" s="169"/>
      <c r="BB84" s="40"/>
      <c r="BC84" s="40" t="e">
        <f>-BC83/BC82</f>
        <v>#DIV/0!</v>
      </c>
      <c r="BD84" s="40"/>
      <c r="BE84" s="40">
        <f>-BE83/BE82</f>
        <v>-0.18019953157862448</v>
      </c>
      <c r="BF84" s="40"/>
      <c r="BG84" s="40">
        <f>-BG83/BG82</f>
        <v>-0.10728388116669346</v>
      </c>
      <c r="BH84" s="40"/>
      <c r="BI84" s="40">
        <f>-BI83/BI82</f>
        <v>-9.8961325871545588E-2</v>
      </c>
    </row>
    <row r="85" spans="2:61" s="45" customFormat="1" x14ac:dyDescent="0.3">
      <c r="C85" s="86" t="s">
        <v>7</v>
      </c>
      <c r="D85" s="118"/>
      <c r="E85" s="87"/>
      <c r="F85" s="87">
        <f>SUM(F82:F83)</f>
        <v>341923.66864951386</v>
      </c>
      <c r="G85" s="87"/>
      <c r="H85" s="87">
        <f>SUM(H82:H83)</f>
        <v>350546.57169059257</v>
      </c>
      <c r="I85" s="87"/>
      <c r="J85" s="87">
        <f>SUM(J82:J83)</f>
        <v>463308.70346472092</v>
      </c>
      <c r="K85" s="87"/>
      <c r="L85" s="87">
        <f>SUM(L82:L83)</f>
        <v>454053.37797805422</v>
      </c>
      <c r="M85" s="178">
        <f>L85/J85-1</f>
        <v>-1.9976584548171417E-2</v>
      </c>
      <c r="O85" s="87"/>
      <c r="P85" s="87">
        <f>SUM(P82:P83)</f>
        <v>301477.200360002</v>
      </c>
      <c r="Q85" s="87"/>
      <c r="R85" s="87">
        <f>SUM(R82:R83)</f>
        <v>308034.18689828418</v>
      </c>
      <c r="S85" s="87"/>
      <c r="T85" s="87">
        <f>SUM(T82:T83)</f>
        <v>415820.35383886949</v>
      </c>
      <c r="U85" s="87"/>
      <c r="V85" s="87">
        <f>SUM(V82:V83)</f>
        <v>326594.44804226735</v>
      </c>
      <c r="W85" s="178">
        <f>V85/T85-1</f>
        <v>-0.21457801421422773</v>
      </c>
      <c r="X85" s="49"/>
      <c r="Y85" s="87"/>
      <c r="Z85" s="87">
        <f>SUM(Z82:Z83)</f>
        <v>24396.610203511904</v>
      </c>
      <c r="AA85" s="87"/>
      <c r="AB85" s="87">
        <f>SUM(AB82:AB83)</f>
        <v>45623.159847151386</v>
      </c>
      <c r="AC85" s="87"/>
      <c r="AD85" s="87">
        <f>SUM(AD82:AD83)</f>
        <v>71761.86349502072</v>
      </c>
      <c r="AE85" s="87"/>
      <c r="AF85" s="87">
        <f>SUM(AF82:AF83)</f>
        <v>125931.20655562969</v>
      </c>
      <c r="AG85" s="49"/>
      <c r="AH85" s="87"/>
      <c r="AI85" s="87">
        <f>SUM(AI82:AI83)</f>
        <v>16049.858086</v>
      </c>
      <c r="AJ85" s="87"/>
      <c r="AK85" s="87">
        <f>SUM(AK82:AK83)</f>
        <v>10425.835110000005</v>
      </c>
      <c r="AL85" s="87"/>
      <c r="AM85" s="87">
        <f>SUM(AM82:AM83)</f>
        <v>1531.9915960000187</v>
      </c>
      <c r="AN85" s="87"/>
      <c r="AO85" s="87">
        <f>SUM(AO82:AO83)</f>
        <v>24007.490119999991</v>
      </c>
      <c r="AP85" s="49"/>
      <c r="AQ85" s="87"/>
      <c r="AR85" s="87">
        <f>SUM(AR82:AR83)</f>
        <v>40446.468289511911</v>
      </c>
      <c r="AS85" s="87"/>
      <c r="AT85" s="87">
        <f>SUM(AT82:AT83)</f>
        <v>56048.994957151401</v>
      </c>
      <c r="AU85" s="87"/>
      <c r="AV85" s="87">
        <f>SUM(AV82:AV83)</f>
        <v>73293.855091020727</v>
      </c>
      <c r="AW85" s="87"/>
      <c r="AX85" s="87">
        <f>SUM(AX82:AX83)</f>
        <v>149938.69667562959</v>
      </c>
      <c r="AY85" s="87"/>
      <c r="AZ85" s="178">
        <f>AX85/AV85-1</f>
        <v>1.0457198831938457</v>
      </c>
      <c r="BA85" s="49"/>
      <c r="BB85" s="87"/>
      <c r="BC85" s="87">
        <f>SUM(BC82:BC83)</f>
        <v>0</v>
      </c>
      <c r="BD85" s="87"/>
      <c r="BE85" s="87">
        <f>SUM(BE82:BE83)</f>
        <v>-13536.610164842705</v>
      </c>
      <c r="BF85" s="87"/>
      <c r="BG85" s="87">
        <f>SUM(BG82:BG83)</f>
        <v>-25805.505465169215</v>
      </c>
      <c r="BH85" s="87"/>
      <c r="BI85" s="87">
        <f>SUM(BI82:BI83)</f>
        <v>-22479.766739842671</v>
      </c>
    </row>
    <row r="86" spans="2:61" x14ac:dyDescent="0.3">
      <c r="C86" s="36" t="s">
        <v>8</v>
      </c>
      <c r="E86" s="38"/>
      <c r="F86" s="38">
        <f>SUM('Quarterly I.S'!G86:I86)</f>
        <v>-11586.353246823197</v>
      </c>
      <c r="G86" s="38"/>
      <c r="H86" s="38">
        <f>SUM('Quarterly I.S'!K86:M86)</f>
        <v>-14369.127292766287</v>
      </c>
      <c r="I86" s="38"/>
      <c r="J86" s="38">
        <f>SUM('Quarterly I.S'!O86:Q86)</f>
        <v>-25265.057021279812</v>
      </c>
      <c r="K86" s="38"/>
      <c r="L86" s="38">
        <f>SUM('Quarterly I.S'!S86:U86)</f>
        <v>-43706.082161779705</v>
      </c>
      <c r="M86" s="132">
        <f>L86/J86-1</f>
        <v>0.7299023756395131</v>
      </c>
      <c r="O86" s="38"/>
      <c r="P86" s="38">
        <f>SUM('Quarterly I.S'!AA86:AC86)</f>
        <v>-4370.8449137231992</v>
      </c>
      <c r="Q86" s="38"/>
      <c r="R86" s="38">
        <f>SUM('Quarterly I.S'!AE86:AG86)</f>
        <v>-4513.7396613662859</v>
      </c>
      <c r="S86" s="38"/>
      <c r="T86" s="38">
        <f>SUM('Quarterly I.S'!AI86:AK86)</f>
        <v>-10761.951777847811</v>
      </c>
      <c r="U86" s="38"/>
      <c r="V86" s="38">
        <f>SUM('Quarterly I.S'!AM86:AO86)</f>
        <v>-14065.003094743712</v>
      </c>
      <c r="W86" s="132">
        <f>V86/T86-1</f>
        <v>0.30691935673739379</v>
      </c>
      <c r="Y86" s="38"/>
      <c r="Z86" s="38">
        <f>SUM('Quarterly I.S'!AU86:AW86)</f>
        <v>-4007.3367158999999</v>
      </c>
      <c r="AA86" s="38"/>
      <c r="AB86" s="38">
        <f>SUM('Quarterly I.S'!AY86:BA86)</f>
        <v>-7986.2565552000005</v>
      </c>
      <c r="AC86" s="38"/>
      <c r="AD86" s="38">
        <f>SUM('Quarterly I.S'!BC86:BE86)</f>
        <v>-14114.8358556</v>
      </c>
      <c r="AE86" s="38"/>
      <c r="AF86" s="38">
        <f>SUM('Quarterly I.S'!BG86:BI86)</f>
        <v>-24831.535636299999</v>
      </c>
      <c r="AH86" s="38"/>
      <c r="AI86" s="38">
        <f>SUM('Quarterly I.S'!BN86:BP86)</f>
        <v>-3208.1716171999979</v>
      </c>
      <c r="AJ86" s="38"/>
      <c r="AK86" s="38">
        <f>SUM('Quarterly I.S'!BR86:BT86)</f>
        <v>-1866.1608920000017</v>
      </c>
      <c r="AL86" s="38"/>
      <c r="AM86" s="38">
        <f>SUM('Quarterly I.S'!BV86:BX86)</f>
        <v>-385.66410320000227</v>
      </c>
      <c r="AN86" s="38"/>
      <c r="AO86" s="38">
        <f>SUM('Quarterly I.S'!BZ86:CB86)</f>
        <v>-4806.8590439999953</v>
      </c>
      <c r="AQ86" s="38"/>
      <c r="AR86" s="38">
        <f>Z86+AI86</f>
        <v>-7215.5083330999978</v>
      </c>
      <c r="AS86" s="38"/>
      <c r="AT86" s="38">
        <f>AB86+AK86</f>
        <v>-9852.4174472000013</v>
      </c>
      <c r="AU86" s="38"/>
      <c r="AV86" s="38">
        <f>AD86+AM86</f>
        <v>-14500.499958800003</v>
      </c>
      <c r="AW86" s="38"/>
      <c r="AX86" s="38">
        <f>AF86+AO86</f>
        <v>-29638.394680299993</v>
      </c>
      <c r="AY86" s="38"/>
      <c r="AZ86" s="132">
        <f>AX86/AV86-1</f>
        <v>1.0439567438716599</v>
      </c>
      <c r="BB86" s="38"/>
      <c r="BC86" s="38">
        <f>SUM('Quarterly I.S'!DA86:DC86)</f>
        <v>0</v>
      </c>
      <c r="BD86" s="38"/>
      <c r="BE86" s="38">
        <f>SUM('Quarterly I.S'!DE86:DG86)</f>
        <v>-2.9701841999996734</v>
      </c>
      <c r="BF86" s="38"/>
      <c r="BG86" s="38">
        <f>SUM('Quarterly I.S'!DI86:DK86)</f>
        <v>-2.6052846319997141</v>
      </c>
      <c r="BH86" s="38"/>
      <c r="BI86" s="38">
        <f>SUM('Quarterly I.S'!DM86:DO86)</f>
        <v>-2.6843867359997038</v>
      </c>
    </row>
    <row r="87" spans="2:61" x14ac:dyDescent="0.3">
      <c r="C87" s="39" t="s">
        <v>66</v>
      </c>
      <c r="D87" s="109"/>
      <c r="E87" s="40"/>
      <c r="F87" s="40">
        <f>-F86/F85</f>
        <v>3.388578887383107E-2</v>
      </c>
      <c r="G87" s="40"/>
      <c r="H87" s="40">
        <f>-H86/H85</f>
        <v>4.0990637059914237E-2</v>
      </c>
      <c r="I87" s="40"/>
      <c r="J87" s="40">
        <f>-J86/J85</f>
        <v>5.4531798846735119E-2</v>
      </c>
      <c r="K87" s="40"/>
      <c r="L87" s="40">
        <f>-L86/L85</f>
        <v>9.6257586181623236E-2</v>
      </c>
      <c r="M87" s="169"/>
      <c r="O87" s="40"/>
      <c r="P87" s="40">
        <f>-P86/P85</f>
        <v>1.4498094411464138E-2</v>
      </c>
      <c r="Q87" s="40"/>
      <c r="R87" s="40">
        <f>-R86/R85</f>
        <v>1.4653372428615417E-2</v>
      </c>
      <c r="S87" s="40"/>
      <c r="T87" s="40">
        <f>-T86/T85</f>
        <v>2.5881252994215072E-2</v>
      </c>
      <c r="U87" s="40"/>
      <c r="V87" s="40">
        <f>-V86/V85</f>
        <v>4.3065652766159208E-2</v>
      </c>
      <c r="W87" s="169"/>
      <c r="Y87" s="40"/>
      <c r="Z87" s="40">
        <f>-Z86/Z85</f>
        <v>0.16425793101875857</v>
      </c>
      <c r="AA87" s="40"/>
      <c r="AB87" s="40">
        <f>-AB86/AB85</f>
        <v>0.17504829963456917</v>
      </c>
      <c r="AC87" s="40"/>
      <c r="AD87" s="40">
        <f>-AD86/AD85</f>
        <v>0.19668992927670245</v>
      </c>
      <c r="AE87" s="40"/>
      <c r="AF87" s="40">
        <f>-AF86/AF85</f>
        <v>0.19718333775616412</v>
      </c>
      <c r="AH87" s="40"/>
      <c r="AI87" s="40">
        <f>-AI86/AI85</f>
        <v>0.19988784947565535</v>
      </c>
      <c r="AJ87" s="40"/>
      <c r="AK87" s="40">
        <f>-AK86/AK85</f>
        <v>0.17899390047038646</v>
      </c>
      <c r="AL87" s="40"/>
      <c r="AM87" s="40">
        <f>-AM86/AM85</f>
        <v>0.25174035171404269</v>
      </c>
      <c r="AN87" s="40"/>
      <c r="AO87" s="40">
        <f>-AO86/AO85</f>
        <v>0.2002233061420915</v>
      </c>
      <c r="AQ87" s="40"/>
      <c r="AR87" s="40">
        <f>-AR86/AR85</f>
        <v>0.17839649883525271</v>
      </c>
      <c r="AS87" s="40"/>
      <c r="AT87" s="40">
        <f>-AT86/AT85</f>
        <v>0.1757822322190081</v>
      </c>
      <c r="AU87" s="40"/>
      <c r="AV87" s="40">
        <f>-AV86/AV85</f>
        <v>0.19784059578790619</v>
      </c>
      <c r="AW87" s="40"/>
      <c r="AX87" s="40">
        <f>-AX86/AX85</f>
        <v>0.19767008342361625</v>
      </c>
      <c r="AY87" s="40"/>
      <c r="AZ87" s="169"/>
      <c r="BB87" s="40"/>
      <c r="BC87" s="40" t="e">
        <f>-BC86/BC85</f>
        <v>#DIV/0!</v>
      </c>
      <c r="BD87" s="40"/>
      <c r="BE87" s="40">
        <f>-BE86/BE85</f>
        <v>-2.194186109986264E-4</v>
      </c>
      <c r="BF87" s="40"/>
      <c r="BG87" s="40">
        <f>-BG86/BG85</f>
        <v>-1.0095848095346076E-4</v>
      </c>
      <c r="BH87" s="40"/>
      <c r="BI87" s="40">
        <f>-BI86/BI85</f>
        <v>-1.1941346042714724E-4</v>
      </c>
    </row>
    <row r="88" spans="2:61" s="45" customFormat="1" x14ac:dyDescent="0.3">
      <c r="C88" s="86" t="s">
        <v>9</v>
      </c>
      <c r="D88" s="118"/>
      <c r="E88" s="87"/>
      <c r="F88" s="87">
        <f>SUM(F85:F86)</f>
        <v>330337.31540269067</v>
      </c>
      <c r="G88" s="87"/>
      <c r="H88" s="87">
        <f>SUM(H85:H86)</f>
        <v>336177.44439782627</v>
      </c>
      <c r="I88" s="87"/>
      <c r="J88" s="87">
        <f>SUM(J85:J86)</f>
        <v>438043.6464434411</v>
      </c>
      <c r="K88" s="87"/>
      <c r="L88" s="87">
        <f>SUM(L85:L86)</f>
        <v>410347.29581627453</v>
      </c>
      <c r="M88" s="178">
        <f>L88/J88-1</f>
        <v>-6.3227376659925283E-2</v>
      </c>
      <c r="O88" s="87"/>
      <c r="P88" s="87">
        <f>SUM(P85:P86)</f>
        <v>297106.35544627882</v>
      </c>
      <c r="Q88" s="87"/>
      <c r="R88" s="87">
        <f>SUM(R85:R86)</f>
        <v>303520.44723691791</v>
      </c>
      <c r="S88" s="87"/>
      <c r="T88" s="87">
        <f>SUM(T85:T86)</f>
        <v>405058.40206102165</v>
      </c>
      <c r="U88" s="87"/>
      <c r="V88" s="87">
        <f>SUM(V85:V86)</f>
        <v>312529.44494752365</v>
      </c>
      <c r="W88" s="178">
        <f>V88/T88-1</f>
        <v>-0.22843362004760637</v>
      </c>
      <c r="X88" s="145"/>
      <c r="Y88" s="87"/>
      <c r="Z88" s="87">
        <f>SUM(Z85:Z86)</f>
        <v>20389.273487611903</v>
      </c>
      <c r="AA88" s="87"/>
      <c r="AB88" s="87">
        <f>SUM(AB85:AB86)</f>
        <v>37636.903291951385</v>
      </c>
      <c r="AC88" s="87"/>
      <c r="AD88" s="87">
        <f>SUM(AD85:AD86)</f>
        <v>57647.027639420718</v>
      </c>
      <c r="AE88" s="87"/>
      <c r="AF88" s="87">
        <f>SUM(AF85:AF86)</f>
        <v>101099.67091932968</v>
      </c>
      <c r="AG88" s="49"/>
      <c r="AH88" s="87"/>
      <c r="AI88" s="87">
        <f>SUM(AI85:AI86)</f>
        <v>12841.686468800002</v>
      </c>
      <c r="AJ88" s="87"/>
      <c r="AK88" s="87">
        <f>SUM(AK85:AK86)</f>
        <v>8559.6742180000037</v>
      </c>
      <c r="AL88" s="87"/>
      <c r="AM88" s="87">
        <f>SUM(AM85:AM86)</f>
        <v>1146.3274928000164</v>
      </c>
      <c r="AN88" s="87"/>
      <c r="AO88" s="87">
        <f>SUM(AO85:AO86)</f>
        <v>19200.631075999998</v>
      </c>
      <c r="AP88" s="49"/>
      <c r="AQ88" s="87"/>
      <c r="AR88" s="87">
        <f>SUM(AR85:AR86)</f>
        <v>33230.959956411913</v>
      </c>
      <c r="AS88" s="87"/>
      <c r="AT88" s="87">
        <f>SUM(AT85:AT86)</f>
        <v>46196.577509951399</v>
      </c>
      <c r="AU88" s="87"/>
      <c r="AV88" s="87">
        <f>SUM(AV85:AV86)</f>
        <v>58793.35513222072</v>
      </c>
      <c r="AW88" s="87"/>
      <c r="AX88" s="87">
        <f>SUM(AX85:AX86)</f>
        <v>120300.30199532959</v>
      </c>
      <c r="AY88" s="87"/>
      <c r="AZ88" s="178">
        <f>AX88/AV88-1</f>
        <v>1.0461547350850369</v>
      </c>
      <c r="BA88" s="49"/>
      <c r="BB88" s="87"/>
      <c r="BC88" s="87">
        <f>SUM(BC85:BC86)</f>
        <v>0</v>
      </c>
      <c r="BD88" s="87"/>
      <c r="BE88" s="87">
        <f>SUM(BE85:BE86)</f>
        <v>-13539.580349042704</v>
      </c>
      <c r="BF88" s="87"/>
      <c r="BG88" s="87">
        <f>SUM(BG85:BG86)</f>
        <v>-25808.110749801213</v>
      </c>
      <c r="BH88" s="87"/>
      <c r="BI88" s="87">
        <f>SUM(BI85:BI86)</f>
        <v>-22482.451126578671</v>
      </c>
    </row>
    <row r="89" spans="2:61" x14ac:dyDescent="0.3">
      <c r="C89" s="59" t="s">
        <v>51</v>
      </c>
      <c r="D89" s="119"/>
      <c r="E89" s="60"/>
      <c r="F89" s="60">
        <f>F88-SUM('Quarterly I.S'!G88:I88)</f>
        <v>0</v>
      </c>
      <c r="G89" s="60"/>
      <c r="H89" s="60">
        <f>H88-SUM('Quarterly I.S'!K88:M88)</f>
        <v>0</v>
      </c>
      <c r="I89" s="60"/>
      <c r="J89" s="60">
        <f>J88-SUM('Quarterly I.S'!O88:Q88)</f>
        <v>0</v>
      </c>
      <c r="K89" s="60"/>
      <c r="L89" s="60">
        <f>L88-SUM('Quarterly I.S'!S88:U88)</f>
        <v>4.6566128730773926E-10</v>
      </c>
      <c r="M89" s="179"/>
      <c r="N89" s="59"/>
      <c r="O89" s="60"/>
      <c r="P89" s="60">
        <f>P88-SUM('Quarterly I.S'!AA88:AC88)</f>
        <v>0</v>
      </c>
      <c r="Q89" s="60"/>
      <c r="R89" s="60">
        <f>R88-SUM('Quarterly I.S'!AE88:AG88)</f>
        <v>0</v>
      </c>
      <c r="S89" s="60"/>
      <c r="T89" s="60">
        <f>T88-SUM('Quarterly I.S'!AI88:AK88)</f>
        <v>0</v>
      </c>
      <c r="U89" s="60"/>
      <c r="V89" s="60">
        <f>V88-SUM('Quarterly I.S'!AM88:AO88)</f>
        <v>0</v>
      </c>
      <c r="W89" s="179"/>
      <c r="X89" s="59"/>
      <c r="Y89" s="60"/>
      <c r="Z89" s="60">
        <f>Z88-SUM('Quarterly I.S'!AU88:AW88)</f>
        <v>0</v>
      </c>
      <c r="AA89" s="60"/>
      <c r="AB89" s="60">
        <f>AB88-SUM('Quarterly I.S'!AY88:BA88)</f>
        <v>0</v>
      </c>
      <c r="AC89" s="60"/>
      <c r="AD89" s="60">
        <f>AD88-SUM('Quarterly I.S'!BC88:BE88)</f>
        <v>1.2369127944111824E-10</v>
      </c>
      <c r="AE89" s="60"/>
      <c r="AF89" s="60">
        <f>AF88-SUM('Quarterly I.S'!BG88:BI88)</f>
        <v>2.7648638933897018E-10</v>
      </c>
      <c r="AG89" s="59"/>
      <c r="AH89" s="60"/>
      <c r="AI89" s="60">
        <f>AI88-SUM('Quarterly I.S'!BN88:BP88)</f>
        <v>0</v>
      </c>
      <c r="AJ89" s="60"/>
      <c r="AK89" s="60">
        <f>AK88-SUM('Quarterly I.S'!BR88:BT88)</f>
        <v>0</v>
      </c>
      <c r="AL89" s="60"/>
      <c r="AM89" s="60">
        <f>AM88-SUM('Quarterly I.S'!BV88:BX88)</f>
        <v>8.6401996668428183E-12</v>
      </c>
      <c r="AN89" s="60"/>
      <c r="AO89" s="60">
        <f>AO88-SUM('Quarterly I.S'!BZ88:CB88)</f>
        <v>0</v>
      </c>
      <c r="AP89" s="59"/>
      <c r="AQ89" s="60"/>
      <c r="AR89" s="60">
        <f>AR88-Z88-AI88</f>
        <v>0</v>
      </c>
      <c r="AS89" s="60"/>
      <c r="AT89" s="60">
        <f>AT88-AB88-AK88</f>
        <v>0</v>
      </c>
      <c r="AU89" s="60"/>
      <c r="AV89" s="60">
        <f>AV88-AD88-AM88</f>
        <v>-1.3642420526593924E-11</v>
      </c>
      <c r="AW89" s="60"/>
      <c r="AX89" s="60">
        <f>AX88-AF88-AO88</f>
        <v>-9.4587448984384537E-11</v>
      </c>
      <c r="AY89" s="60"/>
      <c r="AZ89" s="179"/>
      <c r="BA89" s="59"/>
      <c r="BB89" s="60"/>
      <c r="BC89" s="60">
        <f>BC88-SUM('Quarterly I.S'!DA88:DC88)</f>
        <v>0</v>
      </c>
      <c r="BD89" s="60"/>
      <c r="BE89" s="60">
        <f>BE88-SUM('Quarterly I.S'!DE88:DG88)</f>
        <v>0</v>
      </c>
      <c r="BF89" s="60"/>
      <c r="BG89" s="60">
        <f>BG88-SUM('Quarterly I.S'!DI88:DK88)</f>
        <v>0</v>
      </c>
      <c r="BH89" s="60"/>
      <c r="BI89" s="60">
        <f>BI88-SUM('Quarterly I.S'!DM88:DO88)</f>
        <v>0</v>
      </c>
    </row>
    <row r="90" spans="2:61" x14ac:dyDescent="0.3">
      <c r="C90" s="39" t="s">
        <v>83</v>
      </c>
      <c r="D90" s="109"/>
      <c r="E90" s="40"/>
      <c r="F90" s="40">
        <f>F88/AVERAGE(E107:F107)*12/9</f>
        <v>0.20229024958215644</v>
      </c>
      <c r="G90" s="40"/>
      <c r="H90" s="40">
        <f>H88/AVERAGE(G107:H107)*12/9</f>
        <v>0.18757243950880687</v>
      </c>
      <c r="I90" s="40"/>
      <c r="J90" s="40">
        <f>J88/AVERAGE(I107:J107)*12/9</f>
        <v>0.22465361786098337</v>
      </c>
      <c r="K90" s="40"/>
      <c r="L90" s="40">
        <f>L88/AVERAGE(K107:L107)*12/9</f>
        <v>0.17809118050066949</v>
      </c>
      <c r="M90" s="169"/>
      <c r="O90" s="40"/>
      <c r="P90" s="40">
        <f>P88/AVERAGE(O108:P108)*12/9</f>
        <v>0.19737185327305123</v>
      </c>
      <c r="Q90" s="40"/>
      <c r="R90" s="40">
        <f>R88/AVERAGE(Q108:R108)*12/9</f>
        <v>0.18463716244513936</v>
      </c>
      <c r="S90" s="40"/>
      <c r="T90" s="40">
        <f>T88/AVERAGE(S108:T108)*12/9</f>
        <v>0.22770827059224816</v>
      </c>
      <c r="U90" s="40"/>
      <c r="V90" s="40">
        <f>V88/AVERAGE(U108:V108)*12/9</f>
        <v>0.15180871032873355</v>
      </c>
      <c r="W90" s="169"/>
      <c r="Y90" s="40"/>
      <c r="Z90" s="40">
        <f>Z88/AVERAGE(Y109:Z109)*12/9</f>
        <v>0.1631386266636656</v>
      </c>
      <c r="AA90" s="40"/>
      <c r="AB90" s="40">
        <f>AB88/AVERAGE(AA109:AB109)*12/9</f>
        <v>0.2678112441095713</v>
      </c>
      <c r="AC90" s="40"/>
      <c r="AD90" s="40">
        <f>AD88/AVERAGE(AC109:AD109)*12/9</f>
        <v>0.34960417137109367</v>
      </c>
      <c r="AE90" s="40"/>
      <c r="AF90" s="40">
        <f>AF88/AVERAGE(AE109:AF109)*12/9</f>
        <v>0.4417244091184635</v>
      </c>
      <c r="AH90" s="40"/>
      <c r="AI90" s="40">
        <f>AI88/AVERAGE(AH110:AI110)*12/9</f>
        <v>4.7687644130529652</v>
      </c>
      <c r="AJ90" s="40"/>
      <c r="AK90" s="40">
        <f>AK88/AVERAGE(AJ110:AK110)*12/9</f>
        <v>1.0912962951696783</v>
      </c>
      <c r="AL90" s="40"/>
      <c r="AM90" s="40">
        <f>AM88/AVERAGE(AL110:AM110)*12/9</f>
        <v>0.18724294698487109</v>
      </c>
      <c r="AN90" s="40"/>
      <c r="AO90" s="40">
        <f>AO88/AVERAGE(AN110:AO110)*12/9</f>
        <v>1.1593898933419351</v>
      </c>
      <c r="AQ90" s="40"/>
      <c r="AR90" s="40">
        <f>(AR88/AVERAGE(SUM(AQ109:AQ110),SUM(AR109:AR110)))*12/9</f>
        <v>0.26027946984860967</v>
      </c>
      <c r="AS90" s="40"/>
      <c r="AT90" s="40">
        <f>(AT88/AVERAGE(SUM(AS109:AS110),SUM(AT109:AT110)))*12/9</f>
        <v>0.31134223014832568</v>
      </c>
      <c r="AU90" s="40"/>
      <c r="AV90" s="40">
        <f>(AV88/AVERAGE(SUM(AU109:AU110),SUM(AV109:AV110)))*12/9</f>
        <v>0.34379180694119676</v>
      </c>
      <c r="AW90" s="40"/>
      <c r="AX90" s="40">
        <f>(AX88/AVERAGE(SUM(AW109:AW110),SUM(AX109:AX110)))*12/9</f>
        <v>0.49014943249041587</v>
      </c>
      <c r="AY90" s="40"/>
      <c r="AZ90" s="169"/>
      <c r="BB90" s="40"/>
      <c r="BC90" s="40"/>
      <c r="BD90" s="40"/>
      <c r="BE90" s="40"/>
      <c r="BF90" s="40"/>
      <c r="BG90" s="40"/>
      <c r="BH90" s="40"/>
      <c r="BI90" s="40"/>
    </row>
    <row r="91" spans="2:61" x14ac:dyDescent="0.3">
      <c r="C91" s="39" t="s">
        <v>132</v>
      </c>
      <c r="D91" s="109"/>
      <c r="E91" s="40"/>
      <c r="F91" s="40">
        <f>F88/F112*12/9</f>
        <v>0.20935927249847039</v>
      </c>
      <c r="G91" s="40"/>
      <c r="H91" s="40">
        <f>H88/H112*12/9</f>
        <v>0.19188700178023507</v>
      </c>
      <c r="I91" s="40"/>
      <c r="J91" s="40">
        <f>J88/J112*12/9</f>
        <v>0.23570412075121075</v>
      </c>
      <c r="K91" s="40"/>
      <c r="L91" s="40">
        <f>L88/L112*12/9</f>
        <v>0.18130360116109712</v>
      </c>
      <c r="M91" s="169"/>
      <c r="O91" s="40"/>
      <c r="P91" s="40">
        <f>P88/P113*12/9</f>
        <v>0.20490599598203035</v>
      </c>
      <c r="Q91" s="40"/>
      <c r="R91" s="40">
        <f>R88/R113*12/9</f>
        <v>0.18945885238029436</v>
      </c>
      <c r="S91" s="40"/>
      <c r="T91" s="40">
        <f>T88/T113*12/9</f>
        <v>0.23977498615461179</v>
      </c>
      <c r="U91" s="40"/>
      <c r="V91" s="40">
        <f>V88/V113*12/9</f>
        <v>0.1548993587612543</v>
      </c>
      <c r="W91" s="169"/>
      <c r="Y91" s="40"/>
      <c r="Z91" s="40">
        <f>Z88/Z114*12/9</f>
        <v>0.16093442878906519</v>
      </c>
      <c r="AA91" s="40"/>
      <c r="AB91" s="40">
        <f>AB88/AB114*12/9</f>
        <v>0.26313934293543956</v>
      </c>
      <c r="AC91" s="40"/>
      <c r="AD91" s="40">
        <f>AD88/AD114*12/9</f>
        <v>0.34830925955498604</v>
      </c>
      <c r="AE91" s="40"/>
      <c r="AF91" s="40">
        <f>AF88/AF114*12/9</f>
        <v>0.43427668847597467</v>
      </c>
      <c r="AH91" s="40"/>
      <c r="AI91" s="40">
        <f>AI88/AI115*12/9</f>
        <v>10.775486862848753</v>
      </c>
      <c r="AJ91" s="40"/>
      <c r="AK91" s="40">
        <f>AK88/AK115*12/9</f>
        <v>1.2430404444071241</v>
      </c>
      <c r="AL91" s="40"/>
      <c r="AM91" s="40">
        <f>AM88/AM115*12/9</f>
        <v>0.31713395673503419</v>
      </c>
      <c r="AN91" s="40"/>
      <c r="AO91" s="40">
        <f>AO88/AO115*12/9</f>
        <v>1.489971880559227</v>
      </c>
      <c r="AQ91" s="40"/>
      <c r="AR91" s="40">
        <f>AR88/SUM(AR114:AR115)*12/9</f>
        <v>0.25985074216510828</v>
      </c>
      <c r="AS91" s="40"/>
      <c r="AT91" s="40">
        <f>AT88/SUM(AT114:AT115)*12/9</f>
        <v>0.3081489367682429</v>
      </c>
      <c r="AU91" s="40"/>
      <c r="AV91" s="40">
        <f>AV88/SUM(AV114:AV115)*12/9</f>
        <v>0.3476429411431981</v>
      </c>
      <c r="AW91" s="40"/>
      <c r="AX91" s="40">
        <f>AX88/SUM(AX114:AX115)*12/9</f>
        <v>0.48964921207452039</v>
      </c>
      <c r="AY91" s="40"/>
      <c r="AZ91" s="169"/>
      <c r="BB91" s="40"/>
      <c r="BC91" s="40"/>
      <c r="BD91" s="40"/>
      <c r="BE91" s="40"/>
      <c r="BF91" s="40"/>
      <c r="BG91" s="40"/>
      <c r="BH91" s="40"/>
      <c r="BI91" s="40"/>
    </row>
    <row r="92" spans="2:61" x14ac:dyDescent="0.3">
      <c r="C92" s="39" t="s">
        <v>84</v>
      </c>
      <c r="D92" s="109"/>
      <c r="E92" s="40"/>
      <c r="F92" s="40"/>
      <c r="G92" s="40"/>
      <c r="H92" s="40"/>
      <c r="I92" s="40"/>
      <c r="J92" s="40"/>
      <c r="K92" s="40"/>
      <c r="L92" s="40"/>
      <c r="M92" s="169"/>
      <c r="O92" s="40"/>
      <c r="P92" s="40">
        <f>P85/AVERAGE(O130:P130)*12/9</f>
        <v>4.6292420663431803E-2</v>
      </c>
      <c r="Q92" s="40"/>
      <c r="R92" s="40">
        <f>R85/AVERAGE(Q130:R130)*12/9</f>
        <v>3.4238933278920219E-2</v>
      </c>
      <c r="S92" s="40"/>
      <c r="T92" s="40">
        <f>T85/AVERAGE(S130:T130)*12/9</f>
        <v>3.2120798288878837E-2</v>
      </c>
      <c r="U92" s="40"/>
      <c r="V92" s="40">
        <f>V85/AVERAGE(U130:V130)*12/9</f>
        <v>2.07488022114697E-2</v>
      </c>
      <c r="W92" s="169"/>
      <c r="Y92" s="40"/>
      <c r="Z92" s="40"/>
      <c r="AA92" s="40"/>
      <c r="AB92" s="40"/>
      <c r="AC92" s="40"/>
      <c r="AD92" s="40"/>
      <c r="AE92" s="40"/>
      <c r="AF92" s="40"/>
      <c r="AH92" s="40"/>
      <c r="AI92" s="40"/>
      <c r="AJ92" s="40"/>
      <c r="AK92" s="40"/>
      <c r="AL92" s="40"/>
      <c r="AM92" s="40"/>
      <c r="AN92" s="40"/>
      <c r="AO92" s="40"/>
      <c r="AQ92" s="40"/>
      <c r="AR92" s="40"/>
      <c r="AS92" s="40"/>
      <c r="AT92" s="40"/>
      <c r="AU92" s="40"/>
      <c r="AV92" s="40"/>
      <c r="AW92" s="40"/>
      <c r="AX92" s="40"/>
      <c r="AY92" s="40"/>
      <c r="AZ92" s="169"/>
      <c r="BB92" s="40"/>
      <c r="BC92" s="40"/>
      <c r="BD92" s="40"/>
      <c r="BE92" s="40"/>
      <c r="BF92" s="40"/>
      <c r="BG92" s="40"/>
      <c r="BH92" s="40"/>
      <c r="BI92" s="40"/>
    </row>
    <row r="93" spans="2:61" x14ac:dyDescent="0.3">
      <c r="C93" s="45"/>
      <c r="D93" s="112"/>
      <c r="E93" s="62"/>
      <c r="F93" s="62"/>
      <c r="G93" s="62"/>
      <c r="H93" s="62"/>
      <c r="I93" s="62"/>
      <c r="J93" s="62"/>
      <c r="K93" s="62"/>
      <c r="L93" s="62"/>
      <c r="M93" s="131"/>
      <c r="O93" s="62"/>
      <c r="P93" s="62"/>
      <c r="Q93" s="62"/>
      <c r="R93" s="62"/>
      <c r="S93" s="62"/>
      <c r="T93" s="130"/>
      <c r="U93" s="130"/>
      <c r="V93" s="130"/>
      <c r="W93" s="131"/>
      <c r="Y93" s="62"/>
      <c r="Z93" s="62"/>
      <c r="AA93" s="62"/>
      <c r="AB93" s="62"/>
      <c r="AC93" s="62"/>
      <c r="AD93" s="62"/>
      <c r="AE93" s="62"/>
      <c r="AF93" s="62"/>
      <c r="AH93" s="62"/>
      <c r="AI93" s="62"/>
      <c r="AJ93" s="62"/>
      <c r="AK93" s="62"/>
      <c r="AL93" s="62"/>
      <c r="AM93" s="62"/>
      <c r="AN93" s="62"/>
      <c r="AO93" s="62"/>
      <c r="AQ93" s="62"/>
      <c r="AR93" s="62"/>
      <c r="AS93" s="62"/>
      <c r="AT93" s="62"/>
      <c r="AU93" s="62"/>
      <c r="AV93" s="62"/>
      <c r="AW93" s="62"/>
      <c r="AX93" s="62"/>
      <c r="AY93" s="62"/>
      <c r="AZ93" s="131"/>
      <c r="BB93" s="62"/>
      <c r="BC93" s="62"/>
      <c r="BD93" s="62"/>
      <c r="BE93" s="62"/>
      <c r="BF93" s="62"/>
      <c r="BG93" s="62"/>
      <c r="BH93" s="62"/>
      <c r="BI93" s="62"/>
    </row>
    <row r="94" spans="2:61" s="32" customFormat="1" x14ac:dyDescent="0.3">
      <c r="B94" s="29"/>
      <c r="C94" s="30" t="s">
        <v>171</v>
      </c>
      <c r="D94" s="30"/>
      <c r="E94" s="31"/>
      <c r="F94" s="31"/>
      <c r="G94" s="31"/>
      <c r="H94" s="31"/>
      <c r="I94" s="31"/>
      <c r="J94" s="31"/>
      <c r="K94" s="31"/>
      <c r="L94" s="31"/>
      <c r="M94" s="180"/>
      <c r="O94" s="31"/>
      <c r="P94" s="31"/>
      <c r="Q94" s="31"/>
      <c r="R94" s="31"/>
      <c r="S94" s="31"/>
      <c r="T94" s="31"/>
      <c r="U94" s="31"/>
      <c r="V94" s="31"/>
      <c r="W94" s="180"/>
      <c r="Y94" s="31"/>
      <c r="Z94" s="31"/>
      <c r="AA94" s="31"/>
      <c r="AB94" s="31"/>
      <c r="AC94" s="31"/>
      <c r="AD94" s="31"/>
      <c r="AE94" s="31"/>
      <c r="AF94" s="31"/>
      <c r="AH94" s="31"/>
      <c r="AI94" s="31"/>
      <c r="AJ94" s="31"/>
      <c r="AK94" s="31"/>
      <c r="AL94" s="31"/>
      <c r="AM94" s="31"/>
      <c r="AN94" s="31"/>
      <c r="AO94" s="31"/>
      <c r="AQ94" s="31"/>
      <c r="AR94" s="31"/>
      <c r="AS94" s="31"/>
      <c r="AT94" s="31"/>
      <c r="AU94" s="31"/>
      <c r="AV94" s="31"/>
      <c r="AW94" s="31"/>
      <c r="AX94" s="31"/>
      <c r="AY94" s="31"/>
      <c r="AZ94" s="180"/>
      <c r="BB94" s="31"/>
      <c r="BC94" s="31"/>
      <c r="BD94" s="31"/>
      <c r="BE94" s="31"/>
      <c r="BF94" s="31"/>
      <c r="BG94" s="31"/>
      <c r="BH94" s="31"/>
      <c r="BI94" s="31"/>
    </row>
    <row r="95" spans="2:61" s="35" customFormat="1" x14ac:dyDescent="0.3">
      <c r="B95" s="33"/>
      <c r="C95" s="63" t="s">
        <v>172</v>
      </c>
      <c r="D95" s="63"/>
      <c r="E95" s="150">
        <f t="shared" ref="E95:J95" si="12">E88</f>
        <v>0</v>
      </c>
      <c r="F95" s="150">
        <f t="shared" si="12"/>
        <v>330337.31540269067</v>
      </c>
      <c r="G95" s="150">
        <f t="shared" si="12"/>
        <v>0</v>
      </c>
      <c r="H95" s="150">
        <f t="shared" si="12"/>
        <v>336177.44439782627</v>
      </c>
      <c r="I95" s="150">
        <f t="shared" si="12"/>
        <v>0</v>
      </c>
      <c r="J95" s="150">
        <f t="shared" si="12"/>
        <v>438043.6464434411</v>
      </c>
      <c r="K95" s="150"/>
      <c r="L95" s="150">
        <f>L88</f>
        <v>410347.29581627453</v>
      </c>
      <c r="M95" s="168"/>
      <c r="O95" s="34"/>
      <c r="P95" s="34"/>
      <c r="Q95" s="34"/>
      <c r="R95" s="34"/>
      <c r="S95" s="34"/>
      <c r="T95" s="34"/>
      <c r="U95" s="34"/>
      <c r="V95" s="34"/>
      <c r="W95" s="168"/>
      <c r="Y95" s="34"/>
      <c r="Z95" s="34"/>
      <c r="AA95" s="34"/>
      <c r="AB95" s="34"/>
      <c r="AC95" s="34"/>
      <c r="AD95" s="34"/>
      <c r="AE95" s="34"/>
      <c r="AF95" s="34"/>
      <c r="AH95" s="34"/>
      <c r="AI95" s="34"/>
      <c r="AJ95" s="34"/>
      <c r="AK95" s="34"/>
      <c r="AL95" s="34"/>
      <c r="AM95" s="34"/>
      <c r="AN95" s="34"/>
      <c r="AO95" s="34"/>
      <c r="AQ95" s="34"/>
      <c r="AR95" s="34"/>
      <c r="AS95" s="34"/>
      <c r="AT95" s="34"/>
      <c r="AU95" s="34"/>
      <c r="AV95" s="34"/>
      <c r="AW95" s="34"/>
      <c r="AX95" s="34"/>
      <c r="AY95" s="34"/>
      <c r="AZ95" s="168"/>
      <c r="BB95" s="34"/>
      <c r="BC95" s="34"/>
      <c r="BD95" s="34"/>
      <c r="BE95" s="34"/>
      <c r="BF95" s="34"/>
      <c r="BG95" s="34"/>
      <c r="BH95" s="34"/>
      <c r="BI95" s="34"/>
    </row>
    <row r="96" spans="2:61" s="64" customFormat="1" x14ac:dyDescent="0.3">
      <c r="C96" s="65" t="str">
        <f>'Quarterly I.S'!C96</f>
        <v>Net effect of new Rent standard</v>
      </c>
      <c r="D96" s="77"/>
      <c r="E96" s="70"/>
      <c r="F96" s="70">
        <f>SUM('Quarterly I.S'!G96:I96)</f>
        <v>6701</v>
      </c>
      <c r="G96" s="70"/>
      <c r="H96" s="70">
        <f>SUM('Quarterly I.S'!K96:M96)</f>
        <v>23490</v>
      </c>
      <c r="I96" s="70"/>
      <c r="J96" s="70">
        <f>SUM('Quarterly I.S'!O96:Q96)</f>
        <v>32763</v>
      </c>
      <c r="K96" s="70"/>
      <c r="L96" s="70">
        <f>SUM('Quarterly I.S'!S96:U96)</f>
        <v>18568</v>
      </c>
      <c r="M96" s="181"/>
      <c r="O96" s="67"/>
      <c r="P96" s="67"/>
      <c r="Q96" s="67"/>
      <c r="R96" s="67"/>
      <c r="S96" s="67"/>
      <c r="T96" s="67"/>
      <c r="U96" s="67"/>
      <c r="V96" s="67"/>
      <c r="W96" s="181"/>
      <c r="Y96" s="67"/>
      <c r="Z96" s="67"/>
      <c r="AA96" s="67"/>
      <c r="AB96" s="67"/>
      <c r="AC96" s="67"/>
      <c r="AD96" s="67"/>
      <c r="AE96" s="67"/>
      <c r="AF96" s="67"/>
      <c r="AH96" s="67"/>
      <c r="AI96" s="67"/>
      <c r="AJ96" s="67"/>
      <c r="AK96" s="67"/>
      <c r="AL96" s="67"/>
      <c r="AM96" s="67"/>
      <c r="AN96" s="67"/>
      <c r="AO96" s="67"/>
      <c r="AQ96" s="67"/>
      <c r="AR96" s="67"/>
      <c r="AS96" s="67"/>
      <c r="AT96" s="67"/>
      <c r="AU96" s="67"/>
      <c r="AV96" s="67"/>
      <c r="AW96" s="67"/>
      <c r="AX96" s="67"/>
      <c r="AY96" s="67"/>
      <c r="AZ96" s="181"/>
      <c r="BB96" s="67"/>
      <c r="BC96" s="67"/>
      <c r="BD96" s="67"/>
      <c r="BE96" s="67"/>
      <c r="BF96" s="67"/>
      <c r="BG96" s="67"/>
      <c r="BH96" s="67"/>
      <c r="BI96" s="67"/>
    </row>
    <row r="97" spans="2:61" s="64" customFormat="1" x14ac:dyDescent="0.3">
      <c r="C97" s="65" t="str">
        <f>'Quarterly I.S'!C97</f>
        <v>Non-recurring sale of assets post tax</v>
      </c>
      <c r="D97" s="77"/>
      <c r="E97" s="70"/>
      <c r="F97" s="70">
        <f>SUM('Quarterly I.S'!G97:I97)</f>
        <v>0</v>
      </c>
      <c r="G97" s="70"/>
      <c r="H97" s="70">
        <f>SUM('Quarterly I.S'!K97:M97)</f>
        <v>0</v>
      </c>
      <c r="I97" s="70"/>
      <c r="J97" s="70">
        <f>SUM('Quarterly I.S'!O97:Q97)</f>
        <v>0</v>
      </c>
      <c r="K97" s="70"/>
      <c r="L97" s="70">
        <f>SUM('Quarterly I.S'!S97:U97)</f>
        <v>0</v>
      </c>
      <c r="M97" s="181"/>
      <c r="O97" s="67"/>
      <c r="P97" s="67"/>
      <c r="Q97" s="67"/>
      <c r="R97" s="67"/>
      <c r="S97" s="67"/>
      <c r="T97" s="67"/>
      <c r="U97" s="67"/>
      <c r="V97" s="67"/>
      <c r="W97" s="181"/>
      <c r="Y97" s="67"/>
      <c r="Z97" s="67"/>
      <c r="AA97" s="67"/>
      <c r="AB97" s="67"/>
      <c r="AC97" s="67"/>
      <c r="AD97" s="67"/>
      <c r="AE97" s="67"/>
      <c r="AF97" s="67"/>
      <c r="AH97" s="67"/>
      <c r="AI97" s="67"/>
      <c r="AJ97" s="67"/>
      <c r="AK97" s="67"/>
      <c r="AL97" s="67"/>
      <c r="AM97" s="67"/>
      <c r="AN97" s="67"/>
      <c r="AO97" s="67"/>
      <c r="AQ97" s="67"/>
      <c r="AR97" s="67"/>
      <c r="AS97" s="67"/>
      <c r="AT97" s="67"/>
      <c r="AU97" s="67"/>
      <c r="AV97" s="67"/>
      <c r="AW97" s="67"/>
      <c r="AX97" s="67"/>
      <c r="AY97" s="67"/>
      <c r="AZ97" s="181"/>
      <c r="BB97" s="67"/>
      <c r="BC97" s="67"/>
      <c r="BD97" s="67"/>
      <c r="BE97" s="67"/>
      <c r="BF97" s="67"/>
      <c r="BG97" s="67"/>
      <c r="BH97" s="67"/>
      <c r="BI97" s="67"/>
    </row>
    <row r="98" spans="2:61" s="64" customFormat="1" x14ac:dyDescent="0.3">
      <c r="C98" s="65" t="str">
        <f>'Quarterly I.S'!C98</f>
        <v>Tech Investments</v>
      </c>
      <c r="D98" s="77"/>
      <c r="E98" s="70"/>
      <c r="F98" s="70">
        <f>SUM('Quarterly I.S'!G98:I98)</f>
        <v>5837</v>
      </c>
      <c r="G98" s="70"/>
      <c r="H98" s="70">
        <f>SUM('Quarterly I.S'!K98:M98)</f>
        <v>21619.902460000001</v>
      </c>
      <c r="I98" s="70"/>
      <c r="J98" s="70">
        <f>SUM('Quarterly I.S'!O98:Q98)</f>
        <v>30322</v>
      </c>
      <c r="K98" s="70"/>
      <c r="L98" s="70">
        <f>SUM('Quarterly I.S'!S98:U98)</f>
        <v>28987</v>
      </c>
      <c r="M98" s="181"/>
      <c r="O98" s="67"/>
      <c r="P98" s="67"/>
      <c r="Q98" s="67"/>
      <c r="R98" s="67"/>
      <c r="S98" s="67"/>
      <c r="T98" s="67"/>
      <c r="U98" s="67"/>
      <c r="V98" s="67"/>
      <c r="W98" s="181"/>
      <c r="Y98" s="67"/>
      <c r="Z98" s="67"/>
      <c r="AA98" s="67"/>
      <c r="AB98" s="67"/>
      <c r="AC98" s="67"/>
      <c r="AD98" s="67"/>
      <c r="AE98" s="67"/>
      <c r="AF98" s="67"/>
      <c r="AH98" s="67"/>
      <c r="AI98" s="67"/>
      <c r="AJ98" s="67"/>
      <c r="AK98" s="67"/>
      <c r="AL98" s="67"/>
      <c r="AM98" s="67"/>
      <c r="AN98" s="67"/>
      <c r="AO98" s="67"/>
      <c r="AQ98" s="67"/>
      <c r="AR98" s="67"/>
      <c r="AS98" s="67"/>
      <c r="AT98" s="67"/>
      <c r="AU98" s="67"/>
      <c r="AV98" s="67"/>
      <c r="AW98" s="67"/>
      <c r="AX98" s="67"/>
      <c r="AY98" s="67"/>
      <c r="AZ98" s="181"/>
      <c r="BB98" s="67"/>
      <c r="BC98" s="67"/>
      <c r="BD98" s="67"/>
      <c r="BE98" s="67"/>
      <c r="BF98" s="67"/>
      <c r="BG98" s="67"/>
      <c r="BH98" s="67"/>
      <c r="BI98" s="67"/>
    </row>
    <row r="99" spans="2:61" s="64" customFormat="1" x14ac:dyDescent="0.3">
      <c r="C99" s="65" t="str">
        <f>'Quarterly I.S'!C99</f>
        <v>Non-recurring marketing expense</v>
      </c>
      <c r="D99" s="77"/>
      <c r="E99" s="70"/>
      <c r="F99" s="70"/>
      <c r="G99" s="70"/>
      <c r="H99" s="70"/>
      <c r="I99" s="70"/>
      <c r="J99" s="70">
        <f>SUM('Quarterly I.S'!O99:Q99)</f>
        <v>2410.6924166666668</v>
      </c>
      <c r="K99" s="70"/>
      <c r="L99" s="70">
        <f>SUM('Quarterly I.S'!S99:U99)</f>
        <v>0</v>
      </c>
      <c r="M99" s="181"/>
      <c r="O99" s="67"/>
      <c r="P99" s="67"/>
      <c r="Q99" s="67"/>
      <c r="R99" s="67"/>
      <c r="S99" s="67"/>
      <c r="T99" s="67"/>
      <c r="U99" s="67"/>
      <c r="V99" s="67"/>
      <c r="W99" s="181"/>
      <c r="Y99" s="67"/>
      <c r="Z99" s="67"/>
      <c r="AA99" s="67"/>
      <c r="AB99" s="67"/>
      <c r="AC99" s="67"/>
      <c r="AD99" s="67"/>
      <c r="AE99" s="67"/>
      <c r="AF99" s="67"/>
      <c r="AH99" s="67"/>
      <c r="AI99" s="67"/>
      <c r="AJ99" s="67"/>
      <c r="AK99" s="67"/>
      <c r="AL99" s="67"/>
      <c r="AM99" s="67"/>
      <c r="AN99" s="67"/>
      <c r="AO99" s="67"/>
      <c r="AQ99" s="67"/>
      <c r="AR99" s="67"/>
      <c r="AS99" s="67"/>
      <c r="AT99" s="67"/>
      <c r="AU99" s="67"/>
      <c r="AV99" s="67"/>
      <c r="AW99" s="67"/>
      <c r="AX99" s="67"/>
      <c r="AY99" s="67"/>
      <c r="AZ99" s="181"/>
      <c r="BB99" s="67"/>
      <c r="BC99" s="67"/>
      <c r="BD99" s="67"/>
      <c r="BE99" s="67"/>
      <c r="BF99" s="67"/>
      <c r="BG99" s="67"/>
      <c r="BH99" s="67"/>
      <c r="BI99" s="67"/>
    </row>
    <row r="100" spans="2:61" s="64" customFormat="1" x14ac:dyDescent="0.3">
      <c r="C100" s="65" t="str">
        <f>'Quarterly I.S'!C100</f>
        <v>ESOP</v>
      </c>
      <c r="D100" s="77"/>
      <c r="E100" s="70"/>
      <c r="F100" s="70"/>
      <c r="G100" s="70"/>
      <c r="H100" s="70"/>
      <c r="I100" s="70"/>
      <c r="J100" s="70">
        <f>SUM('Quarterly I.S'!O100:Q100)</f>
        <v>0</v>
      </c>
      <c r="K100" s="70"/>
      <c r="L100" s="70">
        <f>SUM('Quarterly I.S'!S100:U100)</f>
        <v>2411</v>
      </c>
      <c r="M100" s="181"/>
      <c r="O100" s="67"/>
      <c r="P100" s="67"/>
      <c r="Q100" s="67"/>
      <c r="R100" s="67"/>
      <c r="S100" s="67"/>
      <c r="T100" s="67"/>
      <c r="U100" s="67"/>
      <c r="V100" s="67"/>
      <c r="W100" s="181"/>
      <c r="Y100" s="67"/>
      <c r="Z100" s="67"/>
      <c r="AA100" s="67"/>
      <c r="AB100" s="67"/>
      <c r="AC100" s="67"/>
      <c r="AD100" s="67"/>
      <c r="AE100" s="67"/>
      <c r="AF100" s="67"/>
      <c r="AH100" s="67"/>
      <c r="AI100" s="67"/>
      <c r="AJ100" s="67"/>
      <c r="AK100" s="67"/>
      <c r="AL100" s="67"/>
      <c r="AM100" s="67"/>
      <c r="AN100" s="67"/>
      <c r="AO100" s="67"/>
      <c r="AQ100" s="67"/>
      <c r="AR100" s="67"/>
      <c r="AS100" s="67"/>
      <c r="AT100" s="67"/>
      <c r="AU100" s="67"/>
      <c r="AV100" s="67"/>
      <c r="AW100" s="67"/>
      <c r="AX100" s="67"/>
      <c r="AY100" s="67"/>
      <c r="AZ100" s="181"/>
      <c r="BB100" s="67"/>
      <c r="BC100" s="67"/>
      <c r="BD100" s="67"/>
      <c r="BE100" s="67"/>
      <c r="BF100" s="67"/>
      <c r="BG100" s="67"/>
      <c r="BH100" s="67"/>
      <c r="BI100" s="67"/>
    </row>
    <row r="101" spans="2:61" s="64" customFormat="1" x14ac:dyDescent="0.3">
      <c r="B101" s="65"/>
      <c r="C101" s="65" t="str">
        <f>'Quarterly I.S'!C101</f>
        <v>Tax adjustments</v>
      </c>
      <c r="D101" s="77"/>
      <c r="E101" s="70"/>
      <c r="F101" s="70">
        <f>SUM('Quarterly I.S'!G101:I101)</f>
        <v>10086</v>
      </c>
      <c r="G101" s="70"/>
      <c r="H101" s="70">
        <f>SUM('Quarterly I.S'!K101:M101)</f>
        <v>15699</v>
      </c>
      <c r="I101" s="70"/>
      <c r="J101" s="70">
        <f>SUM('Quarterly I.S'!O101:Q101)</f>
        <v>36340</v>
      </c>
      <c r="K101" s="70"/>
      <c r="L101" s="70">
        <f>SUM('Quarterly I.S'!S101:U101)</f>
        <v>31881.7678910879</v>
      </c>
      <c r="M101" s="181"/>
      <c r="O101" s="67"/>
      <c r="P101" s="67"/>
      <c r="Q101" s="67"/>
      <c r="R101" s="67"/>
      <c r="S101" s="67"/>
      <c r="T101" s="67"/>
      <c r="U101" s="67"/>
      <c r="V101" s="67"/>
      <c r="W101" s="181"/>
      <c r="Y101" s="67"/>
      <c r="Z101" s="67"/>
      <c r="AA101" s="67"/>
      <c r="AB101" s="67"/>
      <c r="AC101" s="67"/>
      <c r="AD101" s="67"/>
      <c r="AE101" s="67"/>
      <c r="AF101" s="67"/>
      <c r="AH101" s="67"/>
      <c r="AI101" s="67"/>
      <c r="AJ101" s="67"/>
      <c r="AK101" s="67"/>
      <c r="AL101" s="67"/>
      <c r="AM101" s="67"/>
      <c r="AN101" s="67"/>
      <c r="AO101" s="67"/>
      <c r="AQ101" s="67"/>
      <c r="AR101" s="67"/>
      <c r="AS101" s="67"/>
      <c r="AT101" s="67"/>
      <c r="AU101" s="67"/>
      <c r="AV101" s="67"/>
      <c r="AW101" s="67"/>
      <c r="AX101" s="67"/>
      <c r="AY101" s="67"/>
      <c r="AZ101" s="181"/>
      <c r="BB101" s="67"/>
      <c r="BC101" s="67"/>
      <c r="BD101" s="67"/>
      <c r="BE101" s="67"/>
      <c r="BF101" s="67"/>
      <c r="BG101" s="67"/>
      <c r="BH101" s="67"/>
      <c r="BI101" s="67"/>
    </row>
    <row r="102" spans="2:61" s="64" customFormat="1" x14ac:dyDescent="0.3">
      <c r="C102" s="65" t="str">
        <f>'Quarterly I.S'!C102</f>
        <v>Special provision</v>
      </c>
      <c r="D102" s="77"/>
      <c r="E102" s="70"/>
      <c r="F102" s="70">
        <f>SUM('Quarterly I.S'!G102:I102)</f>
        <v>0</v>
      </c>
      <c r="G102" s="70"/>
      <c r="H102" s="70">
        <f>SUM('Quarterly I.S'!K102:M102)</f>
        <v>7000</v>
      </c>
      <c r="I102" s="70"/>
      <c r="J102" s="70">
        <f>SUM('Quarterly I.S'!O102:Q102)</f>
        <v>2000</v>
      </c>
      <c r="K102" s="70"/>
      <c r="L102" s="70">
        <f>SUM('Quarterly I.S'!S102:U102)</f>
        <v>-14800</v>
      </c>
      <c r="M102" s="181"/>
      <c r="O102" s="67"/>
      <c r="P102" s="67"/>
      <c r="Q102" s="67"/>
      <c r="R102" s="67"/>
      <c r="S102" s="67"/>
      <c r="T102" s="67"/>
      <c r="U102" s="67"/>
      <c r="V102" s="67"/>
      <c r="W102" s="181"/>
      <c r="Y102" s="67"/>
      <c r="Z102" s="67"/>
      <c r="AA102" s="67"/>
      <c r="AB102" s="67"/>
      <c r="AC102" s="67"/>
      <c r="AD102" s="67"/>
      <c r="AE102" s="67"/>
      <c r="AF102" s="67"/>
      <c r="AH102" s="67"/>
      <c r="AI102" s="67"/>
      <c r="AJ102" s="67"/>
      <c r="AK102" s="67"/>
      <c r="AL102" s="67"/>
      <c r="AM102" s="67"/>
      <c r="AN102" s="67"/>
      <c r="AO102" s="67"/>
      <c r="AQ102" s="67"/>
      <c r="AR102" s="67"/>
      <c r="AS102" s="67"/>
      <c r="AT102" s="67"/>
      <c r="AU102" s="67"/>
      <c r="AV102" s="67"/>
      <c r="AW102" s="67"/>
      <c r="AX102" s="67"/>
      <c r="AY102" s="67"/>
      <c r="AZ102" s="181"/>
      <c r="BB102" s="67"/>
      <c r="BC102" s="67"/>
      <c r="BD102" s="67"/>
      <c r="BE102" s="67"/>
      <c r="BF102" s="67"/>
      <c r="BG102" s="67"/>
      <c r="BH102" s="67"/>
      <c r="BI102" s="67"/>
    </row>
    <row r="103" spans="2:61" s="64" customFormat="1" ht="13.5" thickBot="1" x14ac:dyDescent="0.35">
      <c r="C103" s="151" t="s">
        <v>171</v>
      </c>
      <c r="D103" s="152"/>
      <c r="E103" s="154">
        <f t="shared" ref="E103:J103" si="13">SUM(E95:E102)</f>
        <v>0</v>
      </c>
      <c r="F103" s="154">
        <f t="shared" si="13"/>
        <v>352961.31540269067</v>
      </c>
      <c r="G103" s="154">
        <f t="shared" si="13"/>
        <v>0</v>
      </c>
      <c r="H103" s="154">
        <f t="shared" si="13"/>
        <v>403986.34685782628</v>
      </c>
      <c r="I103" s="154">
        <f t="shared" si="13"/>
        <v>0</v>
      </c>
      <c r="J103" s="154">
        <f t="shared" si="13"/>
        <v>541879.33886010782</v>
      </c>
      <c r="K103" s="154">
        <f>SUM(K95:K102)</f>
        <v>0</v>
      </c>
      <c r="L103" s="154">
        <f>SUM(L95:L102)</f>
        <v>477395.06370736245</v>
      </c>
      <c r="M103" s="175">
        <f>L103/J103-1</f>
        <v>-0.11900116968547625</v>
      </c>
      <c r="O103" s="67"/>
      <c r="P103" s="67"/>
      <c r="Q103" s="67"/>
      <c r="R103" s="67"/>
      <c r="S103" s="67"/>
      <c r="T103" s="67"/>
      <c r="U103" s="67"/>
      <c r="V103" s="67"/>
      <c r="W103" s="204"/>
      <c r="Y103" s="67"/>
      <c r="Z103" s="67"/>
      <c r="AA103" s="67"/>
      <c r="AB103" s="67"/>
      <c r="AC103" s="67"/>
      <c r="AD103" s="67"/>
      <c r="AE103" s="67"/>
      <c r="AF103" s="67"/>
      <c r="AH103" s="67"/>
      <c r="AI103" s="67"/>
      <c r="AJ103" s="67"/>
      <c r="AK103" s="67"/>
      <c r="AL103" s="67"/>
      <c r="AM103" s="67"/>
      <c r="AN103" s="67"/>
      <c r="AO103" s="67"/>
      <c r="AQ103" s="67"/>
      <c r="AR103" s="67"/>
      <c r="AS103" s="67"/>
      <c r="AT103" s="67"/>
      <c r="AU103" s="67"/>
      <c r="AV103" s="67"/>
      <c r="AW103" s="67"/>
      <c r="AX103" s="67"/>
      <c r="AY103" s="67"/>
      <c r="AZ103" s="175"/>
      <c r="BB103" s="67"/>
      <c r="BC103" s="67"/>
      <c r="BD103" s="67"/>
      <c r="BE103" s="67"/>
      <c r="BF103" s="67"/>
      <c r="BG103" s="67"/>
      <c r="BH103" s="67"/>
      <c r="BI103" s="67"/>
    </row>
    <row r="104" spans="2:61" ht="13.5" thickTop="1" x14ac:dyDescent="0.3">
      <c r="C104" s="45"/>
      <c r="D104" s="112"/>
      <c r="E104" s="62"/>
      <c r="F104" s="62"/>
      <c r="G104" s="62"/>
      <c r="H104" s="62"/>
      <c r="I104" s="62"/>
      <c r="J104" s="62"/>
      <c r="K104" s="62"/>
      <c r="L104" s="62"/>
      <c r="M104" s="131"/>
      <c r="O104" s="62"/>
      <c r="P104" s="62"/>
      <c r="Q104" s="62"/>
      <c r="R104" s="62"/>
      <c r="S104" s="62"/>
      <c r="T104" s="62"/>
      <c r="U104" s="62"/>
      <c r="V104" s="62"/>
      <c r="W104" s="131"/>
      <c r="Y104" s="62"/>
      <c r="Z104" s="62"/>
      <c r="AA104" s="62"/>
      <c r="AB104" s="62"/>
      <c r="AC104" s="62"/>
      <c r="AD104" s="62"/>
      <c r="AE104" s="62"/>
      <c r="AF104" s="62"/>
      <c r="AH104" s="62"/>
      <c r="AI104" s="62"/>
      <c r="AJ104" s="62"/>
      <c r="AK104" s="62"/>
      <c r="AL104" s="62"/>
      <c r="AM104" s="62"/>
      <c r="AN104" s="62"/>
      <c r="AO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131"/>
      <c r="BB104" s="62"/>
      <c r="BC104" s="62"/>
      <c r="BD104" s="62"/>
      <c r="BE104" s="62"/>
      <c r="BF104" s="62"/>
      <c r="BG104" s="62"/>
      <c r="BH104" s="62"/>
      <c r="BI104" s="62"/>
    </row>
    <row r="105" spans="2:61" s="32" customFormat="1" x14ac:dyDescent="0.3">
      <c r="B105" s="29"/>
      <c r="C105" s="30" t="s">
        <v>102</v>
      </c>
      <c r="D105" s="30"/>
      <c r="E105" s="31"/>
      <c r="F105" s="31"/>
      <c r="G105" s="31"/>
      <c r="H105" s="31"/>
      <c r="I105" s="31"/>
      <c r="J105" s="31"/>
      <c r="K105" s="31"/>
      <c r="L105" s="31"/>
      <c r="M105" s="180"/>
      <c r="O105" s="31"/>
      <c r="P105" s="31"/>
      <c r="Q105" s="31"/>
      <c r="R105" s="31"/>
      <c r="S105" s="31"/>
      <c r="T105" s="31"/>
      <c r="U105" s="31"/>
      <c r="V105" s="31"/>
      <c r="W105" s="180"/>
      <c r="Y105" s="31"/>
      <c r="Z105" s="31"/>
      <c r="AA105" s="31"/>
      <c r="AB105" s="31"/>
      <c r="AC105" s="31"/>
      <c r="AD105" s="31"/>
      <c r="AE105" s="31"/>
      <c r="AF105" s="31"/>
      <c r="AH105" s="31"/>
      <c r="AI105" s="31"/>
      <c r="AJ105" s="31"/>
      <c r="AK105" s="31"/>
      <c r="AL105" s="31"/>
      <c r="AM105" s="31"/>
      <c r="AN105" s="31"/>
      <c r="AO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180"/>
      <c r="BB105" s="31"/>
      <c r="BC105" s="31"/>
      <c r="BD105" s="31"/>
      <c r="BE105" s="31"/>
      <c r="BF105" s="31"/>
      <c r="BG105" s="31"/>
      <c r="BH105" s="31"/>
      <c r="BI105" s="31"/>
    </row>
    <row r="106" spans="2:61" s="35" customFormat="1" x14ac:dyDescent="0.3">
      <c r="B106" s="33"/>
      <c r="C106" s="63" t="s">
        <v>103</v>
      </c>
      <c r="D106" s="63"/>
      <c r="E106" s="34"/>
      <c r="F106" s="34"/>
      <c r="G106" s="34"/>
      <c r="H106" s="34"/>
      <c r="I106" s="34"/>
      <c r="J106" s="34"/>
      <c r="K106" s="34"/>
      <c r="L106" s="34"/>
      <c r="M106" s="168"/>
      <c r="O106" s="34"/>
      <c r="P106" s="34"/>
      <c r="Q106" s="34"/>
      <c r="R106" s="34"/>
      <c r="S106" s="34"/>
      <c r="T106" s="34"/>
      <c r="U106" s="34"/>
      <c r="V106" s="34"/>
      <c r="W106" s="168"/>
      <c r="Y106" s="34"/>
      <c r="Z106" s="34"/>
      <c r="AA106" s="34"/>
      <c r="AB106" s="34"/>
      <c r="AC106" s="34"/>
      <c r="AD106" s="34"/>
      <c r="AE106" s="34"/>
      <c r="AF106" s="34"/>
      <c r="AH106" s="34"/>
      <c r="AI106" s="34"/>
      <c r="AJ106" s="34"/>
      <c r="AK106" s="34"/>
      <c r="AL106" s="34"/>
      <c r="AM106" s="34"/>
      <c r="AN106" s="34"/>
      <c r="AO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168"/>
      <c r="BB106" s="34"/>
      <c r="BC106" s="34"/>
      <c r="BD106" s="34"/>
      <c r="BE106" s="34"/>
      <c r="BF106" s="34"/>
      <c r="BG106" s="34"/>
      <c r="BH106" s="34"/>
      <c r="BI106" s="34"/>
    </row>
    <row r="107" spans="2:61" s="64" customFormat="1" x14ac:dyDescent="0.3">
      <c r="C107" s="65" t="s">
        <v>81</v>
      </c>
      <c r="D107" s="77"/>
      <c r="E107" s="69">
        <f>'Quarterly I.S'!F107</f>
        <v>2102154.5729999999</v>
      </c>
      <c r="F107" s="69">
        <f>'Quarterly I.S'!I107</f>
        <v>2252477</v>
      </c>
      <c r="G107" s="69">
        <f>'Quarterly I.S'!J107</f>
        <v>2368802.733</v>
      </c>
      <c r="H107" s="69">
        <f>'Quarterly I.S'!M107</f>
        <v>2410541.1162800482</v>
      </c>
      <c r="I107" s="69">
        <f>'Quarterly I.S'!N107</f>
        <v>2539511.5907389205</v>
      </c>
      <c r="J107" s="69">
        <f>'Quarterly I.S'!Q107</f>
        <v>2660121.522842533</v>
      </c>
      <c r="K107" s="69">
        <f>'Quarterly I.S'!R107</f>
        <v>2904358.2520794603</v>
      </c>
      <c r="L107" s="69">
        <f>'Quarterly I.S'!U107</f>
        <v>3240019.3214408178</v>
      </c>
      <c r="M107" s="182">
        <f>L107/J107-1</f>
        <v>0.21799673196080982</v>
      </c>
      <c r="O107" s="67">
        <f t="shared" ref="O107:O115" si="14">$E107</f>
        <v>2102154.5729999999</v>
      </c>
      <c r="P107" s="67">
        <f t="shared" ref="P107:P115" si="15">$F107</f>
        <v>2252477</v>
      </c>
      <c r="Q107" s="67">
        <f t="shared" ref="Q107:Q115" si="16">$G107</f>
        <v>2368802.733</v>
      </c>
      <c r="R107" s="67">
        <f t="shared" ref="R107:R113" si="17">$H107</f>
        <v>2410541.1162800482</v>
      </c>
      <c r="S107" s="67">
        <f>$I107</f>
        <v>2539511.5907389205</v>
      </c>
      <c r="T107" s="67">
        <f>$J107</f>
        <v>2660121.522842533</v>
      </c>
      <c r="U107" s="67">
        <f>$K107</f>
        <v>2904358.2520794603</v>
      </c>
      <c r="V107" s="67">
        <f>$L107</f>
        <v>3240019.3214408178</v>
      </c>
      <c r="W107" s="182">
        <f>V107/T107-1</f>
        <v>0.21799673196080982</v>
      </c>
      <c r="Y107" s="67">
        <f t="shared" ref="Y107:Y115" si="18">$E107</f>
        <v>2102154.5729999999</v>
      </c>
      <c r="Z107" s="67">
        <f t="shared" ref="Z107:Z115" si="19">$F107</f>
        <v>2252477</v>
      </c>
      <c r="AA107" s="67">
        <f t="shared" ref="AA107:AA115" si="20">$G107</f>
        <v>2368802.733</v>
      </c>
      <c r="AB107" s="67">
        <f t="shared" ref="AB107:AB113" si="21">$H107</f>
        <v>2410541.1162800482</v>
      </c>
      <c r="AC107" s="67">
        <f>$I107</f>
        <v>2539511.5907389205</v>
      </c>
      <c r="AD107" s="67">
        <f>$J107</f>
        <v>2660121.522842533</v>
      </c>
      <c r="AE107" s="67">
        <f>$K107</f>
        <v>2904358.2520794603</v>
      </c>
      <c r="AF107" s="67">
        <f>$L107</f>
        <v>3240019.3214408178</v>
      </c>
      <c r="AH107" s="67">
        <f t="shared" ref="AH107:AH115" si="22">$E107</f>
        <v>2102154.5729999999</v>
      </c>
      <c r="AI107" s="67">
        <f t="shared" ref="AI107:AI115" si="23">$F107</f>
        <v>2252477</v>
      </c>
      <c r="AJ107" s="67">
        <f t="shared" ref="AJ107:AJ115" si="24">$G107</f>
        <v>2368802.733</v>
      </c>
      <c r="AK107" s="67">
        <f t="shared" ref="AK107:AK113" si="25">$H107</f>
        <v>2410541.1162800482</v>
      </c>
      <c r="AL107" s="67">
        <f>$I107</f>
        <v>2539511.5907389205</v>
      </c>
      <c r="AM107" s="67">
        <f>$J107</f>
        <v>2660121.522842533</v>
      </c>
      <c r="AN107" s="67">
        <f>$K107</f>
        <v>2904358.2520794603</v>
      </c>
      <c r="AO107" s="67">
        <f>$L107</f>
        <v>3240019.3214408178</v>
      </c>
      <c r="AQ107" s="67">
        <f t="shared" ref="AQ107:AQ115" si="26">$E107</f>
        <v>2102154.5729999999</v>
      </c>
      <c r="AR107" s="67">
        <f t="shared" ref="AR107:AR115" si="27">$F107</f>
        <v>2252477</v>
      </c>
      <c r="AS107" s="67">
        <f t="shared" ref="AS107:AS115" si="28">$G107</f>
        <v>2368802.733</v>
      </c>
      <c r="AT107" s="67">
        <f t="shared" ref="AT107:AT113" si="29">$H107</f>
        <v>2410541.1162800482</v>
      </c>
      <c r="AU107" s="67">
        <f>$I107</f>
        <v>2539511.5907389205</v>
      </c>
      <c r="AV107" s="67">
        <f>$J107</f>
        <v>2660121.522842533</v>
      </c>
      <c r="AW107" s="67">
        <f>$K107</f>
        <v>2904358.2520794603</v>
      </c>
      <c r="AX107" s="67">
        <f>$L107</f>
        <v>3240019.3214408178</v>
      </c>
      <c r="AY107" s="67"/>
      <c r="AZ107" s="182">
        <f>AX107/AV107-1</f>
        <v>0.21799673196080982</v>
      </c>
      <c r="BB107" s="67">
        <f t="shared" ref="BB107:BB115" si="30">$E107</f>
        <v>2102154.5729999999</v>
      </c>
      <c r="BC107" s="67">
        <f t="shared" ref="BC107:BC115" si="31">$F107</f>
        <v>2252477</v>
      </c>
      <c r="BD107" s="67">
        <f t="shared" ref="BD107:BD115" si="32">$G107</f>
        <v>2368802.733</v>
      </c>
      <c r="BE107" s="67">
        <f t="shared" ref="BE107:BE113" si="33">$H107</f>
        <v>2410541.1162800482</v>
      </c>
      <c r="BF107" s="67">
        <f>$I107</f>
        <v>2539511.5907389205</v>
      </c>
      <c r="BG107" s="67">
        <f>$J107</f>
        <v>2660121.522842533</v>
      </c>
      <c r="BH107" s="67">
        <f>$K107</f>
        <v>2904358.2520794603</v>
      </c>
      <c r="BI107" s="67">
        <f>$L107</f>
        <v>3240019.3214408178</v>
      </c>
    </row>
    <row r="108" spans="2:61" s="64" customFormat="1" x14ac:dyDescent="0.3">
      <c r="C108" s="65" t="s">
        <v>82</v>
      </c>
      <c r="D108" s="77"/>
      <c r="E108" s="67">
        <f t="shared" ref="E108:L108" si="34">E107-E109-E110</f>
        <v>1941171.174218792</v>
      </c>
      <c r="F108" s="67">
        <f t="shared" si="34"/>
        <v>2072996</v>
      </c>
      <c r="G108" s="67">
        <f t="shared" si="34"/>
        <v>2184797.9700000002</v>
      </c>
      <c r="H108" s="67">
        <f t="shared" si="34"/>
        <v>2198869.156269548</v>
      </c>
      <c r="I108" s="67">
        <f t="shared" si="34"/>
        <v>2332347.2532545202</v>
      </c>
      <c r="J108" s="67">
        <f t="shared" si="34"/>
        <v>2411247.417329933</v>
      </c>
      <c r="K108" s="67">
        <f t="shared" si="34"/>
        <v>2617152.4164260603</v>
      </c>
      <c r="L108" s="67">
        <f t="shared" si="34"/>
        <v>2872729.2339001177</v>
      </c>
      <c r="M108" s="183">
        <f>L108/J108-1</f>
        <v>0.19138716883777995</v>
      </c>
      <c r="O108" s="67">
        <f t="shared" si="14"/>
        <v>1941171.174218792</v>
      </c>
      <c r="P108" s="67">
        <f t="shared" si="15"/>
        <v>2072996</v>
      </c>
      <c r="Q108" s="67">
        <f t="shared" si="16"/>
        <v>2184797.9700000002</v>
      </c>
      <c r="R108" s="67">
        <f t="shared" si="17"/>
        <v>2198869.156269548</v>
      </c>
      <c r="S108" s="67">
        <f>$I108</f>
        <v>2332347.2532545202</v>
      </c>
      <c r="T108" s="67">
        <f>$J108</f>
        <v>2411247.417329933</v>
      </c>
      <c r="U108" s="67">
        <f>$K108</f>
        <v>2617152.4164260603</v>
      </c>
      <c r="V108" s="67">
        <f>$L108</f>
        <v>2872729.2339001177</v>
      </c>
      <c r="W108" s="183">
        <f>V108/T108-1</f>
        <v>0.19138716883777995</v>
      </c>
      <c r="Y108" s="67">
        <f t="shared" si="18"/>
        <v>1941171.174218792</v>
      </c>
      <c r="Z108" s="67">
        <f t="shared" si="19"/>
        <v>2072996</v>
      </c>
      <c r="AA108" s="67">
        <f t="shared" si="20"/>
        <v>2184797.9700000002</v>
      </c>
      <c r="AB108" s="67">
        <f t="shared" si="21"/>
        <v>2198869.156269548</v>
      </c>
      <c r="AC108" s="67">
        <f>$I108</f>
        <v>2332347.2532545202</v>
      </c>
      <c r="AD108" s="67">
        <f>$J108</f>
        <v>2411247.417329933</v>
      </c>
      <c r="AE108" s="67">
        <f>$K108</f>
        <v>2617152.4164260603</v>
      </c>
      <c r="AF108" s="67">
        <f>$L108</f>
        <v>2872729.2339001177</v>
      </c>
      <c r="AH108" s="67">
        <f t="shared" si="22"/>
        <v>1941171.174218792</v>
      </c>
      <c r="AI108" s="67">
        <f t="shared" si="23"/>
        <v>2072996</v>
      </c>
      <c r="AJ108" s="67">
        <f t="shared" si="24"/>
        <v>2184797.9700000002</v>
      </c>
      <c r="AK108" s="67">
        <f t="shared" si="25"/>
        <v>2198869.156269548</v>
      </c>
      <c r="AL108" s="67">
        <f>$I108</f>
        <v>2332347.2532545202</v>
      </c>
      <c r="AM108" s="67">
        <f>$J108</f>
        <v>2411247.417329933</v>
      </c>
      <c r="AN108" s="67">
        <f>$K108</f>
        <v>2617152.4164260603</v>
      </c>
      <c r="AO108" s="67">
        <f>$L108</f>
        <v>2872729.2339001177</v>
      </c>
      <c r="AQ108" s="67">
        <f t="shared" si="26"/>
        <v>1941171.174218792</v>
      </c>
      <c r="AR108" s="67">
        <f t="shared" si="27"/>
        <v>2072996</v>
      </c>
      <c r="AS108" s="67">
        <f t="shared" si="28"/>
        <v>2184797.9700000002</v>
      </c>
      <c r="AT108" s="67">
        <f t="shared" si="29"/>
        <v>2198869.156269548</v>
      </c>
      <c r="AU108" s="67">
        <f>$I108</f>
        <v>2332347.2532545202</v>
      </c>
      <c r="AV108" s="67">
        <f>$J108</f>
        <v>2411247.417329933</v>
      </c>
      <c r="AW108" s="67">
        <f>$K108</f>
        <v>2617152.4164260603</v>
      </c>
      <c r="AX108" s="67">
        <f>$L108</f>
        <v>2872729.2339001177</v>
      </c>
      <c r="AY108" s="67"/>
      <c r="AZ108" s="183">
        <f>AX108/AV108-1</f>
        <v>0.19138716883777995</v>
      </c>
      <c r="BB108" s="67">
        <f t="shared" si="30"/>
        <v>1941171.174218792</v>
      </c>
      <c r="BC108" s="67">
        <f t="shared" si="31"/>
        <v>2072996</v>
      </c>
      <c r="BD108" s="67">
        <f t="shared" si="32"/>
        <v>2184797.9700000002</v>
      </c>
      <c r="BE108" s="67">
        <f t="shared" si="33"/>
        <v>2198869.156269548</v>
      </c>
      <c r="BF108" s="67">
        <f>$I108</f>
        <v>2332347.2532545202</v>
      </c>
      <c r="BG108" s="67">
        <f>$J108</f>
        <v>2411247.417329933</v>
      </c>
      <c r="BH108" s="67">
        <f>$K108</f>
        <v>2617152.4164260603</v>
      </c>
      <c r="BI108" s="67">
        <f>$L108</f>
        <v>2872729.2339001177</v>
      </c>
    </row>
    <row r="109" spans="2:61" s="64" customFormat="1" x14ac:dyDescent="0.3">
      <c r="C109" s="65" t="s">
        <v>80</v>
      </c>
      <c r="D109" s="77"/>
      <c r="E109" s="69">
        <f>'Quarterly I.S'!F109</f>
        <v>160983.39878120794</v>
      </c>
      <c r="F109" s="69">
        <f>'Quarterly I.S'!I109</f>
        <v>172300</v>
      </c>
      <c r="G109" s="69">
        <f>'Quarterly I.S'!J109</f>
        <v>173038.76300000001</v>
      </c>
      <c r="H109" s="69">
        <f>'Quarterly I.S'!M109</f>
        <v>201721.7358689</v>
      </c>
      <c r="I109" s="69">
        <f>'Quarterly I.S'!N109</f>
        <v>194872.81264679998</v>
      </c>
      <c r="J109" s="69">
        <f>'Quarterly I.S'!Q109</f>
        <v>244839.924291</v>
      </c>
      <c r="K109" s="69">
        <f>'Quarterly I.S'!R109</f>
        <v>264738.25029579998</v>
      </c>
      <c r="L109" s="69">
        <f>'Quarterly I.S'!U109</f>
        <v>345595.06361269997</v>
      </c>
      <c r="M109" s="182">
        <f>L109/J109-1</f>
        <v>0.41151433784119829</v>
      </c>
      <c r="O109" s="67">
        <f t="shared" si="14"/>
        <v>160983.39878120794</v>
      </c>
      <c r="P109" s="67">
        <f t="shared" si="15"/>
        <v>172300</v>
      </c>
      <c r="Q109" s="67">
        <f t="shared" si="16"/>
        <v>173038.76300000001</v>
      </c>
      <c r="R109" s="67">
        <f t="shared" si="17"/>
        <v>201721.7358689</v>
      </c>
      <c r="S109" s="67">
        <f>$I109</f>
        <v>194872.81264679998</v>
      </c>
      <c r="T109" s="67">
        <f>$J109</f>
        <v>244839.924291</v>
      </c>
      <c r="U109" s="67">
        <f>$K109</f>
        <v>264738.25029579998</v>
      </c>
      <c r="V109" s="67">
        <f>$L109</f>
        <v>345595.06361269997</v>
      </c>
      <c r="W109" s="182">
        <f>V109/T109-1</f>
        <v>0.41151433784119829</v>
      </c>
      <c r="Y109" s="67">
        <f t="shared" si="18"/>
        <v>160983.39878120794</v>
      </c>
      <c r="Z109" s="67">
        <f t="shared" si="19"/>
        <v>172300</v>
      </c>
      <c r="AA109" s="67">
        <f t="shared" si="20"/>
        <v>173038.76300000001</v>
      </c>
      <c r="AB109" s="67">
        <f t="shared" si="21"/>
        <v>201721.7358689</v>
      </c>
      <c r="AC109" s="67">
        <f>$I109</f>
        <v>194872.81264679998</v>
      </c>
      <c r="AD109" s="67">
        <f>$J109</f>
        <v>244839.924291</v>
      </c>
      <c r="AE109" s="67">
        <f>$K109</f>
        <v>264738.25029579998</v>
      </c>
      <c r="AF109" s="67">
        <f>$L109</f>
        <v>345595.06361269997</v>
      </c>
      <c r="AH109" s="67">
        <f t="shared" si="22"/>
        <v>160983.39878120794</v>
      </c>
      <c r="AI109" s="67">
        <f t="shared" si="23"/>
        <v>172300</v>
      </c>
      <c r="AJ109" s="67">
        <f t="shared" si="24"/>
        <v>173038.76300000001</v>
      </c>
      <c r="AK109" s="67">
        <f t="shared" si="25"/>
        <v>201721.7358689</v>
      </c>
      <c r="AL109" s="67">
        <f>$I109</f>
        <v>194872.81264679998</v>
      </c>
      <c r="AM109" s="67">
        <f>$J109</f>
        <v>244839.924291</v>
      </c>
      <c r="AN109" s="67">
        <f>$K109</f>
        <v>264738.25029579998</v>
      </c>
      <c r="AO109" s="67">
        <f>$L109</f>
        <v>345595.06361269997</v>
      </c>
      <c r="AQ109" s="67">
        <f t="shared" si="26"/>
        <v>160983.39878120794</v>
      </c>
      <c r="AR109" s="67">
        <f t="shared" si="27"/>
        <v>172300</v>
      </c>
      <c r="AS109" s="67">
        <f t="shared" si="28"/>
        <v>173038.76300000001</v>
      </c>
      <c r="AT109" s="67">
        <f t="shared" si="29"/>
        <v>201721.7358689</v>
      </c>
      <c r="AU109" s="67">
        <f>$I109</f>
        <v>194872.81264679998</v>
      </c>
      <c r="AV109" s="67">
        <f>$J109</f>
        <v>244839.924291</v>
      </c>
      <c r="AW109" s="67">
        <f>$K109</f>
        <v>264738.25029579998</v>
      </c>
      <c r="AX109" s="67">
        <f>$L109</f>
        <v>345595.06361269997</v>
      </c>
      <c r="AY109" s="67"/>
      <c r="AZ109" s="182">
        <f>AX109/AV109-1</f>
        <v>0.41151433784119829</v>
      </c>
      <c r="BB109" s="67">
        <f t="shared" si="30"/>
        <v>160983.39878120794</v>
      </c>
      <c r="BC109" s="67">
        <f t="shared" si="31"/>
        <v>172300</v>
      </c>
      <c r="BD109" s="67">
        <f t="shared" si="32"/>
        <v>173038.76300000001</v>
      </c>
      <c r="BE109" s="67">
        <f t="shared" si="33"/>
        <v>201721.7358689</v>
      </c>
      <c r="BF109" s="67">
        <f>$I109</f>
        <v>194872.81264679998</v>
      </c>
      <c r="BG109" s="67">
        <f>$J109</f>
        <v>244839.924291</v>
      </c>
      <c r="BH109" s="67">
        <f>$K109</f>
        <v>264738.25029579998</v>
      </c>
      <c r="BI109" s="67">
        <f>$L109</f>
        <v>345595.06361269997</v>
      </c>
    </row>
    <row r="110" spans="2:61" s="64" customFormat="1" x14ac:dyDescent="0.3">
      <c r="C110" s="105" t="s">
        <v>190</v>
      </c>
      <c r="D110" s="128"/>
      <c r="E110" s="210">
        <f>'Quarterly I.S'!F110</f>
        <v>0</v>
      </c>
      <c r="F110" s="210">
        <f>'Quarterly I.S'!I110</f>
        <v>7181</v>
      </c>
      <c r="G110" s="210">
        <f>'Quarterly I.S'!J110</f>
        <v>10966</v>
      </c>
      <c r="H110" s="210">
        <f>'Quarterly I.S'!M110</f>
        <v>9950.2241416000088</v>
      </c>
      <c r="I110" s="210">
        <f>'Quarterly I.S'!N110</f>
        <v>12291.524837600005</v>
      </c>
      <c r="J110" s="210">
        <f>'Quarterly I.S'!Q110</f>
        <v>4034.1812216000089</v>
      </c>
      <c r="K110" s="210">
        <f>'Quarterly I.S'!R110</f>
        <v>22467.585357600008</v>
      </c>
      <c r="L110" s="210">
        <f>'Quarterly I.S'!U110</f>
        <v>21695.023927999988</v>
      </c>
      <c r="M110" s="211"/>
      <c r="O110" s="67">
        <f t="shared" si="14"/>
        <v>0</v>
      </c>
      <c r="P110" s="67">
        <f t="shared" si="15"/>
        <v>7181</v>
      </c>
      <c r="Q110" s="67">
        <f t="shared" si="16"/>
        <v>10966</v>
      </c>
      <c r="R110" s="67">
        <f t="shared" si="17"/>
        <v>9950.2241416000088</v>
      </c>
      <c r="S110" s="67">
        <f>$I110</f>
        <v>12291.524837600005</v>
      </c>
      <c r="T110" s="67">
        <f>$J110</f>
        <v>4034.1812216000089</v>
      </c>
      <c r="U110" s="67">
        <f>$K110</f>
        <v>22467.585357600008</v>
      </c>
      <c r="V110" s="67">
        <f>$L110</f>
        <v>21695.023927999988</v>
      </c>
      <c r="W110" s="182">
        <f>V110/T110-1</f>
        <v>4.3778010298197412</v>
      </c>
      <c r="Y110" s="67">
        <f t="shared" si="18"/>
        <v>0</v>
      </c>
      <c r="Z110" s="67">
        <f t="shared" si="19"/>
        <v>7181</v>
      </c>
      <c r="AA110" s="67">
        <f t="shared" si="20"/>
        <v>10966</v>
      </c>
      <c r="AB110" s="67">
        <f t="shared" si="21"/>
        <v>9950.2241416000088</v>
      </c>
      <c r="AC110" s="67">
        <f>$I110</f>
        <v>12291.524837600005</v>
      </c>
      <c r="AD110" s="67">
        <f>$J110</f>
        <v>4034.1812216000089</v>
      </c>
      <c r="AE110" s="67">
        <f>$K110</f>
        <v>22467.585357600008</v>
      </c>
      <c r="AF110" s="67">
        <f>$L110</f>
        <v>21695.023927999988</v>
      </c>
      <c r="AH110" s="67">
        <f t="shared" si="22"/>
        <v>0</v>
      </c>
      <c r="AI110" s="67">
        <f t="shared" si="23"/>
        <v>7181</v>
      </c>
      <c r="AJ110" s="67">
        <f t="shared" si="24"/>
        <v>10966</v>
      </c>
      <c r="AK110" s="67">
        <f t="shared" si="25"/>
        <v>9950.2241416000088</v>
      </c>
      <c r="AL110" s="67">
        <f>$I110</f>
        <v>12291.524837600005</v>
      </c>
      <c r="AM110" s="67">
        <f>$J110</f>
        <v>4034.1812216000089</v>
      </c>
      <c r="AN110" s="67">
        <f>$K110</f>
        <v>22467.585357600008</v>
      </c>
      <c r="AO110" s="67">
        <f>$L110</f>
        <v>21695.023927999988</v>
      </c>
      <c r="AQ110" s="67">
        <f t="shared" si="26"/>
        <v>0</v>
      </c>
      <c r="AR110" s="67">
        <f t="shared" si="27"/>
        <v>7181</v>
      </c>
      <c r="AS110" s="67">
        <f t="shared" si="28"/>
        <v>10966</v>
      </c>
      <c r="AT110" s="67">
        <f t="shared" si="29"/>
        <v>9950.2241416000088</v>
      </c>
      <c r="AU110" s="67">
        <f>$I110</f>
        <v>12291.524837600005</v>
      </c>
      <c r="AV110" s="67">
        <f>$J110</f>
        <v>4034.1812216000089</v>
      </c>
      <c r="AW110" s="67">
        <f>$K110</f>
        <v>22467.585357600008</v>
      </c>
      <c r="AX110" s="67">
        <f>$L110</f>
        <v>21695.023927999988</v>
      </c>
      <c r="AY110" s="67"/>
      <c r="AZ110" s="211"/>
      <c r="BB110" s="67">
        <f t="shared" si="30"/>
        <v>0</v>
      </c>
      <c r="BC110" s="67">
        <f t="shared" si="31"/>
        <v>7181</v>
      </c>
      <c r="BD110" s="67">
        <f t="shared" si="32"/>
        <v>10966</v>
      </c>
      <c r="BE110" s="67">
        <f t="shared" si="33"/>
        <v>9950.2241416000088</v>
      </c>
      <c r="BF110" s="67">
        <f>$I110</f>
        <v>12291.524837600005</v>
      </c>
      <c r="BG110" s="67">
        <f>$J110</f>
        <v>4034.1812216000089</v>
      </c>
      <c r="BH110" s="67">
        <f>$K110</f>
        <v>22467.585357600008</v>
      </c>
      <c r="BI110" s="67">
        <f>$L110</f>
        <v>21695.023927999988</v>
      </c>
    </row>
    <row r="111" spans="2:61" x14ac:dyDescent="0.3">
      <c r="C111" s="71"/>
      <c r="D111" s="120"/>
      <c r="E111" s="68"/>
      <c r="F111" s="68"/>
      <c r="G111" s="68"/>
      <c r="H111" s="68"/>
      <c r="I111" s="68"/>
      <c r="J111" s="68"/>
      <c r="K111" s="68"/>
      <c r="L111" s="68"/>
      <c r="M111" s="209"/>
      <c r="O111" s="70"/>
      <c r="P111" s="70"/>
      <c r="Q111" s="70"/>
      <c r="R111" s="70"/>
      <c r="S111" s="70"/>
      <c r="T111" s="70"/>
      <c r="U111" s="70"/>
      <c r="V111" s="70"/>
      <c r="W111" s="209"/>
      <c r="Y111" s="70"/>
      <c r="Z111" s="70"/>
      <c r="AA111" s="70"/>
      <c r="AB111" s="70"/>
      <c r="AC111" s="70"/>
      <c r="AD111" s="70"/>
      <c r="AE111" s="70"/>
      <c r="AF111" s="70"/>
      <c r="AH111" s="70"/>
      <c r="AI111" s="70"/>
      <c r="AJ111" s="70"/>
      <c r="AK111" s="70"/>
      <c r="AL111" s="70"/>
      <c r="AM111" s="70"/>
      <c r="AN111" s="70"/>
      <c r="AO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209"/>
      <c r="BB111" s="70"/>
      <c r="BC111" s="70"/>
      <c r="BD111" s="70"/>
      <c r="BE111" s="70"/>
      <c r="BF111" s="70"/>
      <c r="BG111" s="70"/>
      <c r="BH111" s="70"/>
      <c r="BI111" s="70"/>
    </row>
    <row r="112" spans="2:61" s="64" customFormat="1" x14ac:dyDescent="0.3">
      <c r="C112" s="65" t="s">
        <v>129</v>
      </c>
      <c r="D112" s="77"/>
      <c r="E112" s="69">
        <f>'Quarterly I.S'!F112</f>
        <v>2054202.1233333333</v>
      </c>
      <c r="F112" s="69">
        <f>AVERAGE('Quarterly I.S'!G112:I112)</f>
        <v>2103798.6453333334</v>
      </c>
      <c r="G112" s="69">
        <f>'Quarterly I.S'!J112</f>
        <v>2303559.6136666667</v>
      </c>
      <c r="H112" s="69">
        <f>AVERAGE('Quarterly I.S'!K112:M112)</f>
        <v>2335940.3626713227</v>
      </c>
      <c r="I112" s="69">
        <f>'Quarterly I.S'!N112</f>
        <v>2475773.6399572711</v>
      </c>
      <c r="J112" s="69">
        <f>AVERAGE('Quarterly I.S'!O112:Q112)</f>
        <v>2477929.5049932697</v>
      </c>
      <c r="K112" s="69">
        <f>AVERAGE('Quarterly I.S'!P112:R112)</f>
        <v>2572225.5516186473</v>
      </c>
      <c r="L112" s="69">
        <f>AVERAGE('Quarterly I.S'!S112:U112)</f>
        <v>3017754.3316907487</v>
      </c>
      <c r="M112" s="182"/>
      <c r="O112" s="67">
        <f t="shared" si="14"/>
        <v>2054202.1233333333</v>
      </c>
      <c r="P112" s="67">
        <f t="shared" si="15"/>
        <v>2103798.6453333334</v>
      </c>
      <c r="Q112" s="67">
        <f t="shared" si="16"/>
        <v>2303559.6136666667</v>
      </c>
      <c r="R112" s="67">
        <f t="shared" si="17"/>
        <v>2335940.3626713227</v>
      </c>
      <c r="S112" s="67">
        <f>$I112</f>
        <v>2475773.6399572711</v>
      </c>
      <c r="T112" s="67">
        <f>$J112</f>
        <v>2477929.5049932697</v>
      </c>
      <c r="U112" s="67">
        <f>$K112</f>
        <v>2572225.5516186473</v>
      </c>
      <c r="V112" s="67">
        <f>$L112</f>
        <v>3017754.3316907487</v>
      </c>
      <c r="W112" s="182"/>
      <c r="Y112" s="67">
        <f t="shared" si="18"/>
        <v>2054202.1233333333</v>
      </c>
      <c r="Z112" s="67">
        <f t="shared" si="19"/>
        <v>2103798.6453333334</v>
      </c>
      <c r="AA112" s="67">
        <f t="shared" si="20"/>
        <v>2303559.6136666667</v>
      </c>
      <c r="AB112" s="67">
        <f t="shared" si="21"/>
        <v>2335940.3626713227</v>
      </c>
      <c r="AC112" s="67">
        <f>$I112</f>
        <v>2475773.6399572711</v>
      </c>
      <c r="AD112" s="67">
        <f>$J112</f>
        <v>2477929.5049932697</v>
      </c>
      <c r="AE112" s="67">
        <f>$K112</f>
        <v>2572225.5516186473</v>
      </c>
      <c r="AF112" s="67">
        <f>$L112</f>
        <v>3017754.3316907487</v>
      </c>
      <c r="AH112" s="67">
        <f t="shared" si="22"/>
        <v>2054202.1233333333</v>
      </c>
      <c r="AI112" s="67">
        <f t="shared" si="23"/>
        <v>2103798.6453333334</v>
      </c>
      <c r="AJ112" s="67">
        <f t="shared" si="24"/>
        <v>2303559.6136666667</v>
      </c>
      <c r="AK112" s="67">
        <f t="shared" si="25"/>
        <v>2335940.3626713227</v>
      </c>
      <c r="AL112" s="67">
        <f>$I112</f>
        <v>2475773.6399572711</v>
      </c>
      <c r="AM112" s="67">
        <f>$J112</f>
        <v>2477929.5049932697</v>
      </c>
      <c r="AN112" s="67">
        <f>$K112</f>
        <v>2572225.5516186473</v>
      </c>
      <c r="AO112" s="67">
        <f>$L112</f>
        <v>3017754.3316907487</v>
      </c>
      <c r="AQ112" s="67">
        <f t="shared" si="26"/>
        <v>2054202.1233333333</v>
      </c>
      <c r="AR112" s="67">
        <f t="shared" si="27"/>
        <v>2103798.6453333334</v>
      </c>
      <c r="AS112" s="67">
        <f t="shared" si="28"/>
        <v>2303559.6136666667</v>
      </c>
      <c r="AT112" s="67">
        <f t="shared" si="29"/>
        <v>2335940.3626713227</v>
      </c>
      <c r="AU112" s="67">
        <f>$I112</f>
        <v>2475773.6399572711</v>
      </c>
      <c r="AV112" s="67">
        <f>$J112</f>
        <v>2477929.5049932697</v>
      </c>
      <c r="AW112" s="67">
        <f>$K112</f>
        <v>2572225.5516186473</v>
      </c>
      <c r="AX112" s="67">
        <f>$L112</f>
        <v>3017754.3316907487</v>
      </c>
      <c r="AY112" s="67"/>
      <c r="AZ112" s="182"/>
      <c r="BB112" s="67">
        <f t="shared" si="30"/>
        <v>2054202.1233333333</v>
      </c>
      <c r="BC112" s="67">
        <f t="shared" si="31"/>
        <v>2103798.6453333334</v>
      </c>
      <c r="BD112" s="67">
        <f t="shared" si="32"/>
        <v>2303559.6136666667</v>
      </c>
      <c r="BE112" s="67">
        <f t="shared" si="33"/>
        <v>2335940.3626713227</v>
      </c>
      <c r="BF112" s="67">
        <f>$I112</f>
        <v>2475773.6399572711</v>
      </c>
      <c r="BG112" s="67">
        <f>$J112</f>
        <v>2477929.5049932697</v>
      </c>
      <c r="BH112" s="67">
        <f>$K112</f>
        <v>2572225.5516186473</v>
      </c>
      <c r="BI112" s="67">
        <f>$L112</f>
        <v>3017754.3316907487</v>
      </c>
    </row>
    <row r="113" spans="2:61" s="64" customFormat="1" x14ac:dyDescent="0.3">
      <c r="C113" s="65" t="s">
        <v>130</v>
      </c>
      <c r="D113" s="77"/>
      <c r="E113" s="70">
        <f t="shared" ref="E113:L113" si="35">E112-E114-E115</f>
        <v>1888725.8732802542</v>
      </c>
      <c r="F113" s="70">
        <f t="shared" si="35"/>
        <v>1933285.5798736392</v>
      </c>
      <c r="G113" s="70">
        <f t="shared" si="35"/>
        <v>2122332.1376666669</v>
      </c>
      <c r="H113" s="70">
        <f t="shared" si="35"/>
        <v>2136051.8369281339</v>
      </c>
      <c r="I113" s="70">
        <f t="shared" si="35"/>
        <v>2264038.4171894044</v>
      </c>
      <c r="J113" s="70">
        <f t="shared" si="35"/>
        <v>2252436.2448151377</v>
      </c>
      <c r="K113" s="70">
        <f t="shared" si="35"/>
        <v>2327945.1492958707</v>
      </c>
      <c r="L113" s="70">
        <f t="shared" si="35"/>
        <v>2690172.0570642594</v>
      </c>
      <c r="M113" s="181"/>
      <c r="O113" s="67">
        <f t="shared" si="14"/>
        <v>1888725.8732802542</v>
      </c>
      <c r="P113" s="67">
        <f t="shared" si="15"/>
        <v>1933285.5798736392</v>
      </c>
      <c r="Q113" s="67">
        <f t="shared" si="16"/>
        <v>2122332.1376666669</v>
      </c>
      <c r="R113" s="67">
        <f t="shared" si="17"/>
        <v>2136051.8369281339</v>
      </c>
      <c r="S113" s="67">
        <f>$I113</f>
        <v>2264038.4171894044</v>
      </c>
      <c r="T113" s="67">
        <f>$J113</f>
        <v>2252436.2448151377</v>
      </c>
      <c r="U113" s="67">
        <f>$K113</f>
        <v>2327945.1492958707</v>
      </c>
      <c r="V113" s="67">
        <f>$L113</f>
        <v>2690172.0570642594</v>
      </c>
      <c r="W113" s="181"/>
      <c r="Y113" s="67">
        <f t="shared" si="18"/>
        <v>1888725.8732802542</v>
      </c>
      <c r="Z113" s="67">
        <f t="shared" si="19"/>
        <v>1933285.5798736392</v>
      </c>
      <c r="AA113" s="67">
        <f t="shared" si="20"/>
        <v>2122332.1376666669</v>
      </c>
      <c r="AB113" s="67">
        <f t="shared" si="21"/>
        <v>2136051.8369281339</v>
      </c>
      <c r="AC113" s="67">
        <f>$I113</f>
        <v>2264038.4171894044</v>
      </c>
      <c r="AD113" s="67">
        <f>$J113</f>
        <v>2252436.2448151377</v>
      </c>
      <c r="AE113" s="67">
        <f>$K113</f>
        <v>2327945.1492958707</v>
      </c>
      <c r="AF113" s="67">
        <f>$L113</f>
        <v>2690172.0570642594</v>
      </c>
      <c r="AH113" s="67">
        <f t="shared" si="22"/>
        <v>1888725.8732802542</v>
      </c>
      <c r="AI113" s="67">
        <f t="shared" si="23"/>
        <v>1933285.5798736392</v>
      </c>
      <c r="AJ113" s="67">
        <f t="shared" si="24"/>
        <v>2122332.1376666669</v>
      </c>
      <c r="AK113" s="67">
        <f t="shared" si="25"/>
        <v>2136051.8369281339</v>
      </c>
      <c r="AL113" s="67">
        <f>$I113</f>
        <v>2264038.4171894044</v>
      </c>
      <c r="AM113" s="67">
        <f>$J113</f>
        <v>2252436.2448151377</v>
      </c>
      <c r="AN113" s="67">
        <f>$K113</f>
        <v>2327945.1492958707</v>
      </c>
      <c r="AO113" s="67">
        <f>$L113</f>
        <v>2690172.0570642594</v>
      </c>
      <c r="AQ113" s="67">
        <f t="shared" si="26"/>
        <v>1888725.8732802542</v>
      </c>
      <c r="AR113" s="67">
        <f t="shared" si="27"/>
        <v>1933285.5798736392</v>
      </c>
      <c r="AS113" s="67">
        <f t="shared" si="28"/>
        <v>2122332.1376666669</v>
      </c>
      <c r="AT113" s="67">
        <f t="shared" si="29"/>
        <v>2136051.8369281339</v>
      </c>
      <c r="AU113" s="67">
        <f>$I113</f>
        <v>2264038.4171894044</v>
      </c>
      <c r="AV113" s="67">
        <f>$J113</f>
        <v>2252436.2448151377</v>
      </c>
      <c r="AW113" s="67">
        <f>$K113</f>
        <v>2327945.1492958707</v>
      </c>
      <c r="AX113" s="67">
        <f>$L113</f>
        <v>2690172.0570642594</v>
      </c>
      <c r="AY113" s="67"/>
      <c r="AZ113" s="181"/>
      <c r="BB113" s="67">
        <f t="shared" si="30"/>
        <v>1888725.8732802542</v>
      </c>
      <c r="BC113" s="67">
        <f t="shared" si="31"/>
        <v>1933285.5798736392</v>
      </c>
      <c r="BD113" s="67">
        <f t="shared" si="32"/>
        <v>2122332.1376666669</v>
      </c>
      <c r="BE113" s="67">
        <f t="shared" si="33"/>
        <v>2136051.8369281339</v>
      </c>
      <c r="BF113" s="67">
        <f>$I113</f>
        <v>2264038.4171894044</v>
      </c>
      <c r="BG113" s="67">
        <f>$J113</f>
        <v>2252436.2448151377</v>
      </c>
      <c r="BH113" s="67">
        <f>$K113</f>
        <v>2327945.1492958707</v>
      </c>
      <c r="BI113" s="67">
        <f>$L113</f>
        <v>2690172.0570642594</v>
      </c>
    </row>
    <row r="114" spans="2:61" s="64" customFormat="1" x14ac:dyDescent="0.3">
      <c r="C114" s="65" t="s">
        <v>131</v>
      </c>
      <c r="D114" s="77"/>
      <c r="E114" s="69">
        <f>'Quarterly I.S'!F114</f>
        <v>165476.25005307901</v>
      </c>
      <c r="F114" s="69">
        <f>AVERAGE('Quarterly I.S'!G114:I114)</f>
        <v>168924.06545969416</v>
      </c>
      <c r="G114" s="69">
        <f>'Quarterly I.S'!J114</f>
        <v>170261.476</v>
      </c>
      <c r="H114" s="69">
        <f>AVERAGE('Quarterly I.S'!K114:M114)</f>
        <v>190707.08759394442</v>
      </c>
      <c r="I114" s="69">
        <f>'Quarterly I.S'!N114</f>
        <v>200461.76710093333</v>
      </c>
      <c r="J114" s="69">
        <f>AVERAGE('Quarterly I.S'!O114:Q114)</f>
        <v>220673.73005653228</v>
      </c>
      <c r="K114" s="69">
        <f>AVERAGE('Quarterly I.S'!P114:R114)</f>
        <v>238644.13800988786</v>
      </c>
      <c r="L114" s="69">
        <f>AVERAGE('Quarterly I.S'!S114:U114)</f>
        <v>310400.17758915556</v>
      </c>
      <c r="M114" s="182"/>
      <c r="O114" s="67">
        <f t="shared" si="14"/>
        <v>165476.25005307901</v>
      </c>
      <c r="P114" s="67">
        <f t="shared" si="15"/>
        <v>168924.06545969416</v>
      </c>
      <c r="Q114" s="67">
        <f t="shared" si="16"/>
        <v>170261.476</v>
      </c>
      <c r="R114" s="67">
        <f>$H114</f>
        <v>190707.08759394442</v>
      </c>
      <c r="S114" s="67">
        <f>$I114</f>
        <v>200461.76710093333</v>
      </c>
      <c r="T114" s="67">
        <f>$J114</f>
        <v>220673.73005653228</v>
      </c>
      <c r="U114" s="67">
        <f>$K114</f>
        <v>238644.13800988786</v>
      </c>
      <c r="V114" s="67">
        <f>$L114</f>
        <v>310400.17758915556</v>
      </c>
      <c r="W114" s="182"/>
      <c r="Y114" s="67">
        <f t="shared" si="18"/>
        <v>165476.25005307901</v>
      </c>
      <c r="Z114" s="67">
        <f t="shared" si="19"/>
        <v>168924.06545969416</v>
      </c>
      <c r="AA114" s="67">
        <f t="shared" si="20"/>
        <v>170261.476</v>
      </c>
      <c r="AB114" s="67">
        <f>$H114</f>
        <v>190707.08759394442</v>
      </c>
      <c r="AC114" s="67">
        <f>$I114</f>
        <v>200461.76710093333</v>
      </c>
      <c r="AD114" s="67">
        <f>$J114</f>
        <v>220673.73005653228</v>
      </c>
      <c r="AE114" s="67">
        <f>$K114</f>
        <v>238644.13800988786</v>
      </c>
      <c r="AF114" s="67">
        <f>$L114</f>
        <v>310400.17758915556</v>
      </c>
      <c r="AH114" s="67">
        <f t="shared" si="22"/>
        <v>165476.25005307901</v>
      </c>
      <c r="AI114" s="67">
        <f t="shared" si="23"/>
        <v>168924.06545969416</v>
      </c>
      <c r="AJ114" s="67">
        <f t="shared" si="24"/>
        <v>170261.476</v>
      </c>
      <c r="AK114" s="67">
        <f>$H114</f>
        <v>190707.08759394442</v>
      </c>
      <c r="AL114" s="67">
        <f>$I114</f>
        <v>200461.76710093333</v>
      </c>
      <c r="AM114" s="67">
        <f>$J114</f>
        <v>220673.73005653228</v>
      </c>
      <c r="AN114" s="67">
        <f>$K114</f>
        <v>238644.13800988786</v>
      </c>
      <c r="AO114" s="67">
        <f>$L114</f>
        <v>310400.17758915556</v>
      </c>
      <c r="AQ114" s="67">
        <f t="shared" si="26"/>
        <v>165476.25005307901</v>
      </c>
      <c r="AR114" s="67">
        <f t="shared" si="27"/>
        <v>168924.06545969416</v>
      </c>
      <c r="AS114" s="67">
        <f t="shared" si="28"/>
        <v>170261.476</v>
      </c>
      <c r="AT114" s="67">
        <f>$H114</f>
        <v>190707.08759394442</v>
      </c>
      <c r="AU114" s="67">
        <f>$I114</f>
        <v>200461.76710093333</v>
      </c>
      <c r="AV114" s="67">
        <f>$J114</f>
        <v>220673.73005653228</v>
      </c>
      <c r="AW114" s="67">
        <f>$K114</f>
        <v>238644.13800988786</v>
      </c>
      <c r="AX114" s="67">
        <f>$L114</f>
        <v>310400.17758915556</v>
      </c>
      <c r="AY114" s="67"/>
      <c r="AZ114" s="182"/>
      <c r="BB114" s="67">
        <f t="shared" si="30"/>
        <v>165476.25005307901</v>
      </c>
      <c r="BC114" s="67">
        <f t="shared" si="31"/>
        <v>168924.06545969416</v>
      </c>
      <c r="BD114" s="67">
        <f t="shared" si="32"/>
        <v>170261.476</v>
      </c>
      <c r="BE114" s="67">
        <f>$H114</f>
        <v>190707.08759394442</v>
      </c>
      <c r="BF114" s="67">
        <f>$I114</f>
        <v>200461.76710093333</v>
      </c>
      <c r="BG114" s="67">
        <f>$J114</f>
        <v>220673.73005653228</v>
      </c>
      <c r="BH114" s="67">
        <f>$K114</f>
        <v>238644.13800988786</v>
      </c>
      <c r="BI114" s="67">
        <f>$L114</f>
        <v>310400.17758915556</v>
      </c>
    </row>
    <row r="115" spans="2:61" s="64" customFormat="1" x14ac:dyDescent="0.3">
      <c r="C115" s="65" t="s">
        <v>191</v>
      </c>
      <c r="D115" s="77"/>
      <c r="E115" s="69">
        <f>'Quarterly I.S'!F115</f>
        <v>0</v>
      </c>
      <c r="F115" s="69">
        <f>AVERAGE('Quarterly I.S'!G115:I115)</f>
        <v>1589</v>
      </c>
      <c r="G115" s="69">
        <f>'Quarterly I.S'!J115</f>
        <v>10966</v>
      </c>
      <c r="H115" s="69">
        <f>AVERAGE('Quarterly I.S'!K115:M115)</f>
        <v>9181.4381492444463</v>
      </c>
      <c r="I115" s="69">
        <f>'Quarterly I.S'!N115</f>
        <v>11273.455666933338</v>
      </c>
      <c r="J115" s="69">
        <f>AVERAGE('Quarterly I.S'!O115:Q115)</f>
        <v>4819.5301215999998</v>
      </c>
      <c r="K115" s="69">
        <f>AVERAGE('Quarterly I.S'!P115:R115)</f>
        <v>5636.2643128888885</v>
      </c>
      <c r="L115" s="69">
        <f>AVERAGE('Quarterly I.S'!S115:U115)</f>
        <v>17182.097037333329</v>
      </c>
      <c r="M115" s="182"/>
      <c r="O115" s="67">
        <f t="shared" si="14"/>
        <v>0</v>
      </c>
      <c r="P115" s="67">
        <f t="shared" si="15"/>
        <v>1589</v>
      </c>
      <c r="Q115" s="67">
        <f t="shared" si="16"/>
        <v>10966</v>
      </c>
      <c r="R115" s="67">
        <f>$H115</f>
        <v>9181.4381492444463</v>
      </c>
      <c r="S115" s="67">
        <f>$I115</f>
        <v>11273.455666933338</v>
      </c>
      <c r="T115" s="67">
        <f>$J115</f>
        <v>4819.5301215999998</v>
      </c>
      <c r="U115" s="67">
        <f>$K115</f>
        <v>5636.2643128888885</v>
      </c>
      <c r="V115" s="67">
        <f>$L115</f>
        <v>17182.097037333329</v>
      </c>
      <c r="W115" s="182"/>
      <c r="Y115" s="67">
        <f t="shared" si="18"/>
        <v>0</v>
      </c>
      <c r="Z115" s="67">
        <f t="shared" si="19"/>
        <v>1589</v>
      </c>
      <c r="AA115" s="67">
        <f t="shared" si="20"/>
        <v>10966</v>
      </c>
      <c r="AB115" s="67">
        <f>$H115</f>
        <v>9181.4381492444463</v>
      </c>
      <c r="AC115" s="67">
        <f>$I115</f>
        <v>11273.455666933338</v>
      </c>
      <c r="AD115" s="67">
        <f>$J115</f>
        <v>4819.5301215999998</v>
      </c>
      <c r="AE115" s="67">
        <f>$K115</f>
        <v>5636.2643128888885</v>
      </c>
      <c r="AF115" s="67">
        <f>$L115</f>
        <v>17182.097037333329</v>
      </c>
      <c r="AH115" s="67">
        <f t="shared" si="22"/>
        <v>0</v>
      </c>
      <c r="AI115" s="67">
        <f t="shared" si="23"/>
        <v>1589</v>
      </c>
      <c r="AJ115" s="67">
        <f t="shared" si="24"/>
        <v>10966</v>
      </c>
      <c r="AK115" s="67">
        <f>$H115</f>
        <v>9181.4381492444463</v>
      </c>
      <c r="AL115" s="67">
        <f>$I115</f>
        <v>11273.455666933338</v>
      </c>
      <c r="AM115" s="67">
        <f>$J115</f>
        <v>4819.5301215999998</v>
      </c>
      <c r="AN115" s="67">
        <f>$K115</f>
        <v>5636.2643128888885</v>
      </c>
      <c r="AO115" s="67">
        <f>$L115</f>
        <v>17182.097037333329</v>
      </c>
      <c r="AQ115" s="67">
        <f t="shared" si="26"/>
        <v>0</v>
      </c>
      <c r="AR115" s="67">
        <f t="shared" si="27"/>
        <v>1589</v>
      </c>
      <c r="AS115" s="67">
        <f t="shared" si="28"/>
        <v>10966</v>
      </c>
      <c r="AT115" s="67">
        <f>$H115</f>
        <v>9181.4381492444463</v>
      </c>
      <c r="AU115" s="67">
        <f>$I115</f>
        <v>11273.455666933338</v>
      </c>
      <c r="AV115" s="67">
        <f>$J115</f>
        <v>4819.5301215999998</v>
      </c>
      <c r="AW115" s="67">
        <f>$K115</f>
        <v>5636.2643128888885</v>
      </c>
      <c r="AX115" s="67">
        <f>$L115</f>
        <v>17182.097037333329</v>
      </c>
      <c r="AY115" s="67"/>
      <c r="AZ115" s="182"/>
      <c r="BB115" s="67">
        <f t="shared" si="30"/>
        <v>0</v>
      </c>
      <c r="BC115" s="67">
        <f t="shared" si="31"/>
        <v>1589</v>
      </c>
      <c r="BD115" s="67">
        <f t="shared" si="32"/>
        <v>10966</v>
      </c>
      <c r="BE115" s="67">
        <f>$H115</f>
        <v>9181.4381492444463</v>
      </c>
      <c r="BF115" s="67">
        <f>$I115</f>
        <v>11273.455666933338</v>
      </c>
      <c r="BG115" s="67">
        <f>$J115</f>
        <v>4819.5301215999998</v>
      </c>
      <c r="BH115" s="67">
        <f>$K115</f>
        <v>5636.2643128888885</v>
      </c>
      <c r="BI115" s="67">
        <f>$L115</f>
        <v>17182.097037333329</v>
      </c>
    </row>
    <row r="116" spans="2:61" x14ac:dyDescent="0.3">
      <c r="C116" s="39" t="s">
        <v>104</v>
      </c>
      <c r="D116" s="109"/>
      <c r="E116" s="40"/>
      <c r="F116" s="40">
        <f>F90</f>
        <v>0.20229024958215644</v>
      </c>
      <c r="G116" s="40"/>
      <c r="H116" s="40">
        <f>H90</f>
        <v>0.18757243950880687</v>
      </c>
      <c r="I116" s="40"/>
      <c r="J116" s="40">
        <f t="shared" ref="J116:L117" si="36">J90</f>
        <v>0.22465361786098337</v>
      </c>
      <c r="K116" s="40">
        <f t="shared" si="36"/>
        <v>0</v>
      </c>
      <c r="L116" s="40">
        <f t="shared" si="36"/>
        <v>0.17809118050066949</v>
      </c>
      <c r="M116" s="169"/>
      <c r="O116" s="40">
        <f t="shared" ref="O116:T117" si="37">O90</f>
        <v>0</v>
      </c>
      <c r="P116" s="40">
        <f t="shared" si="37"/>
        <v>0.19737185327305123</v>
      </c>
      <c r="Q116" s="40">
        <f t="shared" si="37"/>
        <v>0</v>
      </c>
      <c r="R116" s="40">
        <f t="shared" si="37"/>
        <v>0.18463716244513936</v>
      </c>
      <c r="S116" s="40">
        <f t="shared" si="37"/>
        <v>0</v>
      </c>
      <c r="T116" s="40">
        <f t="shared" si="37"/>
        <v>0.22770827059224816</v>
      </c>
      <c r="U116" s="40">
        <f>U90</f>
        <v>0</v>
      </c>
      <c r="V116" s="40">
        <f>V90</f>
        <v>0.15180871032873355</v>
      </c>
      <c r="W116" s="169"/>
      <c r="Y116" s="40">
        <f t="shared" ref="Y116:AF116" si="38">Y90</f>
        <v>0</v>
      </c>
      <c r="Z116" s="40">
        <f t="shared" si="38"/>
        <v>0.1631386266636656</v>
      </c>
      <c r="AA116" s="40">
        <f t="shared" si="38"/>
        <v>0</v>
      </c>
      <c r="AB116" s="40">
        <f t="shared" si="38"/>
        <v>0.2678112441095713</v>
      </c>
      <c r="AC116" s="40">
        <f t="shared" si="38"/>
        <v>0</v>
      </c>
      <c r="AD116" s="40">
        <f t="shared" si="38"/>
        <v>0.34960417137109367</v>
      </c>
      <c r="AE116" s="40">
        <f t="shared" si="38"/>
        <v>0</v>
      </c>
      <c r="AF116" s="40">
        <f t="shared" si="38"/>
        <v>0.4417244091184635</v>
      </c>
      <c r="AH116" s="40">
        <f t="shared" ref="AH116:AO116" si="39">AH90</f>
        <v>0</v>
      </c>
      <c r="AI116" s="40">
        <f t="shared" si="39"/>
        <v>4.7687644130529652</v>
      </c>
      <c r="AJ116" s="40">
        <f t="shared" si="39"/>
        <v>0</v>
      </c>
      <c r="AK116" s="40">
        <f t="shared" si="39"/>
        <v>1.0912962951696783</v>
      </c>
      <c r="AL116" s="40">
        <f t="shared" si="39"/>
        <v>0</v>
      </c>
      <c r="AM116" s="40">
        <f t="shared" si="39"/>
        <v>0.18724294698487109</v>
      </c>
      <c r="AN116" s="40">
        <f t="shared" si="39"/>
        <v>0</v>
      </c>
      <c r="AO116" s="40">
        <f t="shared" si="39"/>
        <v>1.1593898933419351</v>
      </c>
      <c r="AQ116" s="40">
        <f t="shared" ref="AQ116:AX116" si="40">AQ90</f>
        <v>0</v>
      </c>
      <c r="AR116" s="40">
        <f t="shared" si="40"/>
        <v>0.26027946984860967</v>
      </c>
      <c r="AS116" s="40">
        <f t="shared" si="40"/>
        <v>0</v>
      </c>
      <c r="AT116" s="40">
        <f t="shared" si="40"/>
        <v>0.31134223014832568</v>
      </c>
      <c r="AU116" s="40">
        <f t="shared" si="40"/>
        <v>0</v>
      </c>
      <c r="AV116" s="40">
        <f t="shared" si="40"/>
        <v>0.34379180694119676</v>
      </c>
      <c r="AW116" s="40">
        <f t="shared" si="40"/>
        <v>0</v>
      </c>
      <c r="AX116" s="40">
        <f t="shared" si="40"/>
        <v>0.49014943249041587</v>
      </c>
      <c r="AY116" s="40"/>
      <c r="AZ116" s="169"/>
      <c r="BB116" s="40">
        <f t="shared" ref="BB116:BI116" si="41">BB90</f>
        <v>0</v>
      </c>
      <c r="BC116" s="40">
        <f t="shared" si="41"/>
        <v>0</v>
      </c>
      <c r="BD116" s="40">
        <f t="shared" si="41"/>
        <v>0</v>
      </c>
      <c r="BE116" s="40">
        <f t="shared" si="41"/>
        <v>0</v>
      </c>
      <c r="BF116" s="40">
        <f t="shared" si="41"/>
        <v>0</v>
      </c>
      <c r="BG116" s="40">
        <f t="shared" si="41"/>
        <v>0</v>
      </c>
      <c r="BH116" s="40">
        <f t="shared" si="41"/>
        <v>0</v>
      </c>
      <c r="BI116" s="40">
        <f t="shared" si="41"/>
        <v>0</v>
      </c>
    </row>
    <row r="117" spans="2:61" x14ac:dyDescent="0.3">
      <c r="C117" s="39" t="s">
        <v>132</v>
      </c>
      <c r="D117" s="109"/>
      <c r="E117" s="40"/>
      <c r="F117" s="40">
        <f>F91</f>
        <v>0.20935927249847039</v>
      </c>
      <c r="G117" s="40"/>
      <c r="H117" s="40">
        <f>H91</f>
        <v>0.19188700178023507</v>
      </c>
      <c r="I117" s="40"/>
      <c r="J117" s="40">
        <f t="shared" si="36"/>
        <v>0.23570412075121075</v>
      </c>
      <c r="K117" s="40">
        <f t="shared" si="36"/>
        <v>0</v>
      </c>
      <c r="L117" s="40">
        <f t="shared" si="36"/>
        <v>0.18130360116109712</v>
      </c>
      <c r="M117" s="169"/>
      <c r="O117" s="40">
        <f t="shared" si="37"/>
        <v>0</v>
      </c>
      <c r="P117" s="40">
        <f t="shared" si="37"/>
        <v>0.20490599598203035</v>
      </c>
      <c r="Q117" s="40">
        <f t="shared" si="37"/>
        <v>0</v>
      </c>
      <c r="R117" s="40">
        <f t="shared" si="37"/>
        <v>0.18945885238029436</v>
      </c>
      <c r="S117" s="40">
        <f t="shared" si="37"/>
        <v>0</v>
      </c>
      <c r="T117" s="40">
        <f t="shared" si="37"/>
        <v>0.23977498615461179</v>
      </c>
      <c r="U117" s="40">
        <f>U91</f>
        <v>0</v>
      </c>
      <c r="V117" s="40">
        <f>V91</f>
        <v>0.1548993587612543</v>
      </c>
      <c r="W117" s="169"/>
      <c r="Y117" s="40">
        <f t="shared" ref="Y117:AF117" si="42">Y91</f>
        <v>0</v>
      </c>
      <c r="Z117" s="40">
        <f t="shared" si="42"/>
        <v>0.16093442878906519</v>
      </c>
      <c r="AA117" s="40">
        <f t="shared" si="42"/>
        <v>0</v>
      </c>
      <c r="AB117" s="40">
        <f t="shared" si="42"/>
        <v>0.26313934293543956</v>
      </c>
      <c r="AC117" s="40">
        <f t="shared" si="42"/>
        <v>0</v>
      </c>
      <c r="AD117" s="40">
        <f t="shared" si="42"/>
        <v>0.34830925955498604</v>
      </c>
      <c r="AE117" s="40">
        <f t="shared" si="42"/>
        <v>0</v>
      </c>
      <c r="AF117" s="40">
        <f t="shared" si="42"/>
        <v>0.43427668847597467</v>
      </c>
      <c r="AH117" s="40">
        <f t="shared" ref="AH117:AO117" si="43">AH91</f>
        <v>0</v>
      </c>
      <c r="AI117" s="40">
        <f t="shared" si="43"/>
        <v>10.775486862848753</v>
      </c>
      <c r="AJ117" s="40">
        <f t="shared" si="43"/>
        <v>0</v>
      </c>
      <c r="AK117" s="40">
        <f t="shared" si="43"/>
        <v>1.2430404444071241</v>
      </c>
      <c r="AL117" s="40">
        <f t="shared" si="43"/>
        <v>0</v>
      </c>
      <c r="AM117" s="40">
        <f t="shared" si="43"/>
        <v>0.31713395673503419</v>
      </c>
      <c r="AN117" s="40">
        <f t="shared" si="43"/>
        <v>0</v>
      </c>
      <c r="AO117" s="40">
        <f t="shared" si="43"/>
        <v>1.489971880559227</v>
      </c>
      <c r="AQ117" s="40">
        <f t="shared" ref="AQ117:AX117" si="44">AQ91</f>
        <v>0</v>
      </c>
      <c r="AR117" s="40">
        <f t="shared" si="44"/>
        <v>0.25985074216510828</v>
      </c>
      <c r="AS117" s="40">
        <f t="shared" si="44"/>
        <v>0</v>
      </c>
      <c r="AT117" s="40">
        <f t="shared" si="44"/>
        <v>0.3081489367682429</v>
      </c>
      <c r="AU117" s="40">
        <f t="shared" si="44"/>
        <v>0</v>
      </c>
      <c r="AV117" s="40">
        <f t="shared" si="44"/>
        <v>0.3476429411431981</v>
      </c>
      <c r="AW117" s="40">
        <f t="shared" si="44"/>
        <v>0</v>
      </c>
      <c r="AX117" s="40">
        <f t="shared" si="44"/>
        <v>0.48964921207452039</v>
      </c>
      <c r="AY117" s="40"/>
      <c r="AZ117" s="169"/>
      <c r="BB117" s="40">
        <f t="shared" ref="BB117:BI117" si="45">BB91</f>
        <v>0</v>
      </c>
      <c r="BC117" s="40">
        <f t="shared" si="45"/>
        <v>0</v>
      </c>
      <c r="BD117" s="40">
        <f t="shared" si="45"/>
        <v>0</v>
      </c>
      <c r="BE117" s="40">
        <f t="shared" si="45"/>
        <v>0</v>
      </c>
      <c r="BF117" s="40">
        <f t="shared" si="45"/>
        <v>0</v>
      </c>
      <c r="BG117" s="40">
        <f t="shared" si="45"/>
        <v>0</v>
      </c>
      <c r="BH117" s="40">
        <f t="shared" si="45"/>
        <v>0</v>
      </c>
      <c r="BI117" s="40">
        <f t="shared" si="45"/>
        <v>0</v>
      </c>
    </row>
    <row r="118" spans="2:61" s="64" customFormat="1" x14ac:dyDescent="0.3">
      <c r="C118" s="65"/>
      <c r="D118" s="77"/>
      <c r="E118" s="66"/>
      <c r="F118" s="66"/>
      <c r="G118" s="66"/>
      <c r="H118" s="66"/>
      <c r="I118" s="66"/>
      <c r="J118" s="66"/>
      <c r="K118" s="66"/>
      <c r="L118" s="66"/>
      <c r="M118" s="184"/>
      <c r="O118" s="67"/>
      <c r="P118" s="67"/>
      <c r="Q118" s="67"/>
      <c r="R118" s="67"/>
      <c r="S118" s="67"/>
      <c r="T118" s="67"/>
      <c r="U118" s="67"/>
      <c r="V118" s="67"/>
      <c r="W118" s="184"/>
      <c r="Y118" s="67"/>
      <c r="Z118" s="67"/>
      <c r="AA118" s="67"/>
      <c r="AB118" s="67"/>
      <c r="AC118" s="67"/>
      <c r="AD118" s="67"/>
      <c r="AE118" s="67"/>
      <c r="AF118" s="67"/>
      <c r="AH118" s="67"/>
      <c r="AI118" s="67"/>
      <c r="AJ118" s="67"/>
      <c r="AK118" s="67"/>
      <c r="AL118" s="67"/>
      <c r="AM118" s="67"/>
      <c r="AN118" s="67"/>
      <c r="AO118" s="67"/>
      <c r="AQ118" s="67"/>
      <c r="AR118" s="67"/>
      <c r="AS118" s="67"/>
      <c r="AT118" s="67"/>
      <c r="AU118" s="67"/>
      <c r="AV118" s="67"/>
      <c r="AW118" s="67"/>
      <c r="AX118" s="67"/>
      <c r="AY118" s="67"/>
      <c r="AZ118" s="184"/>
      <c r="BB118" s="67"/>
      <c r="BC118" s="67"/>
      <c r="BD118" s="67"/>
      <c r="BE118" s="67"/>
      <c r="BF118" s="67"/>
      <c r="BG118" s="67"/>
      <c r="BH118" s="67"/>
      <c r="BI118" s="67"/>
    </row>
    <row r="119" spans="2:61" s="82" customFormat="1" x14ac:dyDescent="0.3">
      <c r="B119" s="81"/>
      <c r="C119" s="30" t="s">
        <v>116</v>
      </c>
      <c r="D119" s="30"/>
      <c r="E119" s="30"/>
      <c r="F119" s="30"/>
      <c r="G119" s="30"/>
      <c r="H119" s="30"/>
      <c r="I119" s="30"/>
      <c r="J119" s="30"/>
      <c r="K119" s="30"/>
      <c r="L119" s="30"/>
      <c r="M119" s="185"/>
      <c r="O119" s="30"/>
      <c r="P119" s="30"/>
      <c r="Q119" s="30"/>
      <c r="R119" s="30"/>
      <c r="S119" s="30"/>
      <c r="T119" s="30"/>
      <c r="U119" s="30"/>
      <c r="V119" s="30"/>
      <c r="W119" s="185"/>
      <c r="Y119" s="30"/>
      <c r="Z119" s="30"/>
      <c r="AA119" s="30"/>
      <c r="AB119" s="30"/>
      <c r="AC119" s="30"/>
      <c r="AD119" s="30"/>
      <c r="AE119" s="30"/>
      <c r="AF119" s="30"/>
      <c r="AH119" s="30"/>
      <c r="AI119" s="30"/>
      <c r="AJ119" s="30"/>
      <c r="AK119" s="30"/>
      <c r="AL119" s="30"/>
      <c r="AM119" s="30"/>
      <c r="AN119" s="30"/>
      <c r="AO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185"/>
      <c r="BB119" s="30"/>
      <c r="BC119" s="30"/>
      <c r="BD119" s="30"/>
      <c r="BE119" s="30"/>
      <c r="BF119" s="30"/>
      <c r="BG119" s="30"/>
      <c r="BH119" s="30"/>
      <c r="BI119" s="30"/>
    </row>
    <row r="120" spans="2:61" s="85" customFormat="1" x14ac:dyDescent="0.3">
      <c r="B120" s="84"/>
      <c r="C120" s="63" t="s">
        <v>105</v>
      </c>
      <c r="D120" s="63"/>
      <c r="E120" s="63"/>
      <c r="F120" s="63"/>
      <c r="G120" s="63"/>
      <c r="H120" s="63"/>
      <c r="I120" s="63"/>
      <c r="J120" s="63"/>
      <c r="K120" s="63"/>
      <c r="L120" s="63"/>
      <c r="M120" s="186"/>
      <c r="O120" s="63"/>
      <c r="P120" s="63"/>
      <c r="Q120" s="63"/>
      <c r="R120" s="63"/>
      <c r="S120" s="63"/>
      <c r="T120" s="63"/>
      <c r="U120" s="63"/>
      <c r="V120" s="63"/>
      <c r="W120" s="186"/>
      <c r="Y120" s="63"/>
      <c r="Z120" s="63"/>
      <c r="AA120" s="63"/>
      <c r="AB120" s="63"/>
      <c r="AC120" s="63"/>
      <c r="AD120" s="63"/>
      <c r="AE120" s="63"/>
      <c r="AF120" s="63"/>
      <c r="AH120" s="63"/>
      <c r="AI120" s="63"/>
      <c r="AJ120" s="63"/>
      <c r="AK120" s="63"/>
      <c r="AL120" s="63"/>
      <c r="AM120" s="63"/>
      <c r="AN120" s="63"/>
      <c r="AO120" s="63"/>
      <c r="AQ120" s="63"/>
      <c r="AR120" s="63"/>
      <c r="AS120" s="63"/>
      <c r="AT120" s="63"/>
      <c r="AU120" s="63"/>
      <c r="AV120" s="63"/>
      <c r="AW120" s="63"/>
      <c r="AX120" s="63"/>
      <c r="AY120" s="63"/>
      <c r="AZ120" s="186"/>
      <c r="BB120" s="63"/>
      <c r="BC120" s="63"/>
      <c r="BD120" s="63"/>
      <c r="BE120" s="63"/>
      <c r="BF120" s="63"/>
      <c r="BG120" s="63"/>
      <c r="BH120" s="63"/>
      <c r="BI120" s="63"/>
    </row>
    <row r="121" spans="2:61" x14ac:dyDescent="0.3">
      <c r="C121" s="71"/>
      <c r="D121" s="120"/>
      <c r="H121" s="132"/>
      <c r="J121" s="132"/>
      <c r="K121" s="132"/>
      <c r="L121" s="132"/>
    </row>
    <row r="122" spans="2:61" x14ac:dyDescent="0.3">
      <c r="C122" s="79" t="s">
        <v>110</v>
      </c>
      <c r="D122" s="121"/>
      <c r="E122" s="100">
        <f t="shared" ref="E122:L122" si="46">E123</f>
        <v>2300289.3419891861</v>
      </c>
      <c r="F122" s="100">
        <f t="shared" si="46"/>
        <v>2900602.1748300008</v>
      </c>
      <c r="G122" s="100">
        <f t="shared" si="46"/>
        <v>3126330.6469800007</v>
      </c>
      <c r="H122" s="100">
        <f t="shared" si="46"/>
        <v>6153526.7341000028</v>
      </c>
      <c r="I122" s="100">
        <f t="shared" si="46"/>
        <v>5792031.0701398309</v>
      </c>
      <c r="J122" s="100">
        <f t="shared" si="46"/>
        <v>7053544.3574656304</v>
      </c>
      <c r="K122" s="100">
        <f t="shared" si="46"/>
        <v>8354568.9297779948</v>
      </c>
      <c r="L122" s="100">
        <f t="shared" si="46"/>
        <v>8897723.1690299939</v>
      </c>
      <c r="M122" s="187">
        <f>L122/J122-1</f>
        <v>0.26145420204417413</v>
      </c>
      <c r="O122" s="100">
        <f t="shared" ref="O122:BI122" si="47">O123</f>
        <v>2300289.3419891861</v>
      </c>
      <c r="P122" s="100">
        <f t="shared" si="47"/>
        <v>2900602.1748300008</v>
      </c>
      <c r="Q122" s="100">
        <f t="shared" si="47"/>
        <v>3126330.6469800007</v>
      </c>
      <c r="R122" s="100">
        <f t="shared" si="47"/>
        <v>6153526.7341000028</v>
      </c>
      <c r="S122" s="100">
        <f t="shared" si="47"/>
        <v>5792031.0701398309</v>
      </c>
      <c r="T122" s="100">
        <f t="shared" si="47"/>
        <v>7053544.3574656304</v>
      </c>
      <c r="U122" s="100">
        <f t="shared" si="47"/>
        <v>8354568.9297779948</v>
      </c>
      <c r="V122" s="100">
        <f t="shared" si="47"/>
        <v>8897723.1690299939</v>
      </c>
      <c r="W122" s="187">
        <f>V122/T122-1</f>
        <v>0.26145420204417413</v>
      </c>
      <c r="Y122" s="100">
        <f t="shared" si="47"/>
        <v>2300289.3419891861</v>
      </c>
      <c r="Z122" s="100">
        <f t="shared" si="47"/>
        <v>2900602.1748300008</v>
      </c>
      <c r="AA122" s="100">
        <f t="shared" si="47"/>
        <v>3126330.6469800007</v>
      </c>
      <c r="AB122" s="100">
        <f t="shared" si="47"/>
        <v>6153526.7341000028</v>
      </c>
      <c r="AC122" s="100">
        <f t="shared" si="47"/>
        <v>5792031.0701398309</v>
      </c>
      <c r="AD122" s="100">
        <f t="shared" si="47"/>
        <v>7053544.3574656304</v>
      </c>
      <c r="AE122" s="100">
        <f t="shared" si="47"/>
        <v>8354568.9297779948</v>
      </c>
      <c r="AF122" s="100">
        <f t="shared" si="47"/>
        <v>8897723.1690299939</v>
      </c>
      <c r="AH122" s="100">
        <f t="shared" si="47"/>
        <v>2300289.3419891861</v>
      </c>
      <c r="AI122" s="100">
        <f t="shared" si="47"/>
        <v>2900602.1748300008</v>
      </c>
      <c r="AJ122" s="100">
        <f t="shared" si="47"/>
        <v>3126330.6469800007</v>
      </c>
      <c r="AK122" s="100">
        <f t="shared" si="47"/>
        <v>6153526.7341000028</v>
      </c>
      <c r="AL122" s="100">
        <f t="shared" si="47"/>
        <v>5792031.0701398309</v>
      </c>
      <c r="AM122" s="100">
        <f t="shared" si="47"/>
        <v>7053544.3574656304</v>
      </c>
      <c r="AN122" s="100">
        <f t="shared" si="47"/>
        <v>8354568.9297779948</v>
      </c>
      <c r="AO122" s="100">
        <f t="shared" si="47"/>
        <v>8897723.1690299939</v>
      </c>
      <c r="AQ122" s="100">
        <f t="shared" si="47"/>
        <v>2300289.3419891861</v>
      </c>
      <c r="AR122" s="100">
        <f t="shared" si="47"/>
        <v>2900602.1748300008</v>
      </c>
      <c r="AS122" s="100">
        <f t="shared" si="47"/>
        <v>3126330.6469800007</v>
      </c>
      <c r="AT122" s="100">
        <f t="shared" si="47"/>
        <v>6153526.7341000028</v>
      </c>
      <c r="AU122" s="100">
        <f t="shared" si="47"/>
        <v>5792031.0701398309</v>
      </c>
      <c r="AV122" s="100">
        <f t="shared" si="47"/>
        <v>7053544.3574656304</v>
      </c>
      <c r="AW122" s="100">
        <f t="shared" si="47"/>
        <v>8354568.9297779948</v>
      </c>
      <c r="AX122" s="100">
        <f t="shared" si="47"/>
        <v>8897723.1690299939</v>
      </c>
      <c r="AY122" s="100"/>
      <c r="AZ122" s="187">
        <f>AX122/AV122-1</f>
        <v>0.26145420204417413</v>
      </c>
      <c r="BB122" s="100">
        <f t="shared" si="47"/>
        <v>2300289.3419891861</v>
      </c>
      <c r="BC122" s="100">
        <f t="shared" si="47"/>
        <v>2900602.1748300008</v>
      </c>
      <c r="BD122" s="100">
        <f t="shared" si="47"/>
        <v>3126330.6469800007</v>
      </c>
      <c r="BE122" s="100">
        <f t="shared" si="47"/>
        <v>6153526.7341000028</v>
      </c>
      <c r="BF122" s="100">
        <f t="shared" si="47"/>
        <v>5792031.0701398309</v>
      </c>
      <c r="BG122" s="100">
        <f t="shared" si="47"/>
        <v>7053544.3574656304</v>
      </c>
      <c r="BH122" s="100">
        <f t="shared" si="47"/>
        <v>8354568.9297779948</v>
      </c>
      <c r="BI122" s="100">
        <f t="shared" si="47"/>
        <v>8897723.1690299939</v>
      </c>
    </row>
    <row r="123" spans="2:61" x14ac:dyDescent="0.3">
      <c r="C123" s="65" t="s">
        <v>106</v>
      </c>
      <c r="D123" s="77">
        <v>26</v>
      </c>
      <c r="E123" s="69">
        <f>'Quarterly I.S'!F123</f>
        <v>2300289.3419891861</v>
      </c>
      <c r="F123" s="69">
        <f>'Quarterly I.S'!I123</f>
        <v>2900602.1748300008</v>
      </c>
      <c r="G123" s="69">
        <f>'Quarterly I.S'!J123</f>
        <v>3126330.6469800007</v>
      </c>
      <c r="H123" s="69">
        <f>'Quarterly I.S'!M123</f>
        <v>6153526.7341000028</v>
      </c>
      <c r="I123" s="69">
        <f>'Quarterly I.S'!N123</f>
        <v>5792031.0701398309</v>
      </c>
      <c r="J123" s="69">
        <f>'Quarterly I.S'!Q123</f>
        <v>7053544.3574656304</v>
      </c>
      <c r="K123" s="69">
        <f>'Quarterly I.S'!R123</f>
        <v>8354568.9297779948</v>
      </c>
      <c r="L123" s="69">
        <f>'Quarterly I.S'!U123</f>
        <v>8897723.1690299939</v>
      </c>
      <c r="M123" s="182"/>
      <c r="N123" s="132"/>
      <c r="O123" s="67">
        <f>$E123</f>
        <v>2300289.3419891861</v>
      </c>
      <c r="P123" s="67">
        <f>$F123</f>
        <v>2900602.1748300008</v>
      </c>
      <c r="Q123" s="67">
        <f>$G123</f>
        <v>3126330.6469800007</v>
      </c>
      <c r="R123" s="67">
        <f>$H123</f>
        <v>6153526.7341000028</v>
      </c>
      <c r="S123" s="67">
        <f>$I123</f>
        <v>5792031.0701398309</v>
      </c>
      <c r="T123" s="67">
        <f>$J123</f>
        <v>7053544.3574656304</v>
      </c>
      <c r="U123" s="67">
        <f>$K123</f>
        <v>8354568.9297779948</v>
      </c>
      <c r="V123" s="67">
        <f>$L123</f>
        <v>8897723.1690299939</v>
      </c>
      <c r="W123" s="182"/>
      <c r="X123" s="64"/>
      <c r="Y123" s="67">
        <f>$E123</f>
        <v>2300289.3419891861</v>
      </c>
      <c r="Z123" s="67">
        <f>$F123</f>
        <v>2900602.1748300008</v>
      </c>
      <c r="AA123" s="67">
        <f>$G123</f>
        <v>3126330.6469800007</v>
      </c>
      <c r="AB123" s="67">
        <f>$H123</f>
        <v>6153526.7341000028</v>
      </c>
      <c r="AC123" s="67">
        <f>$I123</f>
        <v>5792031.0701398309</v>
      </c>
      <c r="AD123" s="67">
        <f>$J123</f>
        <v>7053544.3574656304</v>
      </c>
      <c r="AE123" s="67">
        <f>$K123</f>
        <v>8354568.9297779948</v>
      </c>
      <c r="AF123" s="67">
        <f>$L123</f>
        <v>8897723.1690299939</v>
      </c>
      <c r="AG123" s="64"/>
      <c r="AH123" s="67">
        <f>$E123</f>
        <v>2300289.3419891861</v>
      </c>
      <c r="AI123" s="67">
        <f>$F123</f>
        <v>2900602.1748300008</v>
      </c>
      <c r="AJ123" s="67">
        <f>$G123</f>
        <v>3126330.6469800007</v>
      </c>
      <c r="AK123" s="67">
        <f>$H123</f>
        <v>6153526.7341000028</v>
      </c>
      <c r="AL123" s="67">
        <f>$I123</f>
        <v>5792031.0701398309</v>
      </c>
      <c r="AM123" s="67">
        <f>$J123</f>
        <v>7053544.3574656304</v>
      </c>
      <c r="AN123" s="67">
        <f>$K123</f>
        <v>8354568.9297779948</v>
      </c>
      <c r="AO123" s="67">
        <f>$L123</f>
        <v>8897723.1690299939</v>
      </c>
      <c r="AP123" s="64"/>
      <c r="AQ123" s="67">
        <f>$E123</f>
        <v>2300289.3419891861</v>
      </c>
      <c r="AR123" s="67">
        <f>$F123</f>
        <v>2900602.1748300008</v>
      </c>
      <c r="AS123" s="67">
        <f>$G123</f>
        <v>3126330.6469800007</v>
      </c>
      <c r="AT123" s="67">
        <f>$H123</f>
        <v>6153526.7341000028</v>
      </c>
      <c r="AU123" s="67">
        <f>$I123</f>
        <v>5792031.0701398309</v>
      </c>
      <c r="AV123" s="67">
        <f>$J123</f>
        <v>7053544.3574656304</v>
      </c>
      <c r="AW123" s="67">
        <f>$K123</f>
        <v>8354568.9297779948</v>
      </c>
      <c r="AX123" s="67">
        <f>$L123</f>
        <v>8897723.1690299939</v>
      </c>
      <c r="AY123" s="67"/>
      <c r="AZ123" s="182"/>
      <c r="BA123" s="64"/>
      <c r="BB123" s="67">
        <f>$E123</f>
        <v>2300289.3419891861</v>
      </c>
      <c r="BC123" s="67">
        <f>$F123</f>
        <v>2900602.1748300008</v>
      </c>
      <c r="BD123" s="67">
        <f>$G123</f>
        <v>3126330.6469800007</v>
      </c>
      <c r="BE123" s="67">
        <f>$H123</f>
        <v>6153526.7341000028</v>
      </c>
      <c r="BF123" s="67">
        <f>$I123</f>
        <v>5792031.0701398309</v>
      </c>
      <c r="BG123" s="67">
        <f>$J123</f>
        <v>7053544.3574656304</v>
      </c>
      <c r="BH123" s="67">
        <f>$K123</f>
        <v>8354568.9297779948</v>
      </c>
      <c r="BI123" s="67">
        <f>$L123</f>
        <v>8897723.1690299939</v>
      </c>
    </row>
    <row r="124" spans="2:61" x14ac:dyDescent="0.3">
      <c r="C124" s="71"/>
      <c r="D124" s="120"/>
    </row>
    <row r="125" spans="2:61" x14ac:dyDescent="0.3">
      <c r="C125" s="80" t="s">
        <v>140</v>
      </c>
      <c r="D125" s="122"/>
      <c r="E125" s="100">
        <f t="shared" ref="E125:J125" si="48">SUM(E126:E128)</f>
        <v>5425275.1045700004</v>
      </c>
      <c r="F125" s="100">
        <f t="shared" si="48"/>
        <v>6740373.9361899998</v>
      </c>
      <c r="G125" s="100">
        <f t="shared" si="48"/>
        <v>7185558.1615800001</v>
      </c>
      <c r="H125" s="100">
        <f t="shared" si="48"/>
        <v>7525533.3488800433</v>
      </c>
      <c r="I125" s="100">
        <f t="shared" si="48"/>
        <v>9047763.6490500905</v>
      </c>
      <c r="J125" s="100">
        <f t="shared" si="48"/>
        <v>12628040.713820262</v>
      </c>
      <c r="K125" s="100">
        <f>SUM(K126:K128)</f>
        <v>12798075.542949991</v>
      </c>
      <c r="L125" s="100">
        <f>SUM(L126:L128)</f>
        <v>11924032.578379994</v>
      </c>
      <c r="M125" s="187">
        <f>L125/J125-1</f>
        <v>-5.5749593416324128E-2</v>
      </c>
      <c r="O125" s="100">
        <f t="shared" ref="O125:T125" si="49">SUM(O126:O128)</f>
        <v>5425275.1045700004</v>
      </c>
      <c r="P125" s="100">
        <f t="shared" si="49"/>
        <v>6740373.9361899998</v>
      </c>
      <c r="Q125" s="100">
        <f t="shared" si="49"/>
        <v>7185558.1615800001</v>
      </c>
      <c r="R125" s="100">
        <f t="shared" si="49"/>
        <v>7525533.3488800433</v>
      </c>
      <c r="S125" s="100">
        <f t="shared" si="49"/>
        <v>9047763.6490500905</v>
      </c>
      <c r="T125" s="100">
        <f t="shared" si="49"/>
        <v>12628040.713820262</v>
      </c>
      <c r="U125" s="100">
        <f>SUM(U126:U128)</f>
        <v>12798075.542949991</v>
      </c>
      <c r="V125" s="100">
        <f>SUM(V126:V128)</f>
        <v>11924032.578379994</v>
      </c>
      <c r="W125" s="187">
        <f>V125/T125-1</f>
        <v>-5.5749593416324128E-2</v>
      </c>
      <c r="Y125" s="100">
        <f t="shared" ref="Y125:AF125" si="50">SUM(Y126:Y128)</f>
        <v>5425275.1045700004</v>
      </c>
      <c r="Z125" s="100">
        <f t="shared" si="50"/>
        <v>6740373.9361899998</v>
      </c>
      <c r="AA125" s="100">
        <f t="shared" si="50"/>
        <v>7185558.1615800001</v>
      </c>
      <c r="AB125" s="100">
        <f t="shared" si="50"/>
        <v>7525533.3488800433</v>
      </c>
      <c r="AC125" s="100">
        <f t="shared" si="50"/>
        <v>9047763.6490500905</v>
      </c>
      <c r="AD125" s="100">
        <f t="shared" si="50"/>
        <v>12628040.713820262</v>
      </c>
      <c r="AE125" s="100">
        <f t="shared" si="50"/>
        <v>12798075.542949991</v>
      </c>
      <c r="AF125" s="100">
        <f t="shared" si="50"/>
        <v>11924032.578379994</v>
      </c>
      <c r="AG125" s="100"/>
      <c r="AH125" s="100">
        <f t="shared" ref="AH125:AO125" si="51">SUM(AH126:AH128)</f>
        <v>5425275.1045700004</v>
      </c>
      <c r="AI125" s="100">
        <f t="shared" si="51"/>
        <v>6740373.9361899998</v>
      </c>
      <c r="AJ125" s="100">
        <f t="shared" si="51"/>
        <v>7185558.1615800001</v>
      </c>
      <c r="AK125" s="100">
        <f t="shared" si="51"/>
        <v>7525533.3488800433</v>
      </c>
      <c r="AL125" s="100">
        <f t="shared" si="51"/>
        <v>9047763.6490500905</v>
      </c>
      <c r="AM125" s="100">
        <f t="shared" si="51"/>
        <v>12628040.713820262</v>
      </c>
      <c r="AN125" s="100">
        <f t="shared" si="51"/>
        <v>12798075.542949991</v>
      </c>
      <c r="AO125" s="100">
        <f t="shared" si="51"/>
        <v>11924032.578379994</v>
      </c>
      <c r="AP125" s="100"/>
      <c r="AQ125" s="100">
        <f t="shared" ref="AQ125:AX125" si="52">SUM(AQ126:AQ128)</f>
        <v>5425275.1045700004</v>
      </c>
      <c r="AR125" s="100">
        <f t="shared" si="52"/>
        <v>6740373.9361899998</v>
      </c>
      <c r="AS125" s="100">
        <f t="shared" si="52"/>
        <v>7185558.1615800001</v>
      </c>
      <c r="AT125" s="100">
        <f t="shared" si="52"/>
        <v>7525533.3488800433</v>
      </c>
      <c r="AU125" s="100">
        <f t="shared" si="52"/>
        <v>9047763.6490500905</v>
      </c>
      <c r="AV125" s="100">
        <f t="shared" si="52"/>
        <v>12628040.713820262</v>
      </c>
      <c r="AW125" s="100">
        <f t="shared" si="52"/>
        <v>12798075.542949991</v>
      </c>
      <c r="AX125" s="100">
        <f t="shared" si="52"/>
        <v>11924032.578379994</v>
      </c>
      <c r="AY125" s="100"/>
      <c r="AZ125" s="187">
        <f>AX125/AV125-1</f>
        <v>-5.5749593416324128E-2</v>
      </c>
      <c r="BA125" s="100"/>
      <c r="BB125" s="100">
        <f t="shared" ref="BB125:BI125" si="53">SUM(BB126:BB128)</f>
        <v>5425275.1045700004</v>
      </c>
      <c r="BC125" s="100">
        <f t="shared" si="53"/>
        <v>6740373.9361899998</v>
      </c>
      <c r="BD125" s="100">
        <f t="shared" si="53"/>
        <v>7185558.1615800001</v>
      </c>
      <c r="BE125" s="100">
        <f t="shared" si="53"/>
        <v>7525533.3488800433</v>
      </c>
      <c r="BF125" s="100">
        <f t="shared" si="53"/>
        <v>9047763.6490500905</v>
      </c>
      <c r="BG125" s="100">
        <f t="shared" si="53"/>
        <v>12628040.713820262</v>
      </c>
      <c r="BH125" s="100">
        <f t="shared" si="53"/>
        <v>12798075.542949991</v>
      </c>
      <c r="BI125" s="100">
        <f t="shared" si="53"/>
        <v>11924032.578379994</v>
      </c>
    </row>
    <row r="126" spans="2:61" x14ac:dyDescent="0.3">
      <c r="C126" s="71" t="s">
        <v>49</v>
      </c>
      <c r="D126" s="120">
        <v>29</v>
      </c>
      <c r="E126" s="69">
        <f>'Quarterly I.S'!F126</f>
        <v>3981261.2712900001</v>
      </c>
      <c r="F126" s="69">
        <f>'Quarterly I.S'!I126</f>
        <v>2470589.952</v>
      </c>
      <c r="G126" s="69">
        <f>'Quarterly I.S'!J126</f>
        <v>2062076.8849999998</v>
      </c>
      <c r="H126" s="69">
        <f>'Quarterly I.S'!M126</f>
        <v>1170685.4780199644</v>
      </c>
      <c r="I126" s="69">
        <f>'Quarterly I.S'!N126</f>
        <v>1864869.5036599662</v>
      </c>
      <c r="J126" s="69">
        <f>'Quarterly I.S'!Q126</f>
        <v>5403608.5819700593</v>
      </c>
      <c r="K126" s="69">
        <f>'Quarterly I.S'!R126</f>
        <v>5998726.2465499686</v>
      </c>
      <c r="L126" s="69">
        <f>'Quarterly I.S'!U126</f>
        <v>4967071.055399972</v>
      </c>
      <c r="M126" s="182">
        <f>L126/J126-1</f>
        <v>-8.0786296777057398E-2</v>
      </c>
      <c r="O126" s="67">
        <f>$E126</f>
        <v>3981261.2712900001</v>
      </c>
      <c r="P126" s="67">
        <f>$F126</f>
        <v>2470589.952</v>
      </c>
      <c r="Q126" s="67">
        <f>$G126</f>
        <v>2062076.8849999998</v>
      </c>
      <c r="R126" s="67">
        <f>$H126</f>
        <v>1170685.4780199644</v>
      </c>
      <c r="S126" s="67">
        <f>$I126</f>
        <v>1864869.5036599662</v>
      </c>
      <c r="T126" s="67">
        <f>$J126</f>
        <v>5403608.5819700593</v>
      </c>
      <c r="U126" s="67">
        <f>$K126</f>
        <v>5998726.2465499686</v>
      </c>
      <c r="V126" s="67">
        <f>$L126</f>
        <v>4967071.055399972</v>
      </c>
      <c r="W126" s="182">
        <f>V126/T126-1</f>
        <v>-8.0786296777057398E-2</v>
      </c>
      <c r="X126" s="64"/>
      <c r="Y126" s="67">
        <f>$E126</f>
        <v>3981261.2712900001</v>
      </c>
      <c r="Z126" s="67">
        <f>$F126</f>
        <v>2470589.952</v>
      </c>
      <c r="AA126" s="67">
        <f>$G126</f>
        <v>2062076.8849999998</v>
      </c>
      <c r="AB126" s="67">
        <f>$H126</f>
        <v>1170685.4780199644</v>
      </c>
      <c r="AC126" s="67">
        <f>$I126</f>
        <v>1864869.5036599662</v>
      </c>
      <c r="AD126" s="67">
        <f>$J126</f>
        <v>5403608.5819700593</v>
      </c>
      <c r="AE126" s="67">
        <f>$K126</f>
        <v>5998726.2465499686</v>
      </c>
      <c r="AF126" s="67">
        <f>$L126</f>
        <v>4967071.055399972</v>
      </c>
      <c r="AG126" s="64"/>
      <c r="AH126" s="67">
        <f>$E126</f>
        <v>3981261.2712900001</v>
      </c>
      <c r="AI126" s="67">
        <f>$F126</f>
        <v>2470589.952</v>
      </c>
      <c r="AJ126" s="67">
        <f>$G126</f>
        <v>2062076.8849999998</v>
      </c>
      <c r="AK126" s="67">
        <f>$H126</f>
        <v>1170685.4780199644</v>
      </c>
      <c r="AL126" s="67">
        <f>$I126</f>
        <v>1864869.5036599662</v>
      </c>
      <c r="AM126" s="67">
        <f>$J126</f>
        <v>5403608.5819700593</v>
      </c>
      <c r="AN126" s="67">
        <f>$K126</f>
        <v>5998726.2465499686</v>
      </c>
      <c r="AO126" s="67">
        <f>$L126</f>
        <v>4967071.055399972</v>
      </c>
      <c r="AP126" s="64"/>
      <c r="AQ126" s="67">
        <f>$E126</f>
        <v>3981261.2712900001</v>
      </c>
      <c r="AR126" s="67">
        <f>$F126</f>
        <v>2470589.952</v>
      </c>
      <c r="AS126" s="67">
        <f>$G126</f>
        <v>2062076.8849999998</v>
      </c>
      <c r="AT126" s="67">
        <f>$H126</f>
        <v>1170685.4780199644</v>
      </c>
      <c r="AU126" s="67">
        <f>$I126</f>
        <v>1864869.5036599662</v>
      </c>
      <c r="AV126" s="67">
        <f>$J126</f>
        <v>5403608.5819700593</v>
      </c>
      <c r="AW126" s="67">
        <f>$K126</f>
        <v>5998726.2465499686</v>
      </c>
      <c r="AX126" s="67">
        <f>$L126</f>
        <v>4967071.055399972</v>
      </c>
      <c r="AY126" s="67"/>
      <c r="AZ126" s="182">
        <f>AX126/AV126-1</f>
        <v>-8.0786296777057398E-2</v>
      </c>
      <c r="BA126" s="64"/>
      <c r="BB126" s="67">
        <f>$E126</f>
        <v>3981261.2712900001</v>
      </c>
      <c r="BC126" s="67">
        <f>$F126</f>
        <v>2470589.952</v>
      </c>
      <c r="BD126" s="67">
        <f>$G126</f>
        <v>2062076.8849999998</v>
      </c>
      <c r="BE126" s="67">
        <f>$H126</f>
        <v>1170685.4780199644</v>
      </c>
      <c r="BF126" s="67">
        <f>$I126</f>
        <v>1864869.5036599662</v>
      </c>
      <c r="BG126" s="67">
        <f>$J126</f>
        <v>5403608.5819700593</v>
      </c>
      <c r="BH126" s="67">
        <f>$K126</f>
        <v>5998726.2465499686</v>
      </c>
      <c r="BI126" s="67">
        <f>$L126</f>
        <v>4967071.055399972</v>
      </c>
    </row>
    <row r="127" spans="2:61" x14ac:dyDescent="0.3">
      <c r="C127" s="71" t="s">
        <v>50</v>
      </c>
      <c r="D127" s="120" t="s">
        <v>151</v>
      </c>
      <c r="E127" s="69">
        <f>'Quarterly I.S'!F127</f>
        <v>1284381.9724900001</v>
      </c>
      <c r="F127" s="69">
        <f>'Quarterly I.S'!I127</f>
        <v>4201595.5350000001</v>
      </c>
      <c r="G127" s="69">
        <f>'Quarterly I.S'!J127</f>
        <v>5076517.6180000007</v>
      </c>
      <c r="H127" s="69">
        <f>'Quarterly I.S'!M127</f>
        <v>6314485.0692500789</v>
      </c>
      <c r="I127" s="69">
        <f>'Quarterly I.S'!N127</f>
        <v>7135359.0317901243</v>
      </c>
      <c r="J127" s="69">
        <f>'Quarterly I.S'!Q127</f>
        <v>7186014.6069202023</v>
      </c>
      <c r="K127" s="69">
        <f>'Quarterly I.S'!R127</f>
        <v>6745142.9991400242</v>
      </c>
      <c r="L127" s="69">
        <f>'Quarterly I.S'!U127</f>
        <v>6838789.4973500241</v>
      </c>
      <c r="M127" s="182">
        <f>L127/J127-1</f>
        <v>-4.8319566347081566E-2</v>
      </c>
      <c r="O127" s="67">
        <f>$E127</f>
        <v>1284381.9724900001</v>
      </c>
      <c r="P127" s="67">
        <f>$F127</f>
        <v>4201595.5350000001</v>
      </c>
      <c r="Q127" s="67">
        <f>$G127</f>
        <v>5076517.6180000007</v>
      </c>
      <c r="R127" s="67">
        <f>$H127</f>
        <v>6314485.0692500789</v>
      </c>
      <c r="S127" s="67">
        <f>$I127</f>
        <v>7135359.0317901243</v>
      </c>
      <c r="T127" s="67">
        <f>$J127</f>
        <v>7186014.6069202023</v>
      </c>
      <c r="U127" s="67">
        <f>$K127</f>
        <v>6745142.9991400242</v>
      </c>
      <c r="V127" s="67">
        <f>$L127</f>
        <v>6838789.4973500241</v>
      </c>
      <c r="W127" s="182">
        <f>V127/T127-1</f>
        <v>-4.8319566347081566E-2</v>
      </c>
      <c r="X127" s="64"/>
      <c r="Y127" s="67">
        <f>$E127</f>
        <v>1284381.9724900001</v>
      </c>
      <c r="Z127" s="67">
        <f>$F127</f>
        <v>4201595.5350000001</v>
      </c>
      <c r="AA127" s="67">
        <f>$G127</f>
        <v>5076517.6180000007</v>
      </c>
      <c r="AB127" s="67">
        <f>$H127</f>
        <v>6314485.0692500789</v>
      </c>
      <c r="AC127" s="67">
        <f>$I127</f>
        <v>7135359.0317901243</v>
      </c>
      <c r="AD127" s="67">
        <f>$J127</f>
        <v>7186014.6069202023</v>
      </c>
      <c r="AE127" s="67">
        <f>$K127</f>
        <v>6745142.9991400242</v>
      </c>
      <c r="AF127" s="67">
        <f>$L127</f>
        <v>6838789.4973500241</v>
      </c>
      <c r="AG127" s="64"/>
      <c r="AH127" s="67">
        <f>$E127</f>
        <v>1284381.9724900001</v>
      </c>
      <c r="AI127" s="67">
        <f>$F127</f>
        <v>4201595.5350000001</v>
      </c>
      <c r="AJ127" s="67">
        <f>$G127</f>
        <v>5076517.6180000007</v>
      </c>
      <c r="AK127" s="67">
        <f>$H127</f>
        <v>6314485.0692500789</v>
      </c>
      <c r="AL127" s="67">
        <f>$I127</f>
        <v>7135359.0317901243</v>
      </c>
      <c r="AM127" s="67">
        <f>$J127</f>
        <v>7186014.6069202023</v>
      </c>
      <c r="AN127" s="67">
        <f>$K127</f>
        <v>6745142.9991400242</v>
      </c>
      <c r="AO127" s="67">
        <f>$L127</f>
        <v>6838789.4973500241</v>
      </c>
      <c r="AP127" s="64"/>
      <c r="AQ127" s="67">
        <f>$E127</f>
        <v>1284381.9724900001</v>
      </c>
      <c r="AR127" s="67">
        <f>$F127</f>
        <v>4201595.5350000001</v>
      </c>
      <c r="AS127" s="67">
        <f>$G127</f>
        <v>5076517.6180000007</v>
      </c>
      <c r="AT127" s="67">
        <f>$H127</f>
        <v>6314485.0692500789</v>
      </c>
      <c r="AU127" s="67">
        <f>$I127</f>
        <v>7135359.0317901243</v>
      </c>
      <c r="AV127" s="67">
        <f>$J127</f>
        <v>7186014.6069202023</v>
      </c>
      <c r="AW127" s="67">
        <f>$K127</f>
        <v>6745142.9991400242</v>
      </c>
      <c r="AX127" s="67">
        <f>$L127</f>
        <v>6838789.4973500241</v>
      </c>
      <c r="AY127" s="67"/>
      <c r="AZ127" s="182">
        <f>AX127/AV127-1</f>
        <v>-4.8319566347081566E-2</v>
      </c>
      <c r="BA127" s="64"/>
      <c r="BB127" s="67">
        <f>$E127</f>
        <v>1284381.9724900001</v>
      </c>
      <c r="BC127" s="67">
        <f>$F127</f>
        <v>4201595.5350000001</v>
      </c>
      <c r="BD127" s="67">
        <f>$G127</f>
        <v>5076517.6180000007</v>
      </c>
      <c r="BE127" s="67">
        <f>$H127</f>
        <v>6314485.0692500789</v>
      </c>
      <c r="BF127" s="67">
        <f>$I127</f>
        <v>7135359.0317901243</v>
      </c>
      <c r="BG127" s="67">
        <f>$J127</f>
        <v>7186014.6069202023</v>
      </c>
      <c r="BH127" s="67">
        <f>$K127</f>
        <v>6745142.9991400242</v>
      </c>
      <c r="BI127" s="67">
        <f>$L127</f>
        <v>6838789.4973500241</v>
      </c>
    </row>
    <row r="128" spans="2:61" x14ac:dyDescent="0.3">
      <c r="C128" s="71" t="s">
        <v>94</v>
      </c>
      <c r="D128" s="120">
        <v>14</v>
      </c>
      <c r="E128" s="69">
        <f>'Quarterly I.S'!F128</f>
        <v>159631.86079000001</v>
      </c>
      <c r="F128" s="69">
        <f>'Quarterly I.S'!I128</f>
        <v>68188.449189999999</v>
      </c>
      <c r="G128" s="69">
        <f>'Quarterly I.S'!J128</f>
        <v>46963.658580000003</v>
      </c>
      <c r="H128" s="69">
        <f>'Quarterly I.S'!M128</f>
        <v>40362.801610000002</v>
      </c>
      <c r="I128" s="69">
        <f>'Quarterly I.S'!N128</f>
        <v>47535.113599999997</v>
      </c>
      <c r="J128" s="69">
        <f>'Quarterly I.S'!Q128</f>
        <v>38417.52493</v>
      </c>
      <c r="K128" s="69">
        <f>'Quarterly I.S'!R128</f>
        <v>54206.297259999999</v>
      </c>
      <c r="L128" s="69">
        <f>'Quarterly I.S'!U128</f>
        <v>118172.02563</v>
      </c>
      <c r="M128" s="182">
        <f>L128/J128-1</f>
        <v>2.0759926842064784</v>
      </c>
      <c r="O128" s="67">
        <f>$E128</f>
        <v>159631.86079000001</v>
      </c>
      <c r="P128" s="67">
        <f>$F128</f>
        <v>68188.449189999999</v>
      </c>
      <c r="Q128" s="67">
        <f>$G128</f>
        <v>46963.658580000003</v>
      </c>
      <c r="R128" s="67">
        <f>$H128</f>
        <v>40362.801610000002</v>
      </c>
      <c r="S128" s="67">
        <f>$I128</f>
        <v>47535.113599999997</v>
      </c>
      <c r="T128" s="67">
        <f>$J128</f>
        <v>38417.52493</v>
      </c>
      <c r="U128" s="67">
        <f>$K128</f>
        <v>54206.297259999999</v>
      </c>
      <c r="V128" s="67">
        <f>$L128</f>
        <v>118172.02563</v>
      </c>
      <c r="W128" s="182">
        <f>V128/T128-1</f>
        <v>2.0759926842064784</v>
      </c>
      <c r="X128" s="64"/>
      <c r="Y128" s="67">
        <f>$E128</f>
        <v>159631.86079000001</v>
      </c>
      <c r="Z128" s="67">
        <f>$F128</f>
        <v>68188.449189999999</v>
      </c>
      <c r="AA128" s="67">
        <f>$G128</f>
        <v>46963.658580000003</v>
      </c>
      <c r="AB128" s="67">
        <f>$H128</f>
        <v>40362.801610000002</v>
      </c>
      <c r="AC128" s="67">
        <f>$I128</f>
        <v>47535.113599999997</v>
      </c>
      <c r="AD128" s="67">
        <f>$J128</f>
        <v>38417.52493</v>
      </c>
      <c r="AE128" s="67">
        <f>$K128</f>
        <v>54206.297259999999</v>
      </c>
      <c r="AF128" s="67">
        <f>$L128</f>
        <v>118172.02563</v>
      </c>
      <c r="AG128" s="64"/>
      <c r="AH128" s="67">
        <f>$E128</f>
        <v>159631.86079000001</v>
      </c>
      <c r="AI128" s="67">
        <f>$F128</f>
        <v>68188.449189999999</v>
      </c>
      <c r="AJ128" s="67">
        <f>$G128</f>
        <v>46963.658580000003</v>
      </c>
      <c r="AK128" s="67">
        <f>$H128</f>
        <v>40362.801610000002</v>
      </c>
      <c r="AL128" s="67">
        <f>$I128</f>
        <v>47535.113599999997</v>
      </c>
      <c r="AM128" s="67">
        <f>$J128</f>
        <v>38417.52493</v>
      </c>
      <c r="AN128" s="67">
        <f>$K128</f>
        <v>54206.297259999999</v>
      </c>
      <c r="AO128" s="67">
        <f>$L128</f>
        <v>118172.02563</v>
      </c>
      <c r="AP128" s="64"/>
      <c r="AQ128" s="67">
        <f>$E128</f>
        <v>159631.86079000001</v>
      </c>
      <c r="AR128" s="67">
        <f>$F128</f>
        <v>68188.449189999999</v>
      </c>
      <c r="AS128" s="67">
        <f>$G128</f>
        <v>46963.658580000003</v>
      </c>
      <c r="AT128" s="67">
        <f>$H128</f>
        <v>40362.801610000002</v>
      </c>
      <c r="AU128" s="67">
        <f>$I128</f>
        <v>47535.113599999997</v>
      </c>
      <c r="AV128" s="67">
        <f>$J128</f>
        <v>38417.52493</v>
      </c>
      <c r="AW128" s="67">
        <f>$K128</f>
        <v>54206.297259999999</v>
      </c>
      <c r="AX128" s="67">
        <f>$L128</f>
        <v>118172.02563</v>
      </c>
      <c r="AY128" s="67"/>
      <c r="AZ128" s="182">
        <f>AX128/AV128-1</f>
        <v>2.0759926842064784</v>
      </c>
      <c r="BA128" s="64"/>
      <c r="BB128" s="67">
        <f>$E128</f>
        <v>159631.86079000001</v>
      </c>
      <c r="BC128" s="67">
        <f>$F128</f>
        <v>68188.449189999999</v>
      </c>
      <c r="BD128" s="67">
        <f>$G128</f>
        <v>46963.658580000003</v>
      </c>
      <c r="BE128" s="67">
        <f>$H128</f>
        <v>40362.801610000002</v>
      </c>
      <c r="BF128" s="67">
        <f>$I128</f>
        <v>47535.113599999997</v>
      </c>
      <c r="BG128" s="67">
        <f>$J128</f>
        <v>38417.52493</v>
      </c>
      <c r="BH128" s="67">
        <f>$K128</f>
        <v>54206.297259999999</v>
      </c>
      <c r="BI128" s="67">
        <f>$L128</f>
        <v>118172.02563</v>
      </c>
    </row>
    <row r="129" spans="2:61" x14ac:dyDescent="0.3">
      <c r="C129" s="101"/>
      <c r="D129" s="123"/>
    </row>
    <row r="130" spans="2:61" ht="13.5" thickBot="1" x14ac:dyDescent="0.35">
      <c r="C130" s="78" t="s">
        <v>141</v>
      </c>
      <c r="D130" s="124"/>
      <c r="E130" s="72">
        <f t="shared" ref="E130:L130" si="54">E122+E125</f>
        <v>7725564.446559187</v>
      </c>
      <c r="F130" s="72">
        <f t="shared" si="54"/>
        <v>9640976.1110200007</v>
      </c>
      <c r="G130" s="72">
        <f t="shared" si="54"/>
        <v>10311888.808560001</v>
      </c>
      <c r="H130" s="72">
        <f t="shared" si="54"/>
        <v>13679060.082980046</v>
      </c>
      <c r="I130" s="72">
        <f t="shared" si="54"/>
        <v>14839794.719189921</v>
      </c>
      <c r="J130" s="72">
        <f t="shared" si="54"/>
        <v>19681585.071285892</v>
      </c>
      <c r="K130" s="72">
        <f t="shared" si="54"/>
        <v>21152644.472727984</v>
      </c>
      <c r="L130" s="72">
        <f t="shared" si="54"/>
        <v>20821755.747409988</v>
      </c>
      <c r="M130" s="188">
        <f>L130/J130-1</f>
        <v>5.793083595627313E-2</v>
      </c>
      <c r="O130" s="72">
        <f t="shared" ref="O130:V130" si="55">O125+O122</f>
        <v>7725564.446559187</v>
      </c>
      <c r="P130" s="72">
        <f t="shared" si="55"/>
        <v>9640976.1110200007</v>
      </c>
      <c r="Q130" s="72">
        <f t="shared" si="55"/>
        <v>10311888.808560001</v>
      </c>
      <c r="R130" s="72">
        <f t="shared" si="55"/>
        <v>13679060.082980046</v>
      </c>
      <c r="S130" s="72">
        <f t="shared" si="55"/>
        <v>14839794.719189921</v>
      </c>
      <c r="T130" s="72">
        <f t="shared" si="55"/>
        <v>19681585.071285892</v>
      </c>
      <c r="U130" s="72">
        <f t="shared" si="55"/>
        <v>21152644.472727984</v>
      </c>
      <c r="V130" s="72">
        <f t="shared" si="55"/>
        <v>20821755.747409988</v>
      </c>
      <c r="W130" s="188">
        <f>V130/T130-1</f>
        <v>5.793083595627313E-2</v>
      </c>
      <c r="Y130" s="72">
        <f t="shared" ref="Y130:AF130" si="56">Y125+Y122</f>
        <v>7725564.446559187</v>
      </c>
      <c r="Z130" s="72">
        <f t="shared" si="56"/>
        <v>9640976.1110200007</v>
      </c>
      <c r="AA130" s="72">
        <f t="shared" si="56"/>
        <v>10311888.808560001</v>
      </c>
      <c r="AB130" s="72">
        <f t="shared" si="56"/>
        <v>13679060.082980046</v>
      </c>
      <c r="AC130" s="72">
        <f t="shared" si="56"/>
        <v>14839794.719189921</v>
      </c>
      <c r="AD130" s="72">
        <f t="shared" si="56"/>
        <v>19681585.071285892</v>
      </c>
      <c r="AE130" s="72">
        <f t="shared" si="56"/>
        <v>21152644.472727984</v>
      </c>
      <c r="AF130" s="72">
        <f t="shared" si="56"/>
        <v>20821755.747409988</v>
      </c>
      <c r="AH130" s="72">
        <f t="shared" ref="AH130:AO130" si="57">AH125+AH122</f>
        <v>7725564.446559187</v>
      </c>
      <c r="AI130" s="72">
        <f t="shared" si="57"/>
        <v>9640976.1110200007</v>
      </c>
      <c r="AJ130" s="72">
        <f t="shared" si="57"/>
        <v>10311888.808560001</v>
      </c>
      <c r="AK130" s="72">
        <f t="shared" si="57"/>
        <v>13679060.082980046</v>
      </c>
      <c r="AL130" s="72">
        <f t="shared" si="57"/>
        <v>14839794.719189921</v>
      </c>
      <c r="AM130" s="72">
        <f t="shared" si="57"/>
        <v>19681585.071285892</v>
      </c>
      <c r="AN130" s="72">
        <f t="shared" si="57"/>
        <v>21152644.472727984</v>
      </c>
      <c r="AO130" s="72">
        <f t="shared" si="57"/>
        <v>20821755.747409988</v>
      </c>
      <c r="AQ130" s="72">
        <f t="shared" ref="AQ130:AX130" si="58">AQ125+AQ122</f>
        <v>7725564.446559187</v>
      </c>
      <c r="AR130" s="72">
        <f t="shared" si="58"/>
        <v>9640976.1110200007</v>
      </c>
      <c r="AS130" s="72">
        <f t="shared" si="58"/>
        <v>10311888.808560001</v>
      </c>
      <c r="AT130" s="72">
        <f t="shared" si="58"/>
        <v>13679060.082980046</v>
      </c>
      <c r="AU130" s="72">
        <f t="shared" si="58"/>
        <v>14839794.719189921</v>
      </c>
      <c r="AV130" s="72">
        <f t="shared" si="58"/>
        <v>19681585.071285892</v>
      </c>
      <c r="AW130" s="72">
        <f t="shared" si="58"/>
        <v>21152644.472727984</v>
      </c>
      <c r="AX130" s="72">
        <f t="shared" si="58"/>
        <v>20821755.747409988</v>
      </c>
      <c r="AY130" s="72"/>
      <c r="AZ130" s="188">
        <f>AX130/AV130-1</f>
        <v>5.793083595627313E-2</v>
      </c>
      <c r="BB130" s="72">
        <f t="shared" ref="BB130:BI130" si="59">BB125+BB122</f>
        <v>7725564.446559187</v>
      </c>
      <c r="BC130" s="72">
        <f t="shared" si="59"/>
        <v>9640976.1110200007</v>
      </c>
      <c r="BD130" s="72">
        <f t="shared" si="59"/>
        <v>10311888.808560001</v>
      </c>
      <c r="BE130" s="72">
        <f t="shared" si="59"/>
        <v>13679060.082980046</v>
      </c>
      <c r="BF130" s="72">
        <f t="shared" si="59"/>
        <v>14839794.719189921</v>
      </c>
      <c r="BG130" s="72">
        <f t="shared" si="59"/>
        <v>19681585.071285892</v>
      </c>
      <c r="BH130" s="72">
        <f t="shared" si="59"/>
        <v>21152644.472727984</v>
      </c>
      <c r="BI130" s="72">
        <f t="shared" si="59"/>
        <v>20821755.747409988</v>
      </c>
    </row>
    <row r="131" spans="2:61" x14ac:dyDescent="0.3">
      <c r="C131" s="164" t="s">
        <v>51</v>
      </c>
      <c r="D131" s="109"/>
      <c r="E131" s="165">
        <f>E130-'Quarterly I.S'!F130</f>
        <v>0</v>
      </c>
      <c r="F131" s="165">
        <f>F130-'Quarterly I.S'!I130</f>
        <v>0</v>
      </c>
      <c r="G131" s="165">
        <f>G130-'Quarterly I.S'!J130</f>
        <v>0</v>
      </c>
      <c r="H131" s="165">
        <f>H130-'Quarterly I.S'!M130</f>
        <v>0</v>
      </c>
      <c r="I131" s="165">
        <f>I130-'Quarterly I.S'!N130</f>
        <v>0</v>
      </c>
      <c r="J131" s="165">
        <f>J130-'Quarterly I.S'!Q130</f>
        <v>0</v>
      </c>
      <c r="K131" s="165">
        <f>K130-'Quarterly I.S'!R130</f>
        <v>0</v>
      </c>
      <c r="L131" s="165">
        <f>L130-'Quarterly I.S'!U130</f>
        <v>0</v>
      </c>
      <c r="M131" s="189"/>
      <c r="O131" s="40"/>
      <c r="P131" s="40"/>
      <c r="Q131" s="40"/>
      <c r="R131" s="40"/>
      <c r="S131" s="40"/>
      <c r="T131" s="40"/>
      <c r="U131" s="40"/>
      <c r="V131" s="40"/>
      <c r="W131" s="189"/>
      <c r="Y131" s="40"/>
      <c r="Z131" s="40"/>
      <c r="AA131" s="40"/>
      <c r="AB131" s="40"/>
      <c r="AC131" s="40"/>
      <c r="AD131" s="40"/>
      <c r="AE131" s="40"/>
      <c r="AF131" s="40"/>
      <c r="AH131" s="40"/>
      <c r="AI131" s="40"/>
      <c r="AJ131" s="40"/>
      <c r="AK131" s="40"/>
      <c r="AL131" s="40"/>
      <c r="AM131" s="40"/>
      <c r="AN131" s="40"/>
      <c r="AO131" s="40"/>
      <c r="AQ131" s="40"/>
      <c r="AR131" s="40"/>
      <c r="AS131" s="40"/>
      <c r="AT131" s="40"/>
      <c r="AU131" s="40"/>
      <c r="AV131" s="40"/>
      <c r="AW131" s="40"/>
      <c r="AX131" s="40"/>
      <c r="AY131" s="40"/>
      <c r="AZ131" s="189"/>
      <c r="BB131" s="40"/>
      <c r="BC131" s="40"/>
      <c r="BD131" s="40"/>
      <c r="BE131" s="40"/>
      <c r="BF131" s="40"/>
      <c r="BG131" s="40"/>
      <c r="BH131" s="40"/>
      <c r="BI131" s="40"/>
    </row>
    <row r="132" spans="2:61" x14ac:dyDescent="0.3">
      <c r="C132" s="39"/>
      <c r="D132" s="109"/>
      <c r="E132" s="40"/>
      <c r="F132" s="40"/>
      <c r="G132" s="40"/>
      <c r="H132" s="40"/>
      <c r="I132" s="40"/>
      <c r="J132" s="40"/>
      <c r="K132" s="40"/>
      <c r="L132" s="40"/>
      <c r="M132" s="169"/>
      <c r="O132" s="40"/>
      <c r="P132" s="40"/>
      <c r="Q132" s="40"/>
      <c r="R132" s="40"/>
      <c r="S132" s="40"/>
      <c r="T132" s="40"/>
      <c r="U132" s="40"/>
      <c r="V132" s="40"/>
      <c r="W132" s="169"/>
      <c r="Y132" s="40"/>
      <c r="Z132" s="40"/>
      <c r="AA132" s="40"/>
      <c r="AB132" s="40"/>
      <c r="AC132" s="40"/>
      <c r="AD132" s="40"/>
      <c r="AE132" s="40"/>
      <c r="AF132" s="40"/>
      <c r="AH132" s="40"/>
      <c r="AI132" s="40"/>
      <c r="AJ132" s="40"/>
      <c r="AK132" s="40"/>
      <c r="AL132" s="40"/>
      <c r="AM132" s="40"/>
      <c r="AN132" s="40"/>
      <c r="AO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169"/>
      <c r="BB132" s="40"/>
      <c r="BC132" s="40"/>
      <c r="BD132" s="40"/>
      <c r="BE132" s="40"/>
      <c r="BF132" s="40"/>
      <c r="BG132" s="40"/>
      <c r="BH132" s="40"/>
      <c r="BI132" s="40"/>
    </row>
    <row r="133" spans="2:61" x14ac:dyDescent="0.3">
      <c r="C133" s="39"/>
      <c r="D133" s="109"/>
      <c r="E133" s="40"/>
      <c r="F133" s="40"/>
      <c r="G133" s="130"/>
      <c r="H133" s="130"/>
      <c r="I133" s="130"/>
      <c r="J133" s="130"/>
      <c r="K133" s="130"/>
      <c r="L133" s="130"/>
      <c r="M133" s="131"/>
      <c r="O133" s="40"/>
      <c r="P133" s="40"/>
      <c r="Q133" s="40"/>
      <c r="R133" s="40"/>
      <c r="S133" s="40"/>
      <c r="T133" s="40"/>
      <c r="U133" s="40"/>
      <c r="V133" s="40"/>
      <c r="W133" s="131"/>
      <c r="Y133" s="40"/>
      <c r="Z133" s="40"/>
      <c r="AA133" s="40"/>
      <c r="AB133" s="40"/>
      <c r="AC133" s="40"/>
      <c r="AD133" s="40"/>
      <c r="AE133" s="40"/>
      <c r="AF133" s="40"/>
      <c r="AH133" s="40"/>
      <c r="AI133" s="40"/>
      <c r="AJ133" s="40"/>
      <c r="AK133" s="40"/>
      <c r="AL133" s="40"/>
      <c r="AM133" s="40"/>
      <c r="AN133" s="40"/>
      <c r="AO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131"/>
      <c r="BB133" s="40"/>
      <c r="BC133" s="40"/>
      <c r="BD133" s="40"/>
      <c r="BE133" s="40"/>
      <c r="BF133" s="40"/>
      <c r="BG133" s="40"/>
      <c r="BH133" s="40"/>
      <c r="BI133" s="40"/>
    </row>
    <row r="134" spans="2:61" s="85" customFormat="1" x14ac:dyDescent="0.3">
      <c r="B134" s="84"/>
      <c r="C134" s="63" t="s">
        <v>125</v>
      </c>
      <c r="D134" s="63"/>
      <c r="E134" s="63"/>
      <c r="F134" s="63"/>
      <c r="G134" s="63"/>
      <c r="H134" s="63"/>
      <c r="I134" s="63"/>
      <c r="J134" s="63"/>
      <c r="K134" s="63"/>
      <c r="L134" s="63"/>
      <c r="M134" s="186"/>
      <c r="O134" s="63"/>
      <c r="P134" s="63"/>
      <c r="Q134" s="63"/>
      <c r="R134" s="63"/>
      <c r="S134" s="63"/>
      <c r="T134" s="63"/>
      <c r="U134" s="63"/>
      <c r="V134" s="63"/>
      <c r="W134" s="186"/>
      <c r="Y134" s="63"/>
      <c r="Z134" s="63"/>
      <c r="AA134" s="63"/>
      <c r="AB134" s="63"/>
      <c r="AC134" s="63"/>
      <c r="AD134" s="63"/>
      <c r="AE134" s="63"/>
      <c r="AF134" s="63"/>
      <c r="AH134" s="63"/>
      <c r="AI134" s="63"/>
      <c r="AJ134" s="63"/>
      <c r="AK134" s="63"/>
      <c r="AL134" s="63"/>
      <c r="AM134" s="63"/>
      <c r="AN134" s="63"/>
      <c r="AO134" s="63"/>
      <c r="AQ134" s="63"/>
      <c r="AR134" s="63"/>
      <c r="AS134" s="63"/>
      <c r="AT134" s="63"/>
      <c r="AU134" s="63"/>
      <c r="AV134" s="63"/>
      <c r="AW134" s="63"/>
      <c r="AX134" s="63"/>
      <c r="AY134" s="63"/>
      <c r="AZ134" s="186"/>
      <c r="BB134" s="63"/>
      <c r="BC134" s="63"/>
      <c r="BD134" s="63"/>
      <c r="BE134" s="63"/>
      <c r="BF134" s="63"/>
      <c r="BG134" s="63"/>
      <c r="BH134" s="63"/>
      <c r="BI134" s="63"/>
    </row>
    <row r="135" spans="2:61" x14ac:dyDescent="0.3">
      <c r="C135" s="99" t="s">
        <v>124</v>
      </c>
      <c r="D135" s="125"/>
      <c r="E135" s="47">
        <f t="shared" ref="E135:J135" si="60">SUM(E136:E141)</f>
        <v>0</v>
      </c>
      <c r="F135" s="47">
        <f t="shared" si="60"/>
        <v>4696763.3804547992</v>
      </c>
      <c r="G135" s="47">
        <f t="shared" si="60"/>
        <v>0</v>
      </c>
      <c r="H135" s="47">
        <f t="shared" si="60"/>
        <v>8153791.5134563996</v>
      </c>
      <c r="I135" s="47">
        <f t="shared" si="60"/>
        <v>0</v>
      </c>
      <c r="J135" s="47">
        <f t="shared" si="60"/>
        <v>11941027.415507801</v>
      </c>
      <c r="K135" s="47"/>
      <c r="L135" s="47">
        <f>SUM(L136:L141)</f>
        <v>8209061.8572588004</v>
      </c>
      <c r="M135" s="173">
        <f t="shared" ref="M135:M141" si="61">L135/J135-1</f>
        <v>-0.31253303659635689</v>
      </c>
      <c r="O135" s="47">
        <f t="shared" ref="O135:V135" si="62">SUM(O136:O141)</f>
        <v>0</v>
      </c>
      <c r="P135" s="47">
        <f t="shared" si="62"/>
        <v>4696763.3804547992</v>
      </c>
      <c r="Q135" s="47">
        <f t="shared" si="62"/>
        <v>0</v>
      </c>
      <c r="R135" s="47">
        <f t="shared" si="62"/>
        <v>8153791.5134563996</v>
      </c>
      <c r="S135" s="47">
        <f t="shared" si="62"/>
        <v>0</v>
      </c>
      <c r="T135" s="47">
        <f t="shared" si="62"/>
        <v>11941027.415507801</v>
      </c>
      <c r="U135" s="47">
        <f t="shared" si="62"/>
        <v>0</v>
      </c>
      <c r="V135" s="47">
        <f t="shared" si="62"/>
        <v>8209061.8572588004</v>
      </c>
      <c r="W135" s="173">
        <f t="shared" ref="W135:W141" si="63">V135/T135-1</f>
        <v>-0.31253303659635689</v>
      </c>
      <c r="Y135" s="47">
        <f t="shared" ref="Y135:AF135" si="64">SUM(Y136:Y141)</f>
        <v>0</v>
      </c>
      <c r="Z135" s="47">
        <f t="shared" si="64"/>
        <v>4696763.3804547992</v>
      </c>
      <c r="AA135" s="47">
        <f t="shared" si="64"/>
        <v>0</v>
      </c>
      <c r="AB135" s="47">
        <f t="shared" si="64"/>
        <v>8153791.5134563996</v>
      </c>
      <c r="AC135" s="47">
        <f t="shared" si="64"/>
        <v>0</v>
      </c>
      <c r="AD135" s="47">
        <f t="shared" si="64"/>
        <v>11941027.415507801</v>
      </c>
      <c r="AE135" s="47">
        <f t="shared" si="64"/>
        <v>0</v>
      </c>
      <c r="AF135" s="47">
        <f t="shared" si="64"/>
        <v>8209061.8572588004</v>
      </c>
      <c r="AH135" s="47">
        <f t="shared" ref="AH135:AO135" si="65">SUM(AH136:AH141)</f>
        <v>0</v>
      </c>
      <c r="AI135" s="47">
        <f t="shared" si="65"/>
        <v>4696763.3804547992</v>
      </c>
      <c r="AJ135" s="47">
        <f t="shared" si="65"/>
        <v>0</v>
      </c>
      <c r="AK135" s="47">
        <f t="shared" si="65"/>
        <v>8153791.5134563996</v>
      </c>
      <c r="AL135" s="47">
        <f t="shared" si="65"/>
        <v>0</v>
      </c>
      <c r="AM135" s="47">
        <f t="shared" si="65"/>
        <v>11941027.415507801</v>
      </c>
      <c r="AN135" s="47">
        <f t="shared" si="65"/>
        <v>0</v>
      </c>
      <c r="AO135" s="47">
        <f t="shared" si="65"/>
        <v>8209061.8572588004</v>
      </c>
      <c r="AQ135" s="47">
        <f t="shared" ref="AQ135:AX135" si="66">SUM(AQ136:AQ141)</f>
        <v>0</v>
      </c>
      <c r="AR135" s="47">
        <f t="shared" si="66"/>
        <v>4696763.3804547992</v>
      </c>
      <c r="AS135" s="47">
        <f t="shared" si="66"/>
        <v>0</v>
      </c>
      <c r="AT135" s="47">
        <f t="shared" si="66"/>
        <v>8153791.5134563996</v>
      </c>
      <c r="AU135" s="47">
        <f t="shared" si="66"/>
        <v>0</v>
      </c>
      <c r="AV135" s="47">
        <f t="shared" si="66"/>
        <v>11941027.415507801</v>
      </c>
      <c r="AW135" s="47">
        <f t="shared" si="66"/>
        <v>0</v>
      </c>
      <c r="AX135" s="47">
        <f t="shared" si="66"/>
        <v>8209061.8572588004</v>
      </c>
      <c r="AY135" s="47"/>
      <c r="AZ135" s="173">
        <f t="shared" ref="AZ135:AZ141" si="67">AX135/AV135-1</f>
        <v>-0.31253303659635689</v>
      </c>
      <c r="BB135" s="47">
        <f t="shared" ref="BB135:BI135" si="68">SUM(BB136:BB141)</f>
        <v>0</v>
      </c>
      <c r="BC135" s="47">
        <f t="shared" si="68"/>
        <v>4696763.3804547992</v>
      </c>
      <c r="BD135" s="47">
        <f t="shared" si="68"/>
        <v>0</v>
      </c>
      <c r="BE135" s="47">
        <f t="shared" si="68"/>
        <v>8153791.5134563996</v>
      </c>
      <c r="BF135" s="47">
        <f t="shared" si="68"/>
        <v>0</v>
      </c>
      <c r="BG135" s="47">
        <f t="shared" si="68"/>
        <v>11941027.415507801</v>
      </c>
      <c r="BH135" s="47">
        <f t="shared" si="68"/>
        <v>0</v>
      </c>
      <c r="BI135" s="47">
        <f t="shared" si="68"/>
        <v>8209061.8572588004</v>
      </c>
    </row>
    <row r="136" spans="2:61" x14ac:dyDescent="0.3">
      <c r="C136" s="65" t="s">
        <v>117</v>
      </c>
      <c r="D136" s="77"/>
      <c r="E136" s="97"/>
      <c r="F136" s="97">
        <f>SUM('Quarterly I.S'!G136:I136)</f>
        <v>2970998.8280400001</v>
      </c>
      <c r="G136" s="97"/>
      <c r="H136" s="97">
        <f>SUM('Quarterly I.S'!K136:M136)</f>
        <v>3342856.0184828802</v>
      </c>
      <c r="I136" s="97"/>
      <c r="J136" s="97">
        <f>SUM('Quarterly I.S'!O136:Q136)</f>
        <v>6642356.2521899994</v>
      </c>
      <c r="K136" s="97"/>
      <c r="L136" s="97">
        <f>SUM('Quarterly I.S'!S136:U136)</f>
        <v>4440055.4253700003</v>
      </c>
      <c r="M136" s="190">
        <f t="shared" si="61"/>
        <v>-0.33155415686924283</v>
      </c>
      <c r="N136" s="132"/>
      <c r="O136" s="67">
        <f t="shared" ref="O136:O141" si="69">$E136</f>
        <v>0</v>
      </c>
      <c r="P136" s="67">
        <f t="shared" ref="P136:P141" si="70">$F136</f>
        <v>2970998.8280400001</v>
      </c>
      <c r="Q136" s="67">
        <f t="shared" ref="Q136:Q141" si="71">$G136</f>
        <v>0</v>
      </c>
      <c r="R136" s="67">
        <f t="shared" ref="R136:R141" si="72">$H136</f>
        <v>3342856.0184828802</v>
      </c>
      <c r="S136" s="67">
        <f t="shared" ref="S136:S141" si="73">$I136</f>
        <v>0</v>
      </c>
      <c r="T136" s="67">
        <f t="shared" ref="T136:T141" si="74">$J136</f>
        <v>6642356.2521899994</v>
      </c>
      <c r="U136" s="67">
        <f t="shared" ref="U136:U141" si="75">$K136</f>
        <v>0</v>
      </c>
      <c r="V136" s="67">
        <f t="shared" ref="V136:V141" si="76">$L136</f>
        <v>4440055.4253700003</v>
      </c>
      <c r="W136" s="190">
        <f t="shared" si="63"/>
        <v>-0.33155415686924283</v>
      </c>
      <c r="X136" s="64"/>
      <c r="Y136" s="67">
        <f t="shared" ref="Y136:Y141" si="77">$E136</f>
        <v>0</v>
      </c>
      <c r="Z136" s="67">
        <f t="shared" ref="Z136:Z141" si="78">$F136</f>
        <v>2970998.8280400001</v>
      </c>
      <c r="AA136" s="67">
        <f t="shared" ref="AA136:AA141" si="79">$G136</f>
        <v>0</v>
      </c>
      <c r="AB136" s="67">
        <f t="shared" ref="AB136:AB141" si="80">$H136</f>
        <v>3342856.0184828802</v>
      </c>
      <c r="AC136" s="67">
        <f t="shared" ref="AC136:AC141" si="81">$I136</f>
        <v>0</v>
      </c>
      <c r="AD136" s="67">
        <f t="shared" ref="AD136:AD141" si="82">$J136</f>
        <v>6642356.2521899994</v>
      </c>
      <c r="AE136" s="67">
        <f t="shared" ref="AE136:AE141" si="83">$K136</f>
        <v>0</v>
      </c>
      <c r="AF136" s="67">
        <f t="shared" ref="AF136:AF141" si="84">$L136</f>
        <v>4440055.4253700003</v>
      </c>
      <c r="AG136" s="64"/>
      <c r="AH136" s="67">
        <f t="shared" ref="AH136:AH141" si="85">$E136</f>
        <v>0</v>
      </c>
      <c r="AI136" s="67">
        <f t="shared" ref="AI136:AI141" si="86">$F136</f>
        <v>2970998.8280400001</v>
      </c>
      <c r="AJ136" s="67">
        <f t="shared" ref="AJ136:AJ141" si="87">$G136</f>
        <v>0</v>
      </c>
      <c r="AK136" s="67">
        <f t="shared" ref="AK136:AK141" si="88">$H136</f>
        <v>3342856.0184828802</v>
      </c>
      <c r="AL136" s="67">
        <f t="shared" ref="AL136:AL141" si="89">$I136</f>
        <v>0</v>
      </c>
      <c r="AM136" s="67">
        <f t="shared" ref="AM136:AM141" si="90">$J136</f>
        <v>6642356.2521899994</v>
      </c>
      <c r="AN136" s="67">
        <f t="shared" ref="AN136:AN141" si="91">$K136</f>
        <v>0</v>
      </c>
      <c r="AO136" s="67">
        <f t="shared" ref="AO136:AO141" si="92">$L136</f>
        <v>4440055.4253700003</v>
      </c>
      <c r="AP136" s="64"/>
      <c r="AQ136" s="67">
        <f t="shared" ref="AQ136:AQ141" si="93">$E136</f>
        <v>0</v>
      </c>
      <c r="AR136" s="67">
        <f t="shared" ref="AR136:AR141" si="94">$F136</f>
        <v>2970998.8280400001</v>
      </c>
      <c r="AS136" s="67">
        <f t="shared" ref="AS136:AS141" si="95">$G136</f>
        <v>0</v>
      </c>
      <c r="AT136" s="67">
        <f t="shared" ref="AT136:AT141" si="96">$H136</f>
        <v>3342856.0184828802</v>
      </c>
      <c r="AU136" s="67">
        <f t="shared" ref="AU136:AU141" si="97">$I136</f>
        <v>0</v>
      </c>
      <c r="AV136" s="67">
        <f t="shared" ref="AV136:AV141" si="98">$J136</f>
        <v>6642356.2521899994</v>
      </c>
      <c r="AW136" s="67">
        <f t="shared" ref="AW136:AW141" si="99">$K136</f>
        <v>0</v>
      </c>
      <c r="AX136" s="67">
        <f t="shared" ref="AX136:AX141" si="100">$L136</f>
        <v>4440055.4253700003</v>
      </c>
      <c r="AY136" s="67"/>
      <c r="AZ136" s="190">
        <f t="shared" si="67"/>
        <v>-0.33155415686924283</v>
      </c>
      <c r="BA136" s="64"/>
      <c r="BB136" s="67">
        <f t="shared" ref="BB136:BB141" si="101">$E136</f>
        <v>0</v>
      </c>
      <c r="BC136" s="67">
        <f t="shared" ref="BC136:BC141" si="102">$F136</f>
        <v>2970998.8280400001</v>
      </c>
      <c r="BD136" s="67">
        <f t="shared" ref="BD136:BD141" si="103">$G136</f>
        <v>0</v>
      </c>
      <c r="BE136" s="67">
        <f t="shared" ref="BE136:BE141" si="104">$H136</f>
        <v>3342856.0184828802</v>
      </c>
      <c r="BF136" s="67">
        <f t="shared" ref="BF136:BF141" si="105">$I136</f>
        <v>0</v>
      </c>
      <c r="BG136" s="67">
        <f t="shared" ref="BG136:BG141" si="106">$J136</f>
        <v>6642356.2521899994</v>
      </c>
      <c r="BH136" s="67">
        <f t="shared" ref="BH136:BH141" si="107">$K136</f>
        <v>0</v>
      </c>
      <c r="BI136" s="67">
        <f t="shared" ref="BI136:BI141" si="108">$L136</f>
        <v>4440055.4253700003</v>
      </c>
    </row>
    <row r="137" spans="2:61" x14ac:dyDescent="0.3">
      <c r="C137" s="65" t="s">
        <v>119</v>
      </c>
      <c r="D137" s="77"/>
      <c r="E137" s="97"/>
      <c r="F137" s="97">
        <f>SUM('Quarterly I.S'!G137:I137)</f>
        <v>320228.79998000001</v>
      </c>
      <c r="G137" s="97"/>
      <c r="H137" s="97">
        <f>SUM('Quarterly I.S'!K137:M137)</f>
        <v>543234.96873861994</v>
      </c>
      <c r="I137" s="97"/>
      <c r="J137" s="97">
        <f>SUM('Quarterly I.S'!O137:Q137)</f>
        <v>610821.75099999993</v>
      </c>
      <c r="K137" s="97"/>
      <c r="L137" s="97">
        <f>SUM('Quarterly I.S'!S137:U137)</f>
        <v>490032.82299999997</v>
      </c>
      <c r="M137" s="190">
        <f t="shared" si="61"/>
        <v>-0.19774824292398185</v>
      </c>
      <c r="N137" s="132"/>
      <c r="O137" s="67">
        <f t="shared" si="69"/>
        <v>0</v>
      </c>
      <c r="P137" s="67">
        <f t="shared" si="70"/>
        <v>320228.79998000001</v>
      </c>
      <c r="Q137" s="67">
        <f t="shared" si="71"/>
        <v>0</v>
      </c>
      <c r="R137" s="67">
        <f t="shared" si="72"/>
        <v>543234.96873861994</v>
      </c>
      <c r="S137" s="67">
        <f t="shared" si="73"/>
        <v>0</v>
      </c>
      <c r="T137" s="67">
        <f t="shared" si="74"/>
        <v>610821.75099999993</v>
      </c>
      <c r="U137" s="67">
        <f t="shared" si="75"/>
        <v>0</v>
      </c>
      <c r="V137" s="67">
        <f t="shared" si="76"/>
        <v>490032.82299999997</v>
      </c>
      <c r="W137" s="190">
        <f t="shared" si="63"/>
        <v>-0.19774824292398185</v>
      </c>
      <c r="X137" s="64"/>
      <c r="Y137" s="67">
        <f t="shared" si="77"/>
        <v>0</v>
      </c>
      <c r="Z137" s="67">
        <f t="shared" si="78"/>
        <v>320228.79998000001</v>
      </c>
      <c r="AA137" s="67">
        <f t="shared" si="79"/>
        <v>0</v>
      </c>
      <c r="AB137" s="67">
        <f t="shared" si="80"/>
        <v>543234.96873861994</v>
      </c>
      <c r="AC137" s="67">
        <f t="shared" si="81"/>
        <v>0</v>
      </c>
      <c r="AD137" s="67">
        <f t="shared" si="82"/>
        <v>610821.75099999993</v>
      </c>
      <c r="AE137" s="67">
        <f t="shared" si="83"/>
        <v>0</v>
      </c>
      <c r="AF137" s="67">
        <f t="shared" si="84"/>
        <v>490032.82299999997</v>
      </c>
      <c r="AG137" s="64"/>
      <c r="AH137" s="67">
        <f t="shared" si="85"/>
        <v>0</v>
      </c>
      <c r="AI137" s="67">
        <f t="shared" si="86"/>
        <v>320228.79998000001</v>
      </c>
      <c r="AJ137" s="67">
        <f t="shared" si="87"/>
        <v>0</v>
      </c>
      <c r="AK137" s="67">
        <f t="shared" si="88"/>
        <v>543234.96873861994</v>
      </c>
      <c r="AL137" s="67">
        <f t="shared" si="89"/>
        <v>0</v>
      </c>
      <c r="AM137" s="67">
        <f t="shared" si="90"/>
        <v>610821.75099999993</v>
      </c>
      <c r="AN137" s="67">
        <f t="shared" si="91"/>
        <v>0</v>
      </c>
      <c r="AO137" s="67">
        <f t="shared" si="92"/>
        <v>490032.82299999997</v>
      </c>
      <c r="AP137" s="64"/>
      <c r="AQ137" s="67">
        <f t="shared" si="93"/>
        <v>0</v>
      </c>
      <c r="AR137" s="67">
        <f t="shared" si="94"/>
        <v>320228.79998000001</v>
      </c>
      <c r="AS137" s="67">
        <f t="shared" si="95"/>
        <v>0</v>
      </c>
      <c r="AT137" s="67">
        <f t="shared" si="96"/>
        <v>543234.96873861994</v>
      </c>
      <c r="AU137" s="67">
        <f t="shared" si="97"/>
        <v>0</v>
      </c>
      <c r="AV137" s="67">
        <f t="shared" si="98"/>
        <v>610821.75099999993</v>
      </c>
      <c r="AW137" s="67">
        <f t="shared" si="99"/>
        <v>0</v>
      </c>
      <c r="AX137" s="67">
        <f t="shared" si="100"/>
        <v>490032.82299999997</v>
      </c>
      <c r="AY137" s="67"/>
      <c r="AZ137" s="190">
        <f t="shared" si="67"/>
        <v>-0.19774824292398185</v>
      </c>
      <c r="BA137" s="64"/>
      <c r="BB137" s="67">
        <f t="shared" si="101"/>
        <v>0</v>
      </c>
      <c r="BC137" s="67">
        <f t="shared" si="102"/>
        <v>320228.79998000001</v>
      </c>
      <c r="BD137" s="67">
        <f t="shared" si="103"/>
        <v>0</v>
      </c>
      <c r="BE137" s="67">
        <f t="shared" si="104"/>
        <v>543234.96873861994</v>
      </c>
      <c r="BF137" s="67">
        <f t="shared" si="105"/>
        <v>0</v>
      </c>
      <c r="BG137" s="67">
        <f t="shared" si="106"/>
        <v>610821.75099999993</v>
      </c>
      <c r="BH137" s="67">
        <f t="shared" si="107"/>
        <v>0</v>
      </c>
      <c r="BI137" s="67">
        <f t="shared" si="108"/>
        <v>490032.82299999997</v>
      </c>
    </row>
    <row r="138" spans="2:61" x14ac:dyDescent="0.3">
      <c r="C138" s="65" t="s">
        <v>118</v>
      </c>
      <c r="D138" s="77"/>
      <c r="E138" s="97"/>
      <c r="F138" s="97">
        <f>SUM('Quarterly I.S'!G138:I138)</f>
        <v>332163.77002666664</v>
      </c>
      <c r="G138" s="97"/>
      <c r="H138" s="97">
        <f>SUM('Quarterly I.S'!K138:M138)</f>
        <v>1787213.6209049996</v>
      </c>
      <c r="I138" s="97"/>
      <c r="J138" s="97">
        <f>SUM('Quarterly I.S'!O138:Q138)</f>
        <v>2849749.7980568102</v>
      </c>
      <c r="K138" s="97"/>
      <c r="L138" s="97">
        <f>SUM('Quarterly I.S'!S138:U138)</f>
        <v>1244555.7621499998</v>
      </c>
      <c r="M138" s="190">
        <f t="shared" si="61"/>
        <v>-0.56327542754853832</v>
      </c>
      <c r="N138" s="132"/>
      <c r="O138" s="67">
        <f t="shared" si="69"/>
        <v>0</v>
      </c>
      <c r="P138" s="67">
        <f t="shared" si="70"/>
        <v>332163.77002666664</v>
      </c>
      <c r="Q138" s="67">
        <f t="shared" si="71"/>
        <v>0</v>
      </c>
      <c r="R138" s="67">
        <f t="shared" si="72"/>
        <v>1787213.6209049996</v>
      </c>
      <c r="S138" s="67">
        <f t="shared" si="73"/>
        <v>0</v>
      </c>
      <c r="T138" s="67">
        <f t="shared" si="74"/>
        <v>2849749.7980568102</v>
      </c>
      <c r="U138" s="67">
        <f t="shared" si="75"/>
        <v>0</v>
      </c>
      <c r="V138" s="67">
        <f t="shared" si="76"/>
        <v>1244555.7621499998</v>
      </c>
      <c r="W138" s="190">
        <f t="shared" si="63"/>
        <v>-0.56327542754853832</v>
      </c>
      <c r="X138" s="64"/>
      <c r="Y138" s="67">
        <f t="shared" si="77"/>
        <v>0</v>
      </c>
      <c r="Z138" s="67">
        <f t="shared" si="78"/>
        <v>332163.77002666664</v>
      </c>
      <c r="AA138" s="67">
        <f t="shared" si="79"/>
        <v>0</v>
      </c>
      <c r="AB138" s="67">
        <f t="shared" si="80"/>
        <v>1787213.6209049996</v>
      </c>
      <c r="AC138" s="67">
        <f t="shared" si="81"/>
        <v>0</v>
      </c>
      <c r="AD138" s="67">
        <f t="shared" si="82"/>
        <v>2849749.7980568102</v>
      </c>
      <c r="AE138" s="67">
        <f t="shared" si="83"/>
        <v>0</v>
      </c>
      <c r="AF138" s="67">
        <f t="shared" si="84"/>
        <v>1244555.7621499998</v>
      </c>
      <c r="AG138" s="64"/>
      <c r="AH138" s="67">
        <f t="shared" si="85"/>
        <v>0</v>
      </c>
      <c r="AI138" s="67">
        <f t="shared" si="86"/>
        <v>332163.77002666664</v>
      </c>
      <c r="AJ138" s="67">
        <f t="shared" si="87"/>
        <v>0</v>
      </c>
      <c r="AK138" s="67">
        <f t="shared" si="88"/>
        <v>1787213.6209049996</v>
      </c>
      <c r="AL138" s="67">
        <f t="shared" si="89"/>
        <v>0</v>
      </c>
      <c r="AM138" s="67">
        <f t="shared" si="90"/>
        <v>2849749.7980568102</v>
      </c>
      <c r="AN138" s="67">
        <f t="shared" si="91"/>
        <v>0</v>
      </c>
      <c r="AO138" s="67">
        <f t="shared" si="92"/>
        <v>1244555.7621499998</v>
      </c>
      <c r="AP138" s="64"/>
      <c r="AQ138" s="67">
        <f t="shared" si="93"/>
        <v>0</v>
      </c>
      <c r="AR138" s="67">
        <f t="shared" si="94"/>
        <v>332163.77002666664</v>
      </c>
      <c r="AS138" s="67">
        <f t="shared" si="95"/>
        <v>0</v>
      </c>
      <c r="AT138" s="67">
        <f t="shared" si="96"/>
        <v>1787213.6209049996</v>
      </c>
      <c r="AU138" s="67">
        <f t="shared" si="97"/>
        <v>0</v>
      </c>
      <c r="AV138" s="67">
        <f t="shared" si="98"/>
        <v>2849749.7980568102</v>
      </c>
      <c r="AW138" s="67">
        <f t="shared" si="99"/>
        <v>0</v>
      </c>
      <c r="AX138" s="67">
        <f t="shared" si="100"/>
        <v>1244555.7621499998</v>
      </c>
      <c r="AY138" s="67"/>
      <c r="AZ138" s="190">
        <f t="shared" si="67"/>
        <v>-0.56327542754853832</v>
      </c>
      <c r="BA138" s="64"/>
      <c r="BB138" s="67">
        <f t="shared" si="101"/>
        <v>0</v>
      </c>
      <c r="BC138" s="67">
        <f t="shared" si="102"/>
        <v>332163.77002666664</v>
      </c>
      <c r="BD138" s="67">
        <f t="shared" si="103"/>
        <v>0</v>
      </c>
      <c r="BE138" s="67">
        <f t="shared" si="104"/>
        <v>1787213.6209049996</v>
      </c>
      <c r="BF138" s="67">
        <f t="shared" si="105"/>
        <v>0</v>
      </c>
      <c r="BG138" s="67">
        <f t="shared" si="106"/>
        <v>2849749.7980568102</v>
      </c>
      <c r="BH138" s="67">
        <f t="shared" si="107"/>
        <v>0</v>
      </c>
      <c r="BI138" s="67">
        <f t="shared" si="108"/>
        <v>1244555.7621499998</v>
      </c>
    </row>
    <row r="139" spans="2:61" x14ac:dyDescent="0.3">
      <c r="C139" s="65" t="s">
        <v>120</v>
      </c>
      <c r="D139" s="77"/>
      <c r="E139" s="97"/>
      <c r="F139" s="97">
        <f>SUM('Quarterly I.S'!G139:I139)</f>
        <v>244715.42791999999</v>
      </c>
      <c r="G139" s="97"/>
      <c r="H139" s="97">
        <f>SUM('Quarterly I.S'!K139:M139)</f>
        <v>654161.48741489998</v>
      </c>
      <c r="I139" s="97"/>
      <c r="J139" s="97">
        <f>SUM('Quarterly I.S'!O139:Q139)</f>
        <v>302807.96339099004</v>
      </c>
      <c r="K139" s="97"/>
      <c r="L139" s="97">
        <f>SUM('Quarterly I.S'!S139:U139)</f>
        <v>268282.70156880002</v>
      </c>
      <c r="M139" s="190">
        <f t="shared" si="61"/>
        <v>-0.11401702067395925</v>
      </c>
      <c r="N139" s="132"/>
      <c r="O139" s="67">
        <f t="shared" si="69"/>
        <v>0</v>
      </c>
      <c r="P139" s="67">
        <f t="shared" si="70"/>
        <v>244715.42791999999</v>
      </c>
      <c r="Q139" s="67">
        <f t="shared" si="71"/>
        <v>0</v>
      </c>
      <c r="R139" s="67">
        <f t="shared" si="72"/>
        <v>654161.48741489998</v>
      </c>
      <c r="S139" s="67">
        <f t="shared" si="73"/>
        <v>0</v>
      </c>
      <c r="T139" s="67">
        <f>$J139</f>
        <v>302807.96339099004</v>
      </c>
      <c r="U139" s="67">
        <f t="shared" si="75"/>
        <v>0</v>
      </c>
      <c r="V139" s="67">
        <f t="shared" si="76"/>
        <v>268282.70156880002</v>
      </c>
      <c r="W139" s="190">
        <f t="shared" si="63"/>
        <v>-0.11401702067395925</v>
      </c>
      <c r="X139" s="64"/>
      <c r="Y139" s="67">
        <f t="shared" si="77"/>
        <v>0</v>
      </c>
      <c r="Z139" s="67">
        <f t="shared" si="78"/>
        <v>244715.42791999999</v>
      </c>
      <c r="AA139" s="67">
        <f t="shared" si="79"/>
        <v>0</v>
      </c>
      <c r="AB139" s="67">
        <f t="shared" si="80"/>
        <v>654161.48741489998</v>
      </c>
      <c r="AC139" s="67">
        <f t="shared" si="81"/>
        <v>0</v>
      </c>
      <c r="AD139" s="67">
        <f>$J139</f>
        <v>302807.96339099004</v>
      </c>
      <c r="AE139" s="67">
        <f t="shared" si="83"/>
        <v>0</v>
      </c>
      <c r="AF139" s="67">
        <f t="shared" si="84"/>
        <v>268282.70156880002</v>
      </c>
      <c r="AG139" s="64"/>
      <c r="AH139" s="67">
        <f t="shared" si="85"/>
        <v>0</v>
      </c>
      <c r="AI139" s="67">
        <f t="shared" si="86"/>
        <v>244715.42791999999</v>
      </c>
      <c r="AJ139" s="67">
        <f t="shared" si="87"/>
        <v>0</v>
      </c>
      <c r="AK139" s="67">
        <f t="shared" si="88"/>
        <v>654161.48741489998</v>
      </c>
      <c r="AL139" s="67">
        <f t="shared" si="89"/>
        <v>0</v>
      </c>
      <c r="AM139" s="67">
        <f>$J139</f>
        <v>302807.96339099004</v>
      </c>
      <c r="AN139" s="67">
        <f t="shared" si="91"/>
        <v>0</v>
      </c>
      <c r="AO139" s="67">
        <f t="shared" si="92"/>
        <v>268282.70156880002</v>
      </c>
      <c r="AP139" s="64"/>
      <c r="AQ139" s="67">
        <f t="shared" si="93"/>
        <v>0</v>
      </c>
      <c r="AR139" s="67">
        <f t="shared" si="94"/>
        <v>244715.42791999999</v>
      </c>
      <c r="AS139" s="67">
        <f t="shared" si="95"/>
        <v>0</v>
      </c>
      <c r="AT139" s="67">
        <f t="shared" si="96"/>
        <v>654161.48741489998</v>
      </c>
      <c r="AU139" s="67">
        <f t="shared" si="97"/>
        <v>0</v>
      </c>
      <c r="AV139" s="67">
        <f>$J139</f>
        <v>302807.96339099004</v>
      </c>
      <c r="AW139" s="67">
        <f t="shared" si="99"/>
        <v>0</v>
      </c>
      <c r="AX139" s="67">
        <f t="shared" si="100"/>
        <v>268282.70156880002</v>
      </c>
      <c r="AY139" s="67"/>
      <c r="AZ139" s="190">
        <f t="shared" si="67"/>
        <v>-0.11401702067395925</v>
      </c>
      <c r="BA139" s="64"/>
      <c r="BB139" s="67">
        <f t="shared" si="101"/>
        <v>0</v>
      </c>
      <c r="BC139" s="67">
        <f t="shared" si="102"/>
        <v>244715.42791999999</v>
      </c>
      <c r="BD139" s="67">
        <f t="shared" si="103"/>
        <v>0</v>
      </c>
      <c r="BE139" s="67">
        <f t="shared" si="104"/>
        <v>654161.48741489998</v>
      </c>
      <c r="BF139" s="67">
        <f t="shared" si="105"/>
        <v>0</v>
      </c>
      <c r="BG139" s="67">
        <f>$J139</f>
        <v>302807.96339099004</v>
      </c>
      <c r="BH139" s="67">
        <f t="shared" si="107"/>
        <v>0</v>
      </c>
      <c r="BI139" s="67">
        <f t="shared" si="108"/>
        <v>268282.70156880002</v>
      </c>
    </row>
    <row r="140" spans="2:61" x14ac:dyDescent="0.3">
      <c r="C140" s="65" t="s">
        <v>248</v>
      </c>
      <c r="D140" s="77"/>
      <c r="E140" s="97"/>
      <c r="F140" s="97">
        <f>SUM('Quarterly I.S'!G140:I140)</f>
        <v>561417.788374</v>
      </c>
      <c r="G140" s="97"/>
      <c r="H140" s="97">
        <f>SUM('Quarterly I.S'!K140:M140)</f>
        <v>430390.72198999999</v>
      </c>
      <c r="I140" s="97"/>
      <c r="J140" s="97">
        <f>SUM('Quarterly I.S'!O140:Q140)</f>
        <v>375787.05703999999</v>
      </c>
      <c r="K140" s="97"/>
      <c r="L140" s="97">
        <f>SUM('Quarterly I.S'!S140:U140)</f>
        <v>412713.04599999997</v>
      </c>
      <c r="M140" s="190">
        <f t="shared" si="61"/>
        <v>9.8263067522491809E-2</v>
      </c>
      <c r="N140" s="132"/>
      <c r="O140" s="67">
        <f t="shared" si="69"/>
        <v>0</v>
      </c>
      <c r="P140" s="67">
        <f t="shared" si="70"/>
        <v>561417.788374</v>
      </c>
      <c r="Q140" s="67">
        <f t="shared" si="71"/>
        <v>0</v>
      </c>
      <c r="R140" s="67">
        <f t="shared" si="72"/>
        <v>430390.72198999999</v>
      </c>
      <c r="S140" s="67">
        <f t="shared" si="73"/>
        <v>0</v>
      </c>
      <c r="T140" s="67">
        <f t="shared" si="74"/>
        <v>375787.05703999999</v>
      </c>
      <c r="U140" s="67">
        <f t="shared" si="75"/>
        <v>0</v>
      </c>
      <c r="V140" s="67">
        <f t="shared" si="76"/>
        <v>412713.04599999997</v>
      </c>
      <c r="W140" s="190">
        <f t="shared" si="63"/>
        <v>9.8263067522491809E-2</v>
      </c>
      <c r="X140" s="64"/>
      <c r="Y140" s="67">
        <f t="shared" si="77"/>
        <v>0</v>
      </c>
      <c r="Z140" s="67">
        <f t="shared" si="78"/>
        <v>561417.788374</v>
      </c>
      <c r="AA140" s="67">
        <f t="shared" si="79"/>
        <v>0</v>
      </c>
      <c r="AB140" s="67">
        <f t="shared" si="80"/>
        <v>430390.72198999999</v>
      </c>
      <c r="AC140" s="67">
        <f t="shared" si="81"/>
        <v>0</v>
      </c>
      <c r="AD140" s="67">
        <f t="shared" si="82"/>
        <v>375787.05703999999</v>
      </c>
      <c r="AE140" s="67">
        <f t="shared" si="83"/>
        <v>0</v>
      </c>
      <c r="AF140" s="67">
        <f t="shared" si="84"/>
        <v>412713.04599999997</v>
      </c>
      <c r="AG140" s="64"/>
      <c r="AH140" s="67">
        <f t="shared" si="85"/>
        <v>0</v>
      </c>
      <c r="AI140" s="67">
        <f t="shared" si="86"/>
        <v>561417.788374</v>
      </c>
      <c r="AJ140" s="67">
        <f t="shared" si="87"/>
        <v>0</v>
      </c>
      <c r="AK140" s="67">
        <f t="shared" si="88"/>
        <v>430390.72198999999</v>
      </c>
      <c r="AL140" s="67">
        <f t="shared" si="89"/>
        <v>0</v>
      </c>
      <c r="AM140" s="67">
        <f t="shared" si="90"/>
        <v>375787.05703999999</v>
      </c>
      <c r="AN140" s="67">
        <f t="shared" si="91"/>
        <v>0</v>
      </c>
      <c r="AO140" s="67">
        <f t="shared" si="92"/>
        <v>412713.04599999997</v>
      </c>
      <c r="AP140" s="64"/>
      <c r="AQ140" s="67">
        <f t="shared" si="93"/>
        <v>0</v>
      </c>
      <c r="AR140" s="67">
        <f t="shared" si="94"/>
        <v>561417.788374</v>
      </c>
      <c r="AS140" s="67">
        <f t="shared" si="95"/>
        <v>0</v>
      </c>
      <c r="AT140" s="67">
        <f t="shared" si="96"/>
        <v>430390.72198999999</v>
      </c>
      <c r="AU140" s="67">
        <f t="shared" si="97"/>
        <v>0</v>
      </c>
      <c r="AV140" s="67">
        <f t="shared" si="98"/>
        <v>375787.05703999999</v>
      </c>
      <c r="AW140" s="67">
        <f t="shared" si="99"/>
        <v>0</v>
      </c>
      <c r="AX140" s="67">
        <f t="shared" si="100"/>
        <v>412713.04599999997</v>
      </c>
      <c r="AY140" s="67"/>
      <c r="AZ140" s="190">
        <f t="shared" si="67"/>
        <v>9.8263067522491809E-2</v>
      </c>
      <c r="BA140" s="64"/>
      <c r="BB140" s="67">
        <f t="shared" si="101"/>
        <v>0</v>
      </c>
      <c r="BC140" s="67">
        <f t="shared" si="102"/>
        <v>561417.788374</v>
      </c>
      <c r="BD140" s="67">
        <f t="shared" si="103"/>
        <v>0</v>
      </c>
      <c r="BE140" s="67">
        <f t="shared" si="104"/>
        <v>430390.72198999999</v>
      </c>
      <c r="BF140" s="67">
        <f t="shared" si="105"/>
        <v>0</v>
      </c>
      <c r="BG140" s="67">
        <f t="shared" si="106"/>
        <v>375787.05703999999</v>
      </c>
      <c r="BH140" s="67">
        <f t="shared" si="107"/>
        <v>0</v>
      </c>
      <c r="BI140" s="67">
        <f t="shared" si="108"/>
        <v>412713.04599999997</v>
      </c>
    </row>
    <row r="141" spans="2:61" x14ac:dyDescent="0.3">
      <c r="C141" s="65" t="s">
        <v>168</v>
      </c>
      <c r="D141" s="77"/>
      <c r="E141" s="97"/>
      <c r="F141" s="97">
        <f>SUM('Quarterly I.S'!G141:I141)</f>
        <v>267238.76611413265</v>
      </c>
      <c r="G141" s="97"/>
      <c r="H141" s="97">
        <f>SUM('Quarterly I.S'!K141:M141)</f>
        <v>1395934.6959250001</v>
      </c>
      <c r="I141" s="97"/>
      <c r="J141" s="97">
        <f>SUM('Quarterly I.S'!O141:Q141)</f>
        <v>1159504.5938300001</v>
      </c>
      <c r="K141" s="97"/>
      <c r="L141" s="97">
        <f>SUM('Quarterly I.S'!S141:U141)</f>
        <v>1353422.0991700001</v>
      </c>
      <c r="M141" s="190">
        <f t="shared" si="61"/>
        <v>0.16724168784831139</v>
      </c>
      <c r="N141" s="132"/>
      <c r="O141" s="67">
        <f t="shared" si="69"/>
        <v>0</v>
      </c>
      <c r="P141" s="67">
        <f t="shared" si="70"/>
        <v>267238.76611413265</v>
      </c>
      <c r="Q141" s="67">
        <f t="shared" si="71"/>
        <v>0</v>
      </c>
      <c r="R141" s="67">
        <f t="shared" si="72"/>
        <v>1395934.6959250001</v>
      </c>
      <c r="S141" s="67">
        <f t="shared" si="73"/>
        <v>0</v>
      </c>
      <c r="T141" s="67">
        <f t="shared" si="74"/>
        <v>1159504.5938300001</v>
      </c>
      <c r="U141" s="67">
        <f t="shared" si="75"/>
        <v>0</v>
      </c>
      <c r="V141" s="67">
        <f t="shared" si="76"/>
        <v>1353422.0991700001</v>
      </c>
      <c r="W141" s="190">
        <f t="shared" si="63"/>
        <v>0.16724168784831139</v>
      </c>
      <c r="X141" s="64"/>
      <c r="Y141" s="67">
        <f t="shared" si="77"/>
        <v>0</v>
      </c>
      <c r="Z141" s="67">
        <f t="shared" si="78"/>
        <v>267238.76611413265</v>
      </c>
      <c r="AA141" s="67">
        <f t="shared" si="79"/>
        <v>0</v>
      </c>
      <c r="AB141" s="67">
        <f t="shared" si="80"/>
        <v>1395934.6959250001</v>
      </c>
      <c r="AC141" s="67">
        <f t="shared" si="81"/>
        <v>0</v>
      </c>
      <c r="AD141" s="67">
        <f t="shared" si="82"/>
        <v>1159504.5938300001</v>
      </c>
      <c r="AE141" s="67">
        <f t="shared" si="83"/>
        <v>0</v>
      </c>
      <c r="AF141" s="67">
        <f t="shared" si="84"/>
        <v>1353422.0991700001</v>
      </c>
      <c r="AG141" s="64"/>
      <c r="AH141" s="67">
        <f t="shared" si="85"/>
        <v>0</v>
      </c>
      <c r="AI141" s="67">
        <f t="shared" si="86"/>
        <v>267238.76611413265</v>
      </c>
      <c r="AJ141" s="67">
        <f t="shared" si="87"/>
        <v>0</v>
      </c>
      <c r="AK141" s="67">
        <f t="shared" si="88"/>
        <v>1395934.6959250001</v>
      </c>
      <c r="AL141" s="67">
        <f t="shared" si="89"/>
        <v>0</v>
      </c>
      <c r="AM141" s="67">
        <f t="shared" si="90"/>
        <v>1159504.5938300001</v>
      </c>
      <c r="AN141" s="67">
        <f t="shared" si="91"/>
        <v>0</v>
      </c>
      <c r="AO141" s="67">
        <f t="shared" si="92"/>
        <v>1353422.0991700001</v>
      </c>
      <c r="AP141" s="64"/>
      <c r="AQ141" s="67">
        <f t="shared" si="93"/>
        <v>0</v>
      </c>
      <c r="AR141" s="67">
        <f t="shared" si="94"/>
        <v>267238.76611413265</v>
      </c>
      <c r="AS141" s="67">
        <f t="shared" si="95"/>
        <v>0</v>
      </c>
      <c r="AT141" s="67">
        <f t="shared" si="96"/>
        <v>1395934.6959250001</v>
      </c>
      <c r="AU141" s="67">
        <f t="shared" si="97"/>
        <v>0</v>
      </c>
      <c r="AV141" s="67">
        <f t="shared" si="98"/>
        <v>1159504.5938300001</v>
      </c>
      <c r="AW141" s="67">
        <f t="shared" si="99"/>
        <v>0</v>
      </c>
      <c r="AX141" s="67">
        <f t="shared" si="100"/>
        <v>1353422.0991700001</v>
      </c>
      <c r="AY141" s="67"/>
      <c r="AZ141" s="190">
        <f t="shared" si="67"/>
        <v>0.16724168784831139</v>
      </c>
      <c r="BA141" s="64"/>
      <c r="BB141" s="67">
        <f t="shared" si="101"/>
        <v>0</v>
      </c>
      <c r="BC141" s="67">
        <f t="shared" si="102"/>
        <v>267238.76611413265</v>
      </c>
      <c r="BD141" s="67">
        <f t="shared" si="103"/>
        <v>0</v>
      </c>
      <c r="BE141" s="67">
        <f t="shared" si="104"/>
        <v>1395934.6959250001</v>
      </c>
      <c r="BF141" s="67">
        <f t="shared" si="105"/>
        <v>0</v>
      </c>
      <c r="BG141" s="67">
        <f t="shared" si="106"/>
        <v>1159504.5938300001</v>
      </c>
      <c r="BH141" s="67">
        <f t="shared" si="107"/>
        <v>0</v>
      </c>
      <c r="BI141" s="67">
        <f t="shared" si="108"/>
        <v>1353422.0991700001</v>
      </c>
    </row>
    <row r="142" spans="2:61" x14ac:dyDescent="0.3">
      <c r="C142" s="65"/>
      <c r="D142" s="77"/>
      <c r="E142" s="62"/>
      <c r="F142" s="62"/>
      <c r="G142" s="62"/>
      <c r="H142" s="62"/>
      <c r="I142" s="62"/>
      <c r="J142" s="62"/>
      <c r="K142" s="62"/>
      <c r="L142" s="62"/>
      <c r="M142" s="131"/>
      <c r="O142" s="62"/>
      <c r="P142" s="62"/>
      <c r="Q142" s="62"/>
      <c r="R142" s="62"/>
      <c r="S142" s="62"/>
      <c r="T142" s="62"/>
      <c r="U142" s="62"/>
      <c r="V142" s="62"/>
      <c r="W142" s="131"/>
      <c r="Y142" s="62"/>
      <c r="Z142" s="62"/>
      <c r="AA142" s="62"/>
      <c r="AB142" s="62"/>
      <c r="AC142" s="62"/>
      <c r="AD142" s="62"/>
      <c r="AE142" s="62"/>
      <c r="AF142" s="62"/>
      <c r="AH142" s="62"/>
      <c r="AI142" s="62"/>
      <c r="AJ142" s="62"/>
      <c r="AK142" s="62"/>
      <c r="AL142" s="62"/>
      <c r="AM142" s="62"/>
      <c r="AN142" s="62"/>
      <c r="AO142" s="62"/>
      <c r="AQ142" s="62"/>
      <c r="AR142" s="62"/>
      <c r="AS142" s="62"/>
      <c r="AT142" s="62"/>
      <c r="AU142" s="62"/>
      <c r="AV142" s="62"/>
      <c r="AW142" s="62"/>
      <c r="AX142" s="62"/>
      <c r="AY142" s="62"/>
      <c r="AZ142" s="131"/>
      <c r="BB142" s="62"/>
      <c r="BC142" s="62"/>
      <c r="BD142" s="62"/>
      <c r="BE142" s="62"/>
      <c r="BF142" s="62"/>
      <c r="BG142" s="62"/>
      <c r="BH142" s="62"/>
      <c r="BI142" s="62"/>
    </row>
    <row r="143" spans="2:61" x14ac:dyDescent="0.3">
      <c r="C143" s="99" t="s">
        <v>123</v>
      </c>
      <c r="D143" s="125"/>
      <c r="E143" s="48">
        <f t="shared" ref="E143:L143" si="109">E144</f>
        <v>0</v>
      </c>
      <c r="F143" s="48">
        <f t="shared" si="109"/>
        <v>436509.18065999995</v>
      </c>
      <c r="G143" s="48">
        <f t="shared" si="109"/>
        <v>0</v>
      </c>
      <c r="H143" s="48">
        <f t="shared" si="109"/>
        <v>141520.33262884998</v>
      </c>
      <c r="I143" s="48">
        <f t="shared" si="109"/>
        <v>0</v>
      </c>
      <c r="J143" s="48">
        <f t="shared" si="109"/>
        <v>128431.871</v>
      </c>
      <c r="K143" s="48"/>
      <c r="L143" s="48">
        <f t="shared" si="109"/>
        <v>113531.5</v>
      </c>
      <c r="M143" s="173">
        <f>L143/J143-1</f>
        <v>-0.11601770560517644</v>
      </c>
      <c r="O143" s="48">
        <f t="shared" ref="O143:BI143" si="110">O144</f>
        <v>0</v>
      </c>
      <c r="P143" s="48">
        <f t="shared" si="110"/>
        <v>436509.18065999995</v>
      </c>
      <c r="Q143" s="48">
        <f t="shared" si="110"/>
        <v>0</v>
      </c>
      <c r="R143" s="48">
        <f t="shared" si="110"/>
        <v>141520.33262884998</v>
      </c>
      <c r="S143" s="48">
        <f t="shared" si="110"/>
        <v>0</v>
      </c>
      <c r="T143" s="48">
        <f t="shared" si="110"/>
        <v>128431.871</v>
      </c>
      <c r="U143" s="48">
        <f t="shared" si="110"/>
        <v>0</v>
      </c>
      <c r="V143" s="48">
        <f t="shared" si="110"/>
        <v>113531.5</v>
      </c>
      <c r="W143" s="173">
        <f>V143/T143-1</f>
        <v>-0.11601770560517644</v>
      </c>
      <c r="Y143" s="48">
        <f t="shared" si="110"/>
        <v>0</v>
      </c>
      <c r="Z143" s="48">
        <f t="shared" si="110"/>
        <v>436509.18065999995</v>
      </c>
      <c r="AA143" s="48">
        <f t="shared" si="110"/>
        <v>0</v>
      </c>
      <c r="AB143" s="48">
        <f t="shared" si="110"/>
        <v>141520.33262884998</v>
      </c>
      <c r="AC143" s="48">
        <f t="shared" si="110"/>
        <v>0</v>
      </c>
      <c r="AD143" s="48">
        <f t="shared" si="110"/>
        <v>128431.871</v>
      </c>
      <c r="AE143" s="48">
        <f t="shared" si="110"/>
        <v>0</v>
      </c>
      <c r="AF143" s="48">
        <f t="shared" si="110"/>
        <v>113531.5</v>
      </c>
      <c r="AH143" s="48">
        <f t="shared" si="110"/>
        <v>0</v>
      </c>
      <c r="AI143" s="48">
        <f t="shared" si="110"/>
        <v>436509.18065999995</v>
      </c>
      <c r="AJ143" s="48">
        <f t="shared" si="110"/>
        <v>0</v>
      </c>
      <c r="AK143" s="48">
        <f t="shared" si="110"/>
        <v>141520.33262884998</v>
      </c>
      <c r="AL143" s="48">
        <f t="shared" si="110"/>
        <v>0</v>
      </c>
      <c r="AM143" s="48">
        <f t="shared" si="110"/>
        <v>128431.871</v>
      </c>
      <c r="AN143" s="48">
        <f t="shared" si="110"/>
        <v>0</v>
      </c>
      <c r="AO143" s="48">
        <f t="shared" si="110"/>
        <v>113531.5</v>
      </c>
      <c r="AQ143" s="48">
        <f t="shared" si="110"/>
        <v>0</v>
      </c>
      <c r="AR143" s="48">
        <f t="shared" si="110"/>
        <v>436509.18065999995</v>
      </c>
      <c r="AS143" s="48">
        <f t="shared" si="110"/>
        <v>0</v>
      </c>
      <c r="AT143" s="48">
        <f t="shared" si="110"/>
        <v>141520.33262884998</v>
      </c>
      <c r="AU143" s="48">
        <f t="shared" si="110"/>
        <v>0</v>
      </c>
      <c r="AV143" s="48">
        <f t="shared" si="110"/>
        <v>128431.871</v>
      </c>
      <c r="AW143" s="48">
        <f t="shared" si="110"/>
        <v>0</v>
      </c>
      <c r="AX143" s="48">
        <f t="shared" si="110"/>
        <v>113531.5</v>
      </c>
      <c r="AY143" s="48"/>
      <c r="AZ143" s="173">
        <f>AX143/AV143-1</f>
        <v>-0.11601770560517644</v>
      </c>
      <c r="BB143" s="48">
        <f t="shared" si="110"/>
        <v>0</v>
      </c>
      <c r="BC143" s="48">
        <f t="shared" si="110"/>
        <v>436509.18065999995</v>
      </c>
      <c r="BD143" s="48">
        <f t="shared" si="110"/>
        <v>0</v>
      </c>
      <c r="BE143" s="48">
        <f t="shared" si="110"/>
        <v>141520.33262884998</v>
      </c>
      <c r="BF143" s="48">
        <f t="shared" si="110"/>
        <v>0</v>
      </c>
      <c r="BG143" s="48">
        <f t="shared" si="110"/>
        <v>128431.871</v>
      </c>
      <c r="BH143" s="48">
        <f t="shared" si="110"/>
        <v>0</v>
      </c>
      <c r="BI143" s="48">
        <f t="shared" si="110"/>
        <v>113531.5</v>
      </c>
    </row>
    <row r="144" spans="2:61" x14ac:dyDescent="0.3">
      <c r="C144" s="65" t="s">
        <v>117</v>
      </c>
      <c r="D144" s="77"/>
      <c r="E144" s="97"/>
      <c r="F144" s="97">
        <f>SUM('Quarterly I.S'!G144:I144)</f>
        <v>436509.18065999995</v>
      </c>
      <c r="G144" s="97"/>
      <c r="H144" s="97">
        <f>SUM('Quarterly I.S'!K144:M144)</f>
        <v>141520.33262884998</v>
      </c>
      <c r="I144" s="97"/>
      <c r="J144" s="97">
        <f>SUM('Quarterly I.S'!O144:Q144)</f>
        <v>128431.871</v>
      </c>
      <c r="K144" s="97"/>
      <c r="L144" s="97">
        <f>SUM('Quarterly I.S'!S144:U144)</f>
        <v>113531.5</v>
      </c>
      <c r="M144" s="190"/>
      <c r="N144" s="132"/>
      <c r="O144" s="67">
        <f>$E144</f>
        <v>0</v>
      </c>
      <c r="P144" s="67">
        <f>$F144</f>
        <v>436509.18065999995</v>
      </c>
      <c r="Q144" s="67">
        <f>$G144</f>
        <v>0</v>
      </c>
      <c r="R144" s="67">
        <f>$H144</f>
        <v>141520.33262884998</v>
      </c>
      <c r="S144" s="67">
        <f>$I144</f>
        <v>0</v>
      </c>
      <c r="T144" s="67">
        <f>$J144</f>
        <v>128431.871</v>
      </c>
      <c r="U144" s="67">
        <f>$K144</f>
        <v>0</v>
      </c>
      <c r="V144" s="67">
        <f>$L144</f>
        <v>113531.5</v>
      </c>
      <c r="W144" s="190"/>
      <c r="X144" s="64"/>
      <c r="Y144" s="67">
        <f>$E144</f>
        <v>0</v>
      </c>
      <c r="Z144" s="67">
        <f>$F144</f>
        <v>436509.18065999995</v>
      </c>
      <c r="AA144" s="67">
        <f>$G144</f>
        <v>0</v>
      </c>
      <c r="AB144" s="67">
        <f>$H144</f>
        <v>141520.33262884998</v>
      </c>
      <c r="AC144" s="67">
        <f>$I144</f>
        <v>0</v>
      </c>
      <c r="AD144" s="67">
        <f>$J144</f>
        <v>128431.871</v>
      </c>
      <c r="AE144" s="67">
        <f>$K144</f>
        <v>0</v>
      </c>
      <c r="AF144" s="67">
        <f>$L144</f>
        <v>113531.5</v>
      </c>
      <c r="AG144" s="64"/>
      <c r="AH144" s="67">
        <f>$E144</f>
        <v>0</v>
      </c>
      <c r="AI144" s="67">
        <f>$F144</f>
        <v>436509.18065999995</v>
      </c>
      <c r="AJ144" s="67">
        <f>$G144</f>
        <v>0</v>
      </c>
      <c r="AK144" s="67">
        <f>$H144</f>
        <v>141520.33262884998</v>
      </c>
      <c r="AL144" s="67">
        <f>$I144</f>
        <v>0</v>
      </c>
      <c r="AM144" s="67">
        <f>$J144</f>
        <v>128431.871</v>
      </c>
      <c r="AN144" s="67">
        <f>$K144</f>
        <v>0</v>
      </c>
      <c r="AO144" s="67">
        <f>$L144</f>
        <v>113531.5</v>
      </c>
      <c r="AP144" s="64"/>
      <c r="AQ144" s="67">
        <f>$E144</f>
        <v>0</v>
      </c>
      <c r="AR144" s="67">
        <f>$F144</f>
        <v>436509.18065999995</v>
      </c>
      <c r="AS144" s="67">
        <f>$G144</f>
        <v>0</v>
      </c>
      <c r="AT144" s="67">
        <f>$H144</f>
        <v>141520.33262884998</v>
      </c>
      <c r="AU144" s="67">
        <f>$I144</f>
        <v>0</v>
      </c>
      <c r="AV144" s="67">
        <f>$J144</f>
        <v>128431.871</v>
      </c>
      <c r="AW144" s="67">
        <f>$K144</f>
        <v>0</v>
      </c>
      <c r="AX144" s="67">
        <f>$L144</f>
        <v>113531.5</v>
      </c>
      <c r="AY144" s="67"/>
      <c r="AZ144" s="190"/>
      <c r="BA144" s="64"/>
      <c r="BB144" s="67">
        <f>$E144</f>
        <v>0</v>
      </c>
      <c r="BC144" s="67">
        <f>$F144</f>
        <v>436509.18065999995</v>
      </c>
      <c r="BD144" s="67">
        <f>$G144</f>
        <v>0</v>
      </c>
      <c r="BE144" s="67">
        <f>$H144</f>
        <v>141520.33262884998</v>
      </c>
      <c r="BF144" s="67">
        <f>$I144</f>
        <v>0</v>
      </c>
      <c r="BG144" s="67">
        <f>$J144</f>
        <v>128431.871</v>
      </c>
      <c r="BH144" s="67">
        <f>$K144</f>
        <v>0</v>
      </c>
      <c r="BI144" s="67">
        <f>$L144</f>
        <v>113531.5</v>
      </c>
    </row>
    <row r="145" spans="2:61" x14ac:dyDescent="0.3">
      <c r="C145" s="65"/>
      <c r="D145" s="77"/>
      <c r="E145" s="62"/>
      <c r="F145" s="62"/>
      <c r="G145" s="62"/>
      <c r="H145" s="62"/>
      <c r="I145" s="62"/>
      <c r="J145" s="62"/>
      <c r="K145" s="62"/>
      <c r="L145" s="62"/>
      <c r="M145" s="131"/>
      <c r="O145" s="62"/>
      <c r="P145" s="62"/>
      <c r="Q145" s="62"/>
      <c r="R145" s="62"/>
      <c r="S145" s="62"/>
      <c r="T145" s="62"/>
      <c r="U145" s="62"/>
      <c r="V145" s="62"/>
      <c r="W145" s="131"/>
      <c r="Y145" s="62"/>
      <c r="Z145" s="62"/>
      <c r="AA145" s="62"/>
      <c r="AB145" s="62"/>
      <c r="AC145" s="62"/>
      <c r="AD145" s="62"/>
      <c r="AE145" s="62"/>
      <c r="AF145" s="62"/>
      <c r="AH145" s="62"/>
      <c r="AI145" s="62"/>
      <c r="AJ145" s="62"/>
      <c r="AK145" s="62"/>
      <c r="AL145" s="62"/>
      <c r="AM145" s="62"/>
      <c r="AN145" s="62"/>
      <c r="AO145" s="62"/>
      <c r="AQ145" s="62"/>
      <c r="AR145" s="62"/>
      <c r="AS145" s="62"/>
      <c r="AT145" s="62"/>
      <c r="AU145" s="62"/>
      <c r="AV145" s="62"/>
      <c r="AW145" s="62"/>
      <c r="AX145" s="62"/>
      <c r="AY145" s="62"/>
      <c r="AZ145" s="131"/>
      <c r="BB145" s="62"/>
      <c r="BC145" s="62"/>
      <c r="BD145" s="62"/>
      <c r="BE145" s="62"/>
      <c r="BF145" s="62"/>
      <c r="BG145" s="62"/>
      <c r="BH145" s="62"/>
      <c r="BI145" s="62"/>
    </row>
    <row r="146" spans="2:61" ht="13.5" thickBot="1" x14ac:dyDescent="0.35">
      <c r="C146" s="74" t="s">
        <v>52</v>
      </c>
      <c r="D146" s="126"/>
      <c r="E146" s="75">
        <f t="shared" ref="E146:J146" si="111">E135+E143</f>
        <v>0</v>
      </c>
      <c r="F146" s="75">
        <f t="shared" si="111"/>
        <v>5133272.5611147992</v>
      </c>
      <c r="G146" s="75">
        <f t="shared" si="111"/>
        <v>0</v>
      </c>
      <c r="H146" s="75">
        <f t="shared" si="111"/>
        <v>8295311.8460852494</v>
      </c>
      <c r="I146" s="75">
        <f t="shared" si="111"/>
        <v>0</v>
      </c>
      <c r="J146" s="75">
        <f t="shared" si="111"/>
        <v>12069459.2865078</v>
      </c>
      <c r="K146" s="75"/>
      <c r="L146" s="75">
        <f>L135+L143</f>
        <v>8322593.3572588004</v>
      </c>
      <c r="M146" s="191">
        <f>L146/J146-1</f>
        <v>-0.31044190467070421</v>
      </c>
      <c r="O146" s="75">
        <f t="shared" ref="O146:V146" si="112">O135+O143</f>
        <v>0</v>
      </c>
      <c r="P146" s="75">
        <f t="shared" si="112"/>
        <v>5133272.5611147992</v>
      </c>
      <c r="Q146" s="75">
        <f t="shared" si="112"/>
        <v>0</v>
      </c>
      <c r="R146" s="75">
        <f t="shared" si="112"/>
        <v>8295311.8460852494</v>
      </c>
      <c r="S146" s="75">
        <f t="shared" si="112"/>
        <v>0</v>
      </c>
      <c r="T146" s="75">
        <f t="shared" si="112"/>
        <v>12069459.2865078</v>
      </c>
      <c r="U146" s="75">
        <f t="shared" si="112"/>
        <v>0</v>
      </c>
      <c r="V146" s="75">
        <f t="shared" si="112"/>
        <v>8322593.3572588004</v>
      </c>
      <c r="W146" s="191">
        <f>V146/T146-1</f>
        <v>-0.31044190467070421</v>
      </c>
      <c r="Y146" s="75">
        <f t="shared" ref="Y146:AF146" si="113">Y135+Y143</f>
        <v>0</v>
      </c>
      <c r="Z146" s="75">
        <f t="shared" si="113"/>
        <v>5133272.5611147992</v>
      </c>
      <c r="AA146" s="75">
        <f t="shared" si="113"/>
        <v>0</v>
      </c>
      <c r="AB146" s="75">
        <f t="shared" si="113"/>
        <v>8295311.8460852494</v>
      </c>
      <c r="AC146" s="75">
        <f t="shared" si="113"/>
        <v>0</v>
      </c>
      <c r="AD146" s="75">
        <f t="shared" si="113"/>
        <v>12069459.2865078</v>
      </c>
      <c r="AE146" s="75">
        <f t="shared" si="113"/>
        <v>0</v>
      </c>
      <c r="AF146" s="75">
        <f t="shared" si="113"/>
        <v>8322593.3572588004</v>
      </c>
      <c r="AH146" s="75">
        <f t="shared" ref="AH146:AO146" si="114">AH135+AH143</f>
        <v>0</v>
      </c>
      <c r="AI146" s="75">
        <f t="shared" si="114"/>
        <v>5133272.5611147992</v>
      </c>
      <c r="AJ146" s="75">
        <f t="shared" si="114"/>
        <v>0</v>
      </c>
      <c r="AK146" s="75">
        <f t="shared" si="114"/>
        <v>8295311.8460852494</v>
      </c>
      <c r="AL146" s="75">
        <f t="shared" si="114"/>
        <v>0</v>
      </c>
      <c r="AM146" s="75">
        <f t="shared" si="114"/>
        <v>12069459.2865078</v>
      </c>
      <c r="AN146" s="75">
        <f t="shared" si="114"/>
        <v>0</v>
      </c>
      <c r="AO146" s="75">
        <f t="shared" si="114"/>
        <v>8322593.3572588004</v>
      </c>
      <c r="AQ146" s="75">
        <f t="shared" ref="AQ146:AX146" si="115">AQ135+AQ143</f>
        <v>0</v>
      </c>
      <c r="AR146" s="75">
        <f t="shared" si="115"/>
        <v>5133272.5611147992</v>
      </c>
      <c r="AS146" s="75">
        <f t="shared" si="115"/>
        <v>0</v>
      </c>
      <c r="AT146" s="75">
        <f t="shared" si="115"/>
        <v>8295311.8460852494</v>
      </c>
      <c r="AU146" s="75">
        <f t="shared" si="115"/>
        <v>0</v>
      </c>
      <c r="AV146" s="75">
        <f t="shared" si="115"/>
        <v>12069459.2865078</v>
      </c>
      <c r="AW146" s="75">
        <f t="shared" si="115"/>
        <v>0</v>
      </c>
      <c r="AX146" s="75">
        <f t="shared" si="115"/>
        <v>8322593.3572588004</v>
      </c>
      <c r="AY146" s="75"/>
      <c r="AZ146" s="191">
        <f>AX146/AV146-1</f>
        <v>-0.31044190467070421</v>
      </c>
      <c r="BB146" s="75">
        <f t="shared" ref="BB146:BI146" si="116">BB135+BB143</f>
        <v>0</v>
      </c>
      <c r="BC146" s="75">
        <f t="shared" si="116"/>
        <v>5133272.5611147992</v>
      </c>
      <c r="BD146" s="75">
        <f t="shared" si="116"/>
        <v>0</v>
      </c>
      <c r="BE146" s="75">
        <f t="shared" si="116"/>
        <v>8295311.8460852494</v>
      </c>
      <c r="BF146" s="75">
        <f t="shared" si="116"/>
        <v>0</v>
      </c>
      <c r="BG146" s="75">
        <f t="shared" si="116"/>
        <v>12069459.2865078</v>
      </c>
      <c r="BH146" s="75">
        <f t="shared" si="116"/>
        <v>0</v>
      </c>
      <c r="BI146" s="75">
        <f t="shared" si="116"/>
        <v>8322593.3572588004</v>
      </c>
    </row>
    <row r="147" spans="2:61" x14ac:dyDescent="0.3">
      <c r="C147" s="65"/>
      <c r="D147" s="77"/>
      <c r="E147" s="62"/>
      <c r="F147" s="62">
        <f>F146-SUM('Quarterly I.S'!G146:I146)</f>
        <v>0</v>
      </c>
      <c r="G147" s="131"/>
      <c r="H147" s="62">
        <f>H146-SUM('Quarterly I.S'!K146:M146)</f>
        <v>0</v>
      </c>
      <c r="I147" s="131"/>
      <c r="J147" s="62">
        <f>J146-SUM('Quarterly I.S'!O146:Q146)</f>
        <v>0</v>
      </c>
      <c r="K147" s="62"/>
      <c r="L147" s="62">
        <f>L146-SUM('Quarterly I.S'!S146:U146)</f>
        <v>0</v>
      </c>
      <c r="M147" s="131"/>
      <c r="O147" s="62"/>
      <c r="P147" s="62"/>
      <c r="Q147" s="62"/>
      <c r="R147" s="62"/>
      <c r="S147" s="62"/>
      <c r="T147" s="62"/>
      <c r="U147" s="62"/>
      <c r="V147" s="62"/>
      <c r="W147" s="131"/>
      <c r="Y147" s="62"/>
      <c r="Z147" s="62"/>
      <c r="AA147" s="62"/>
      <c r="AB147" s="62"/>
      <c r="AC147" s="62"/>
      <c r="AD147" s="62"/>
      <c r="AE147" s="62"/>
      <c r="AF147" s="62"/>
      <c r="AH147" s="62"/>
      <c r="AI147" s="62"/>
      <c r="AJ147" s="62"/>
      <c r="AK147" s="62"/>
      <c r="AL147" s="62"/>
      <c r="AM147" s="62"/>
      <c r="AN147" s="62"/>
      <c r="AO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131"/>
      <c r="BB147" s="62"/>
      <c r="BC147" s="62"/>
      <c r="BD147" s="62"/>
      <c r="BE147" s="62"/>
      <c r="BF147" s="62"/>
      <c r="BG147" s="62"/>
      <c r="BH147" s="62"/>
      <c r="BI147" s="62"/>
    </row>
    <row r="148" spans="2:61" s="45" customFormat="1" x14ac:dyDescent="0.3">
      <c r="C148" s="93" t="s">
        <v>67</v>
      </c>
      <c r="D148" s="127"/>
      <c r="E148" s="94">
        <f t="shared" ref="E148:J148" si="117">SUM(E149:E150)</f>
        <v>0</v>
      </c>
      <c r="F148" s="94">
        <f t="shared" si="117"/>
        <v>3772584</v>
      </c>
      <c r="G148" s="94">
        <f t="shared" si="117"/>
        <v>0</v>
      </c>
      <c r="H148" s="94">
        <f t="shared" si="117"/>
        <v>4218680.9796900032</v>
      </c>
      <c r="I148" s="94">
        <f t="shared" si="117"/>
        <v>0</v>
      </c>
      <c r="J148" s="94">
        <f t="shared" si="117"/>
        <v>8223149.7357899947</v>
      </c>
      <c r="K148" s="94"/>
      <c r="L148" s="94">
        <f>SUM(L149:L150)</f>
        <v>4086697.5863099997</v>
      </c>
      <c r="M148" s="192">
        <f>L148/J148-1</f>
        <v>-0.50302527405973452</v>
      </c>
      <c r="O148" s="94">
        <f t="shared" ref="O148:V148" si="118">SUM(O149:O150)</f>
        <v>0</v>
      </c>
      <c r="P148" s="94">
        <f t="shared" si="118"/>
        <v>3772584</v>
      </c>
      <c r="Q148" s="94">
        <f t="shared" si="118"/>
        <v>0</v>
      </c>
      <c r="R148" s="94">
        <f t="shared" si="118"/>
        <v>4218680.9796900032</v>
      </c>
      <c r="S148" s="94">
        <f t="shared" si="118"/>
        <v>0</v>
      </c>
      <c r="T148" s="94">
        <f t="shared" si="118"/>
        <v>8223149.7357899947</v>
      </c>
      <c r="U148" s="94">
        <f t="shared" si="118"/>
        <v>0</v>
      </c>
      <c r="V148" s="94">
        <f t="shared" si="118"/>
        <v>4086697.5863099997</v>
      </c>
      <c r="W148" s="192">
        <f>V148/T148-1</f>
        <v>-0.50302527405973452</v>
      </c>
      <c r="Y148" s="94">
        <f t="shared" ref="Y148:AF148" si="119">SUM(Y149:Y150)</f>
        <v>0</v>
      </c>
      <c r="Z148" s="94">
        <f t="shared" si="119"/>
        <v>3772584</v>
      </c>
      <c r="AA148" s="94">
        <f t="shared" si="119"/>
        <v>0</v>
      </c>
      <c r="AB148" s="94">
        <f t="shared" si="119"/>
        <v>4218680.9796900032</v>
      </c>
      <c r="AC148" s="94">
        <f t="shared" si="119"/>
        <v>0</v>
      </c>
      <c r="AD148" s="94">
        <f t="shared" si="119"/>
        <v>8223149.7357899947</v>
      </c>
      <c r="AE148" s="94">
        <f t="shared" si="119"/>
        <v>0</v>
      </c>
      <c r="AF148" s="94">
        <f t="shared" si="119"/>
        <v>4086697.5863099997</v>
      </c>
      <c r="AH148" s="94">
        <f t="shared" ref="AH148:AO148" si="120">SUM(AH149:AH150)</f>
        <v>0</v>
      </c>
      <c r="AI148" s="94">
        <f t="shared" si="120"/>
        <v>3772584</v>
      </c>
      <c r="AJ148" s="94">
        <f t="shared" si="120"/>
        <v>0</v>
      </c>
      <c r="AK148" s="94">
        <f t="shared" si="120"/>
        <v>4218680.9796900032</v>
      </c>
      <c r="AL148" s="94">
        <f t="shared" si="120"/>
        <v>0</v>
      </c>
      <c r="AM148" s="94">
        <f t="shared" si="120"/>
        <v>8223149.7357899947</v>
      </c>
      <c r="AN148" s="94">
        <f t="shared" si="120"/>
        <v>0</v>
      </c>
      <c r="AO148" s="94">
        <f t="shared" si="120"/>
        <v>4086697.5863099997</v>
      </c>
      <c r="AQ148" s="94">
        <f t="shared" ref="AQ148:AX148" si="121">SUM(AQ149:AQ150)</f>
        <v>0</v>
      </c>
      <c r="AR148" s="94">
        <f t="shared" si="121"/>
        <v>3772584</v>
      </c>
      <c r="AS148" s="94">
        <f t="shared" si="121"/>
        <v>0</v>
      </c>
      <c r="AT148" s="94">
        <f t="shared" si="121"/>
        <v>4218680.9796900032</v>
      </c>
      <c r="AU148" s="94">
        <f t="shared" si="121"/>
        <v>0</v>
      </c>
      <c r="AV148" s="94">
        <f t="shared" si="121"/>
        <v>8223149.7357899947</v>
      </c>
      <c r="AW148" s="94">
        <f t="shared" si="121"/>
        <v>0</v>
      </c>
      <c r="AX148" s="94">
        <f t="shared" si="121"/>
        <v>4086697.5863099997</v>
      </c>
      <c r="AY148" s="94"/>
      <c r="AZ148" s="192">
        <f>AX148/AV148-1</f>
        <v>-0.50302527405973452</v>
      </c>
      <c r="BB148" s="94">
        <f t="shared" ref="BB148:BI148" si="122">SUM(BB149:BB150)</f>
        <v>0</v>
      </c>
      <c r="BC148" s="94">
        <f t="shared" si="122"/>
        <v>3772584</v>
      </c>
      <c r="BD148" s="94">
        <f t="shared" si="122"/>
        <v>0</v>
      </c>
      <c r="BE148" s="94">
        <f t="shared" si="122"/>
        <v>4218680.9796900032</v>
      </c>
      <c r="BF148" s="94">
        <f t="shared" si="122"/>
        <v>0</v>
      </c>
      <c r="BG148" s="94">
        <f t="shared" si="122"/>
        <v>8223149.7357899947</v>
      </c>
      <c r="BH148" s="94">
        <f t="shared" si="122"/>
        <v>0</v>
      </c>
      <c r="BI148" s="94">
        <f t="shared" si="122"/>
        <v>4086697.5863099997</v>
      </c>
    </row>
    <row r="149" spans="2:61" x14ac:dyDescent="0.3">
      <c r="C149" s="36" t="s">
        <v>68</v>
      </c>
      <c r="E149" s="97"/>
      <c r="F149" s="97">
        <f>SUM('Quarterly I.S'!G149:I149)</f>
        <v>3276152</v>
      </c>
      <c r="G149" s="97"/>
      <c r="H149" s="97">
        <f>SUM('Quarterly I.S'!K149:M149)</f>
        <v>4066246.3353700032</v>
      </c>
      <c r="I149" s="97"/>
      <c r="J149" s="97">
        <f>SUM('Quarterly I.S'!O149:Q149)</f>
        <v>8102192.5399199948</v>
      </c>
      <c r="K149" s="97"/>
      <c r="L149" s="97">
        <f>SUM('Quarterly I.S'!S149:U149)</f>
        <v>4055091.7355699996</v>
      </c>
      <c r="M149" s="190"/>
      <c r="O149" s="92">
        <f>$E149</f>
        <v>0</v>
      </c>
      <c r="P149" s="92">
        <f>$F149</f>
        <v>3276152</v>
      </c>
      <c r="Q149" s="92">
        <f>$G149</f>
        <v>0</v>
      </c>
      <c r="R149" s="92">
        <f>$H149</f>
        <v>4066246.3353700032</v>
      </c>
      <c r="S149" s="92">
        <f>$I149</f>
        <v>0</v>
      </c>
      <c r="T149" s="92">
        <f>$J149</f>
        <v>8102192.5399199948</v>
      </c>
      <c r="U149" s="92">
        <f>$K149</f>
        <v>0</v>
      </c>
      <c r="V149" s="92">
        <f>$L149</f>
        <v>4055091.7355699996</v>
      </c>
      <c r="W149" s="190"/>
      <c r="Y149" s="92">
        <f>$E149</f>
        <v>0</v>
      </c>
      <c r="Z149" s="92">
        <f>$F149</f>
        <v>3276152</v>
      </c>
      <c r="AA149" s="92">
        <f>$G149</f>
        <v>0</v>
      </c>
      <c r="AB149" s="92">
        <f>$H149</f>
        <v>4066246.3353700032</v>
      </c>
      <c r="AC149" s="92">
        <f>$I149</f>
        <v>0</v>
      </c>
      <c r="AD149" s="92">
        <f>$J149</f>
        <v>8102192.5399199948</v>
      </c>
      <c r="AE149" s="92">
        <f>$K149</f>
        <v>0</v>
      </c>
      <c r="AF149" s="92">
        <f>$L149</f>
        <v>4055091.7355699996</v>
      </c>
      <c r="AH149" s="92">
        <f>$E149</f>
        <v>0</v>
      </c>
      <c r="AI149" s="92">
        <f>$F149</f>
        <v>3276152</v>
      </c>
      <c r="AJ149" s="92">
        <f>$G149</f>
        <v>0</v>
      </c>
      <c r="AK149" s="92">
        <f>$H149</f>
        <v>4066246.3353700032</v>
      </c>
      <c r="AL149" s="92">
        <f>$I149</f>
        <v>0</v>
      </c>
      <c r="AM149" s="92">
        <f>$J149</f>
        <v>8102192.5399199948</v>
      </c>
      <c r="AN149" s="92">
        <f>$K149</f>
        <v>0</v>
      </c>
      <c r="AO149" s="92">
        <f>$L149</f>
        <v>4055091.7355699996</v>
      </c>
      <c r="AQ149" s="92">
        <f>$E149</f>
        <v>0</v>
      </c>
      <c r="AR149" s="92">
        <f>$F149</f>
        <v>3276152</v>
      </c>
      <c r="AS149" s="92">
        <f>$G149</f>
        <v>0</v>
      </c>
      <c r="AT149" s="92">
        <f>$H149</f>
        <v>4066246.3353700032</v>
      </c>
      <c r="AU149" s="92">
        <f>$I149</f>
        <v>0</v>
      </c>
      <c r="AV149" s="92">
        <f>$J149</f>
        <v>8102192.5399199948</v>
      </c>
      <c r="AW149" s="92">
        <f>$K149</f>
        <v>0</v>
      </c>
      <c r="AX149" s="92">
        <f>$L149</f>
        <v>4055091.7355699996</v>
      </c>
      <c r="AY149" s="92"/>
      <c r="AZ149" s="190"/>
      <c r="BB149" s="92">
        <f>$E149</f>
        <v>0</v>
      </c>
      <c r="BC149" s="92">
        <f>$F149</f>
        <v>3276152</v>
      </c>
      <c r="BD149" s="92">
        <f>$G149</f>
        <v>0</v>
      </c>
      <c r="BE149" s="92">
        <f>$H149</f>
        <v>4066246.3353700032</v>
      </c>
      <c r="BF149" s="92">
        <f>$I149</f>
        <v>0</v>
      </c>
      <c r="BG149" s="92">
        <f>$J149</f>
        <v>8102192.5399199948</v>
      </c>
      <c r="BH149" s="92">
        <f>$K149</f>
        <v>0</v>
      </c>
      <c r="BI149" s="92">
        <f>$L149</f>
        <v>4055091.7355699996</v>
      </c>
    </row>
    <row r="150" spans="2:61" x14ac:dyDescent="0.3">
      <c r="C150" s="36" t="s">
        <v>121</v>
      </c>
      <c r="E150" s="97"/>
      <c r="F150" s="97">
        <f>SUM('Quarterly I.S'!G150:I150)</f>
        <v>496432</v>
      </c>
      <c r="G150" s="97"/>
      <c r="H150" s="97">
        <f>SUM('Quarterly I.S'!K150:M150)</f>
        <v>152434.64431999999</v>
      </c>
      <c r="I150" s="97"/>
      <c r="J150" s="97">
        <f>SUM('Quarterly I.S'!O150:Q150)</f>
        <v>120957.19587</v>
      </c>
      <c r="K150" s="97"/>
      <c r="L150" s="97">
        <f>SUM('Quarterly I.S'!S150:U150)</f>
        <v>31605.850740000002</v>
      </c>
      <c r="M150" s="190"/>
      <c r="O150" s="92">
        <f>$E150</f>
        <v>0</v>
      </c>
      <c r="P150" s="92">
        <f>$F150</f>
        <v>496432</v>
      </c>
      <c r="Q150" s="92">
        <f>$G150</f>
        <v>0</v>
      </c>
      <c r="R150" s="92">
        <f>$H150</f>
        <v>152434.64431999999</v>
      </c>
      <c r="S150" s="92">
        <f>$I150</f>
        <v>0</v>
      </c>
      <c r="T150" s="92">
        <f>$J150</f>
        <v>120957.19587</v>
      </c>
      <c r="U150" s="92">
        <f>$K150</f>
        <v>0</v>
      </c>
      <c r="V150" s="92">
        <f>$L150</f>
        <v>31605.850740000002</v>
      </c>
      <c r="W150" s="190"/>
      <c r="Y150" s="92">
        <f>$E150</f>
        <v>0</v>
      </c>
      <c r="Z150" s="92">
        <f>$F150</f>
        <v>496432</v>
      </c>
      <c r="AA150" s="92">
        <f>$G150</f>
        <v>0</v>
      </c>
      <c r="AB150" s="92">
        <f>$H150</f>
        <v>152434.64431999999</v>
      </c>
      <c r="AC150" s="92">
        <f>$I150</f>
        <v>0</v>
      </c>
      <c r="AD150" s="92">
        <f>$J150</f>
        <v>120957.19587</v>
      </c>
      <c r="AE150" s="92">
        <f>$K150</f>
        <v>0</v>
      </c>
      <c r="AF150" s="92">
        <f>$L150</f>
        <v>31605.850740000002</v>
      </c>
      <c r="AH150" s="92">
        <f>$E150</f>
        <v>0</v>
      </c>
      <c r="AI150" s="92">
        <f>$F150</f>
        <v>496432</v>
      </c>
      <c r="AJ150" s="92">
        <f>$G150</f>
        <v>0</v>
      </c>
      <c r="AK150" s="92">
        <f>$H150</f>
        <v>152434.64431999999</v>
      </c>
      <c r="AL150" s="92">
        <f>$I150</f>
        <v>0</v>
      </c>
      <c r="AM150" s="92">
        <f>$J150</f>
        <v>120957.19587</v>
      </c>
      <c r="AN150" s="92">
        <f>$K150</f>
        <v>0</v>
      </c>
      <c r="AO150" s="92">
        <f>$L150</f>
        <v>31605.850740000002</v>
      </c>
      <c r="AQ150" s="92">
        <f>$E150</f>
        <v>0</v>
      </c>
      <c r="AR150" s="92">
        <f>$F150</f>
        <v>496432</v>
      </c>
      <c r="AS150" s="92">
        <f>$G150</f>
        <v>0</v>
      </c>
      <c r="AT150" s="92">
        <f>$H150</f>
        <v>152434.64431999999</v>
      </c>
      <c r="AU150" s="92">
        <f>$I150</f>
        <v>0</v>
      </c>
      <c r="AV150" s="92">
        <f>$J150</f>
        <v>120957.19587</v>
      </c>
      <c r="AW150" s="92">
        <f>$K150</f>
        <v>0</v>
      </c>
      <c r="AX150" s="92">
        <f>$L150</f>
        <v>31605.850740000002</v>
      </c>
      <c r="AY150" s="92"/>
      <c r="AZ150" s="190"/>
      <c r="BB150" s="92">
        <f>$E150</f>
        <v>0</v>
      </c>
      <c r="BC150" s="92">
        <f>$F150</f>
        <v>496432</v>
      </c>
      <c r="BD150" s="92">
        <f>$G150</f>
        <v>0</v>
      </c>
      <c r="BE150" s="92">
        <f>$H150</f>
        <v>152434.64431999999</v>
      </c>
      <c r="BF150" s="92">
        <f>$I150</f>
        <v>0</v>
      </c>
      <c r="BG150" s="92">
        <f>$J150</f>
        <v>120957.19587</v>
      </c>
      <c r="BH150" s="92">
        <f>$K150</f>
        <v>0</v>
      </c>
      <c r="BI150" s="92">
        <f>$L150</f>
        <v>31605.850740000002</v>
      </c>
    </row>
    <row r="151" spans="2:61" x14ac:dyDescent="0.3">
      <c r="C151" s="71"/>
      <c r="D151" s="120"/>
      <c r="E151" s="68"/>
      <c r="F151" s="68"/>
      <c r="G151" s="68"/>
      <c r="H151" s="68"/>
      <c r="I151" s="68"/>
      <c r="J151" s="68"/>
      <c r="K151" s="68"/>
      <c r="L151" s="68"/>
      <c r="M151" s="193"/>
      <c r="O151" s="70"/>
      <c r="P151" s="70"/>
      <c r="Q151" s="70"/>
      <c r="R151" s="70"/>
      <c r="S151" s="70"/>
      <c r="T151" s="70"/>
      <c r="U151" s="70"/>
      <c r="V151" s="70"/>
      <c r="W151" s="193"/>
      <c r="Y151" s="70"/>
      <c r="Z151" s="70"/>
      <c r="AA151" s="70"/>
      <c r="AB151" s="70"/>
      <c r="AC151" s="70"/>
      <c r="AD151" s="70"/>
      <c r="AE151" s="70"/>
      <c r="AF151" s="70"/>
      <c r="AH151" s="70"/>
      <c r="AI151" s="70"/>
      <c r="AJ151" s="70"/>
      <c r="AK151" s="70"/>
      <c r="AL151" s="70"/>
      <c r="AM151" s="70"/>
      <c r="AN151" s="70"/>
      <c r="AO151" s="70"/>
      <c r="AQ151" s="70"/>
      <c r="AR151" s="70"/>
      <c r="AS151" s="70"/>
      <c r="AT151" s="70"/>
      <c r="AU151" s="70"/>
      <c r="AV151" s="70"/>
      <c r="AW151" s="70"/>
      <c r="AX151" s="70"/>
      <c r="AY151" s="70"/>
      <c r="AZ151" s="193"/>
      <c r="BB151" s="70"/>
      <c r="BC151" s="70"/>
      <c r="BD151" s="70"/>
      <c r="BE151" s="70"/>
      <c r="BF151" s="70"/>
      <c r="BG151" s="70"/>
      <c r="BH151" s="70"/>
      <c r="BI151" s="70"/>
    </row>
    <row r="152" spans="2:61" s="35" customFormat="1" x14ac:dyDescent="0.3">
      <c r="B152" s="33"/>
      <c r="C152" s="63" t="s">
        <v>115</v>
      </c>
      <c r="D152" s="63"/>
      <c r="E152" s="34"/>
      <c r="F152" s="34"/>
      <c r="G152" s="34"/>
      <c r="H152" s="34"/>
      <c r="I152" s="34"/>
      <c r="J152" s="34"/>
      <c r="K152" s="34"/>
      <c r="L152" s="34"/>
      <c r="M152" s="168"/>
      <c r="O152" s="34"/>
      <c r="P152" s="34"/>
      <c r="Q152" s="34"/>
      <c r="R152" s="34"/>
      <c r="S152" s="34"/>
      <c r="T152" s="34"/>
      <c r="U152" s="34"/>
      <c r="V152" s="34"/>
      <c r="W152" s="168"/>
      <c r="Y152" s="34"/>
      <c r="Z152" s="34"/>
      <c r="AA152" s="34"/>
      <c r="AB152" s="34"/>
      <c r="AC152" s="34"/>
      <c r="AD152" s="34"/>
      <c r="AE152" s="34"/>
      <c r="AF152" s="34"/>
      <c r="AH152" s="34"/>
      <c r="AI152" s="34"/>
      <c r="AJ152" s="34"/>
      <c r="AK152" s="34"/>
      <c r="AL152" s="34"/>
      <c r="AM152" s="34"/>
      <c r="AN152" s="34"/>
      <c r="AO152" s="34"/>
      <c r="AQ152" s="34"/>
      <c r="AR152" s="34"/>
      <c r="AS152" s="34"/>
      <c r="AT152" s="34"/>
      <c r="AU152" s="34"/>
      <c r="AV152" s="34"/>
      <c r="AW152" s="34"/>
      <c r="AX152" s="34"/>
      <c r="AY152" s="34"/>
      <c r="AZ152" s="168"/>
      <c r="BB152" s="34"/>
      <c r="BC152" s="34"/>
      <c r="BD152" s="34"/>
      <c r="BE152" s="34"/>
      <c r="BF152" s="34"/>
      <c r="BG152" s="34"/>
      <c r="BH152" s="34"/>
      <c r="BI152" s="34"/>
    </row>
    <row r="153" spans="2:61" x14ac:dyDescent="0.3">
      <c r="C153" s="79" t="s">
        <v>111</v>
      </c>
      <c r="D153" s="121"/>
      <c r="E153" s="48">
        <f t="shared" ref="E153:L153" si="123">SUM(E154)</f>
        <v>0</v>
      </c>
      <c r="F153" s="48">
        <f t="shared" si="123"/>
        <v>1958268.388</v>
      </c>
      <c r="G153" s="48">
        <f t="shared" si="123"/>
        <v>0</v>
      </c>
      <c r="H153" s="48">
        <f t="shared" si="123"/>
        <v>4733320.3119999999</v>
      </c>
      <c r="I153" s="48">
        <f t="shared" si="123"/>
        <v>0</v>
      </c>
      <c r="J153" s="48">
        <f t="shared" si="123"/>
        <v>7013374.5851600002</v>
      </c>
      <c r="K153" s="48">
        <f t="shared" si="123"/>
        <v>0</v>
      </c>
      <c r="L153" s="48">
        <f t="shared" si="123"/>
        <v>7530801.2247399995</v>
      </c>
      <c r="M153" s="173">
        <f>L153/J153-1</f>
        <v>7.3777128726997043E-2</v>
      </c>
      <c r="O153" s="100">
        <f t="shared" ref="O153:BI153" si="124">O154</f>
        <v>0</v>
      </c>
      <c r="P153" s="100">
        <f t="shared" si="124"/>
        <v>1958268.388</v>
      </c>
      <c r="Q153" s="100">
        <f t="shared" si="124"/>
        <v>0</v>
      </c>
      <c r="R153" s="100">
        <f t="shared" si="124"/>
        <v>4733320.3119999999</v>
      </c>
      <c r="S153" s="100">
        <f t="shared" si="124"/>
        <v>0</v>
      </c>
      <c r="T153" s="100">
        <f t="shared" si="124"/>
        <v>7013374.5851600002</v>
      </c>
      <c r="U153" s="100">
        <f t="shared" si="124"/>
        <v>0</v>
      </c>
      <c r="V153" s="100">
        <f t="shared" si="124"/>
        <v>7530801.2247399995</v>
      </c>
      <c r="W153" s="173">
        <f>V153/T153-1</f>
        <v>7.3777128726997043E-2</v>
      </c>
      <c r="Y153" s="100">
        <f t="shared" si="124"/>
        <v>0</v>
      </c>
      <c r="Z153" s="100">
        <f t="shared" si="124"/>
        <v>1958268.388</v>
      </c>
      <c r="AA153" s="100">
        <f t="shared" si="124"/>
        <v>0</v>
      </c>
      <c r="AB153" s="100">
        <f t="shared" si="124"/>
        <v>4733320.3119999999</v>
      </c>
      <c r="AC153" s="100">
        <f t="shared" si="124"/>
        <v>0</v>
      </c>
      <c r="AD153" s="100">
        <f t="shared" si="124"/>
        <v>7013374.5851600002</v>
      </c>
      <c r="AE153" s="100">
        <f t="shared" si="124"/>
        <v>0</v>
      </c>
      <c r="AF153" s="100">
        <f t="shared" si="124"/>
        <v>7530801.2247399995</v>
      </c>
      <c r="AH153" s="100">
        <f t="shared" si="124"/>
        <v>0</v>
      </c>
      <c r="AI153" s="100">
        <f t="shared" si="124"/>
        <v>1958268.388</v>
      </c>
      <c r="AJ153" s="100">
        <f t="shared" si="124"/>
        <v>0</v>
      </c>
      <c r="AK153" s="100">
        <f t="shared" si="124"/>
        <v>4733320.3119999999</v>
      </c>
      <c r="AL153" s="100">
        <f t="shared" si="124"/>
        <v>0</v>
      </c>
      <c r="AM153" s="100">
        <f t="shared" si="124"/>
        <v>7013374.5851600002</v>
      </c>
      <c r="AN153" s="100">
        <f t="shared" si="124"/>
        <v>0</v>
      </c>
      <c r="AO153" s="100">
        <f t="shared" si="124"/>
        <v>7530801.2247399995</v>
      </c>
      <c r="AQ153" s="100">
        <f t="shared" si="124"/>
        <v>0</v>
      </c>
      <c r="AR153" s="100">
        <f t="shared" si="124"/>
        <v>1958268.388</v>
      </c>
      <c r="AS153" s="100">
        <f t="shared" si="124"/>
        <v>0</v>
      </c>
      <c r="AT153" s="100">
        <f t="shared" si="124"/>
        <v>4733320.3119999999</v>
      </c>
      <c r="AU153" s="100">
        <f t="shared" si="124"/>
        <v>0</v>
      </c>
      <c r="AV153" s="100">
        <f t="shared" si="124"/>
        <v>7013374.5851600002</v>
      </c>
      <c r="AW153" s="100">
        <f t="shared" si="124"/>
        <v>0</v>
      </c>
      <c r="AX153" s="100">
        <f t="shared" si="124"/>
        <v>7530801.2247399995</v>
      </c>
      <c r="AY153" s="100"/>
      <c r="AZ153" s="173">
        <f>AX153/AV153-1</f>
        <v>7.3777128726997043E-2</v>
      </c>
      <c r="BB153" s="100">
        <f t="shared" si="124"/>
        <v>0</v>
      </c>
      <c r="BC153" s="100">
        <f t="shared" si="124"/>
        <v>1958268.388</v>
      </c>
      <c r="BD153" s="100">
        <f t="shared" si="124"/>
        <v>0</v>
      </c>
      <c r="BE153" s="100">
        <f t="shared" si="124"/>
        <v>4733320.3119999999</v>
      </c>
      <c r="BF153" s="100">
        <f t="shared" si="124"/>
        <v>0</v>
      </c>
      <c r="BG153" s="100">
        <f t="shared" si="124"/>
        <v>7013374.5851600002</v>
      </c>
      <c r="BH153" s="100">
        <f t="shared" si="124"/>
        <v>0</v>
      </c>
      <c r="BI153" s="100">
        <f t="shared" si="124"/>
        <v>7530801.2247399995</v>
      </c>
    </row>
    <row r="154" spans="2:61" x14ac:dyDescent="0.3">
      <c r="C154" s="65" t="s">
        <v>112</v>
      </c>
      <c r="D154" s="77">
        <v>37</v>
      </c>
      <c r="E154" s="97"/>
      <c r="F154" s="97">
        <f>'Quarterly I.S'!I154</f>
        <v>1958268.388</v>
      </c>
      <c r="G154" s="97"/>
      <c r="H154" s="97">
        <f>'Quarterly I.S'!M154</f>
        <v>4733320.3119999999</v>
      </c>
      <c r="I154" s="97"/>
      <c r="J154" s="97">
        <f>'Quarterly I.S'!Q154</f>
        <v>7013374.5851600002</v>
      </c>
      <c r="K154" s="97"/>
      <c r="L154" s="97">
        <f>'Quarterly I.S'!U154</f>
        <v>7530801.2247399995</v>
      </c>
      <c r="M154" s="190"/>
      <c r="O154" s="67">
        <f>$E154</f>
        <v>0</v>
      </c>
      <c r="P154" s="67">
        <f>$F154</f>
        <v>1958268.388</v>
      </c>
      <c r="Q154" s="67">
        <f>$G154</f>
        <v>0</v>
      </c>
      <c r="R154" s="67">
        <f>$H154</f>
        <v>4733320.3119999999</v>
      </c>
      <c r="S154" s="67">
        <f>$I154</f>
        <v>0</v>
      </c>
      <c r="T154" s="67">
        <f>$J154</f>
        <v>7013374.5851600002</v>
      </c>
      <c r="U154" s="67">
        <f>$K154</f>
        <v>0</v>
      </c>
      <c r="V154" s="67">
        <f>$L154</f>
        <v>7530801.2247399995</v>
      </c>
      <c r="W154" s="190"/>
      <c r="X154" s="64"/>
      <c r="Y154" s="67">
        <f>$E154</f>
        <v>0</v>
      </c>
      <c r="Z154" s="67">
        <f>$F154</f>
        <v>1958268.388</v>
      </c>
      <c r="AA154" s="67">
        <f>$G154</f>
        <v>0</v>
      </c>
      <c r="AB154" s="67">
        <f>$H154</f>
        <v>4733320.3119999999</v>
      </c>
      <c r="AC154" s="67">
        <f>$I154</f>
        <v>0</v>
      </c>
      <c r="AD154" s="67">
        <f>$J154</f>
        <v>7013374.5851600002</v>
      </c>
      <c r="AE154" s="67">
        <f>$K154</f>
        <v>0</v>
      </c>
      <c r="AF154" s="67">
        <f>$L154</f>
        <v>7530801.2247399995</v>
      </c>
      <c r="AG154" s="64"/>
      <c r="AH154" s="67">
        <f>$E154</f>
        <v>0</v>
      </c>
      <c r="AI154" s="67">
        <f>$F154</f>
        <v>1958268.388</v>
      </c>
      <c r="AJ154" s="67">
        <f>$G154</f>
        <v>0</v>
      </c>
      <c r="AK154" s="67">
        <f>$H154</f>
        <v>4733320.3119999999</v>
      </c>
      <c r="AL154" s="67">
        <f>$I154</f>
        <v>0</v>
      </c>
      <c r="AM154" s="67">
        <f>$J154</f>
        <v>7013374.5851600002</v>
      </c>
      <c r="AN154" s="67">
        <f>$K154</f>
        <v>0</v>
      </c>
      <c r="AO154" s="67">
        <f>$L154</f>
        <v>7530801.2247399995</v>
      </c>
      <c r="AP154" s="64"/>
      <c r="AQ154" s="67">
        <f>$E154</f>
        <v>0</v>
      </c>
      <c r="AR154" s="67">
        <f>$F154</f>
        <v>1958268.388</v>
      </c>
      <c r="AS154" s="67">
        <f>$G154</f>
        <v>0</v>
      </c>
      <c r="AT154" s="67">
        <f>$H154</f>
        <v>4733320.3119999999</v>
      </c>
      <c r="AU154" s="67">
        <f>$I154</f>
        <v>0</v>
      </c>
      <c r="AV154" s="67">
        <f>$J154</f>
        <v>7013374.5851600002</v>
      </c>
      <c r="AW154" s="67">
        <f>$K154</f>
        <v>0</v>
      </c>
      <c r="AX154" s="67">
        <f>$L154</f>
        <v>7530801.2247399995</v>
      </c>
      <c r="AY154" s="67"/>
      <c r="AZ154" s="190"/>
      <c r="BA154" s="64"/>
      <c r="BB154" s="67">
        <f>$E154</f>
        <v>0</v>
      </c>
      <c r="BC154" s="67">
        <f>$F154</f>
        <v>1958268.388</v>
      </c>
      <c r="BD154" s="67">
        <f>$G154</f>
        <v>0</v>
      </c>
      <c r="BE154" s="67">
        <f>$H154</f>
        <v>4733320.3119999999</v>
      </c>
      <c r="BF154" s="67">
        <f>$I154</f>
        <v>0</v>
      </c>
      <c r="BG154" s="67">
        <f>$J154</f>
        <v>7013374.5851600002</v>
      </c>
      <c r="BH154" s="67">
        <f>$K154</f>
        <v>0</v>
      </c>
      <c r="BI154" s="67">
        <f>$L154</f>
        <v>7530801.2247399995</v>
      </c>
    </row>
    <row r="155" spans="2:61" x14ac:dyDescent="0.3">
      <c r="C155" s="65"/>
      <c r="D155" s="77"/>
      <c r="E155" s="41"/>
      <c r="F155" s="41"/>
      <c r="G155" s="41"/>
      <c r="H155" s="41"/>
      <c r="I155" s="41"/>
      <c r="J155" s="41"/>
      <c r="K155" s="41"/>
      <c r="L155" s="41"/>
      <c r="M155" s="169"/>
      <c r="O155" s="40"/>
      <c r="P155" s="40"/>
      <c r="Q155" s="40"/>
      <c r="R155" s="40"/>
      <c r="S155" s="40"/>
      <c r="T155" s="40"/>
      <c r="U155" s="40"/>
      <c r="V155" s="40"/>
      <c r="W155" s="169"/>
      <c r="Y155" s="40"/>
      <c r="Z155" s="40"/>
      <c r="AA155" s="40"/>
      <c r="AB155" s="40"/>
      <c r="AC155" s="40"/>
      <c r="AD155" s="40"/>
      <c r="AE155" s="40"/>
      <c r="AF155" s="40"/>
      <c r="AH155" s="40"/>
      <c r="AI155" s="40"/>
      <c r="AJ155" s="40"/>
      <c r="AK155" s="40"/>
      <c r="AL155" s="40"/>
      <c r="AM155" s="40"/>
      <c r="AN155" s="40"/>
      <c r="AO155" s="40"/>
      <c r="AQ155" s="40"/>
      <c r="AR155" s="40"/>
      <c r="AS155" s="40"/>
      <c r="AT155" s="40"/>
      <c r="AU155" s="40"/>
      <c r="AV155" s="40"/>
      <c r="AW155" s="40"/>
      <c r="AX155" s="40"/>
      <c r="AY155" s="40"/>
      <c r="AZ155" s="169"/>
      <c r="BB155" s="40"/>
      <c r="BC155" s="40"/>
      <c r="BD155" s="40"/>
      <c r="BE155" s="40"/>
      <c r="BF155" s="40"/>
      <c r="BG155" s="40"/>
      <c r="BH155" s="40"/>
      <c r="BI155" s="40"/>
    </row>
    <row r="156" spans="2:61" x14ac:dyDescent="0.3">
      <c r="C156" s="80" t="s">
        <v>114</v>
      </c>
      <c r="D156" s="122"/>
      <c r="E156" s="48">
        <f t="shared" ref="E156:J156" si="125">SUM(E157:E160)</f>
        <v>0</v>
      </c>
      <c r="F156" s="48">
        <f t="shared" si="125"/>
        <v>7497299.0793241635</v>
      </c>
      <c r="G156" s="48">
        <f t="shared" si="125"/>
        <v>0</v>
      </c>
      <c r="H156" s="48">
        <f t="shared" si="125"/>
        <v>8296874.3771767002</v>
      </c>
      <c r="I156" s="48">
        <f t="shared" si="125"/>
        <v>0</v>
      </c>
      <c r="J156" s="48">
        <f t="shared" si="125"/>
        <v>14362005.461184949</v>
      </c>
      <c r="K156" s="48">
        <f>SUM(K157:K160)</f>
        <v>0</v>
      </c>
      <c r="L156" s="48">
        <f>SUM(L157:L160)</f>
        <v>13049129.769865882</v>
      </c>
      <c r="M156" s="173">
        <f>L156/J156-1</f>
        <v>-9.1413117399744226E-2</v>
      </c>
      <c r="O156" s="100">
        <f t="shared" ref="O156:T156" si="126">SUM(O157:O160)</f>
        <v>0</v>
      </c>
      <c r="P156" s="100">
        <f t="shared" si="126"/>
        <v>7497299.0793241635</v>
      </c>
      <c r="Q156" s="100">
        <f t="shared" si="126"/>
        <v>0</v>
      </c>
      <c r="R156" s="100">
        <f t="shared" si="126"/>
        <v>8296874.3771767002</v>
      </c>
      <c r="S156" s="100">
        <f t="shared" si="126"/>
        <v>0</v>
      </c>
      <c r="T156" s="100">
        <f t="shared" si="126"/>
        <v>14362005.461184949</v>
      </c>
      <c r="U156" s="100">
        <f>SUM(U157:U160)</f>
        <v>0</v>
      </c>
      <c r="V156" s="100">
        <f>SUM(V157:V160)</f>
        <v>13049129.769865882</v>
      </c>
      <c r="W156" s="173">
        <f>V156/T156-1</f>
        <v>-9.1413117399744226E-2</v>
      </c>
      <c r="Y156" s="100">
        <f t="shared" ref="Y156:AF156" si="127">SUM(Y157:Y160)</f>
        <v>0</v>
      </c>
      <c r="Z156" s="100">
        <f t="shared" si="127"/>
        <v>7497299.0793241635</v>
      </c>
      <c r="AA156" s="100">
        <f t="shared" si="127"/>
        <v>0</v>
      </c>
      <c r="AB156" s="100">
        <f t="shared" si="127"/>
        <v>8296874.3771767002</v>
      </c>
      <c r="AC156" s="100">
        <f t="shared" si="127"/>
        <v>0</v>
      </c>
      <c r="AD156" s="100">
        <f t="shared" si="127"/>
        <v>14362005.461184949</v>
      </c>
      <c r="AE156" s="100">
        <f t="shared" si="127"/>
        <v>0</v>
      </c>
      <c r="AF156" s="100">
        <f t="shared" si="127"/>
        <v>13049129.769865882</v>
      </c>
      <c r="AG156" s="100"/>
      <c r="AH156" s="100">
        <f t="shared" ref="AH156:AO156" si="128">SUM(AH157:AH160)</f>
        <v>0</v>
      </c>
      <c r="AI156" s="100">
        <f t="shared" si="128"/>
        <v>7497299.0793241635</v>
      </c>
      <c r="AJ156" s="100">
        <f t="shared" si="128"/>
        <v>0</v>
      </c>
      <c r="AK156" s="100">
        <f t="shared" si="128"/>
        <v>8296874.3771767002</v>
      </c>
      <c r="AL156" s="100">
        <f t="shared" si="128"/>
        <v>0</v>
      </c>
      <c r="AM156" s="100">
        <f t="shared" si="128"/>
        <v>14362005.461184949</v>
      </c>
      <c r="AN156" s="100">
        <f t="shared" si="128"/>
        <v>0</v>
      </c>
      <c r="AO156" s="100">
        <f t="shared" si="128"/>
        <v>13049129.769865882</v>
      </c>
      <c r="AP156" s="100"/>
      <c r="AQ156" s="100">
        <f t="shared" ref="AQ156:AX156" si="129">SUM(AQ157:AQ160)</f>
        <v>0</v>
      </c>
      <c r="AR156" s="100">
        <f t="shared" si="129"/>
        <v>7497299.0793241635</v>
      </c>
      <c r="AS156" s="100">
        <f t="shared" si="129"/>
        <v>0</v>
      </c>
      <c r="AT156" s="100">
        <f t="shared" si="129"/>
        <v>8296874.3771767002</v>
      </c>
      <c r="AU156" s="100">
        <f t="shared" si="129"/>
        <v>0</v>
      </c>
      <c r="AV156" s="100">
        <f t="shared" si="129"/>
        <v>14362005.461184949</v>
      </c>
      <c r="AW156" s="100">
        <f t="shared" si="129"/>
        <v>0</v>
      </c>
      <c r="AX156" s="100">
        <f t="shared" si="129"/>
        <v>13049129.769865882</v>
      </c>
      <c r="AY156" s="100"/>
      <c r="AZ156" s="173">
        <f>AX156/AV156-1</f>
        <v>-9.1413117399744226E-2</v>
      </c>
      <c r="BA156" s="100"/>
      <c r="BB156" s="100">
        <f t="shared" ref="BB156:BI156" si="130">SUM(BB157:BB160)</f>
        <v>0</v>
      </c>
      <c r="BC156" s="100">
        <f t="shared" si="130"/>
        <v>7497299.0793241635</v>
      </c>
      <c r="BD156" s="100">
        <f t="shared" si="130"/>
        <v>0</v>
      </c>
      <c r="BE156" s="100">
        <f t="shared" si="130"/>
        <v>8296874.3771767002</v>
      </c>
      <c r="BF156" s="100">
        <f t="shared" si="130"/>
        <v>0</v>
      </c>
      <c r="BG156" s="100">
        <f t="shared" si="130"/>
        <v>14362005.461184949</v>
      </c>
      <c r="BH156" s="100">
        <f t="shared" si="130"/>
        <v>0</v>
      </c>
      <c r="BI156" s="100">
        <f t="shared" si="130"/>
        <v>13049129.769865882</v>
      </c>
    </row>
    <row r="157" spans="2:61" x14ac:dyDescent="0.3">
      <c r="C157" s="77" t="s">
        <v>142</v>
      </c>
      <c r="D157" s="77">
        <v>48.2</v>
      </c>
      <c r="E157" s="97"/>
      <c r="F157" s="97">
        <f>'Quarterly I.S'!I157</f>
        <v>2879462.7549999999</v>
      </c>
      <c r="G157" s="97"/>
      <c r="H157" s="97">
        <f>'Quarterly I.S'!M157</f>
        <v>1323545.121</v>
      </c>
      <c r="I157" s="97"/>
      <c r="J157" s="97">
        <f>'Quarterly I.S'!Q157</f>
        <v>6066639.8618000001</v>
      </c>
      <c r="K157" s="97"/>
      <c r="L157" s="97">
        <f>'Quarterly I.S'!U157</f>
        <v>5526512</v>
      </c>
      <c r="M157" s="190">
        <f>L157/J157-1</f>
        <v>-8.9032458511513091E-2</v>
      </c>
      <c r="O157" s="67">
        <f>$E157</f>
        <v>0</v>
      </c>
      <c r="P157" s="67">
        <f>$F157</f>
        <v>2879462.7549999999</v>
      </c>
      <c r="Q157" s="67">
        <f>$G157</f>
        <v>0</v>
      </c>
      <c r="R157" s="67">
        <f>$H157</f>
        <v>1323545.121</v>
      </c>
      <c r="S157" s="67">
        <f>$I157</f>
        <v>0</v>
      </c>
      <c r="T157" s="67">
        <f>$J157</f>
        <v>6066639.8618000001</v>
      </c>
      <c r="U157" s="67">
        <f>$K157</f>
        <v>0</v>
      </c>
      <c r="V157" s="67">
        <f>$L157</f>
        <v>5526512</v>
      </c>
      <c r="W157" s="190">
        <f>V157/T157-1</f>
        <v>-8.9032458511513091E-2</v>
      </c>
      <c r="X157" s="64"/>
      <c r="Y157" s="67">
        <f>$E157</f>
        <v>0</v>
      </c>
      <c r="Z157" s="67">
        <f>$F157</f>
        <v>2879462.7549999999</v>
      </c>
      <c r="AA157" s="67">
        <f>$G157</f>
        <v>0</v>
      </c>
      <c r="AB157" s="67">
        <f>$H157</f>
        <v>1323545.121</v>
      </c>
      <c r="AC157" s="67">
        <f>$I157</f>
        <v>0</v>
      </c>
      <c r="AD157" s="67">
        <f>$J157</f>
        <v>6066639.8618000001</v>
      </c>
      <c r="AE157" s="67">
        <f>$K157</f>
        <v>0</v>
      </c>
      <c r="AF157" s="67">
        <f>$L157</f>
        <v>5526512</v>
      </c>
      <c r="AG157" s="64"/>
      <c r="AH157" s="67">
        <f>$E157</f>
        <v>0</v>
      </c>
      <c r="AI157" s="67">
        <f>$F157</f>
        <v>2879462.7549999999</v>
      </c>
      <c r="AJ157" s="67">
        <f>$G157</f>
        <v>0</v>
      </c>
      <c r="AK157" s="67">
        <f>$H157</f>
        <v>1323545.121</v>
      </c>
      <c r="AL157" s="67">
        <f>$I157</f>
        <v>0</v>
      </c>
      <c r="AM157" s="67">
        <f>$J157</f>
        <v>6066639.8618000001</v>
      </c>
      <c r="AN157" s="67">
        <f>$K157</f>
        <v>0</v>
      </c>
      <c r="AO157" s="67">
        <f>$L157</f>
        <v>5526512</v>
      </c>
      <c r="AP157" s="64"/>
      <c r="AQ157" s="67">
        <f>$E157</f>
        <v>0</v>
      </c>
      <c r="AR157" s="67">
        <f>$F157</f>
        <v>2879462.7549999999</v>
      </c>
      <c r="AS157" s="67">
        <f>$G157</f>
        <v>0</v>
      </c>
      <c r="AT157" s="67">
        <f>$H157</f>
        <v>1323545.121</v>
      </c>
      <c r="AU157" s="67">
        <f>$I157</f>
        <v>0</v>
      </c>
      <c r="AV157" s="67">
        <f>$J157</f>
        <v>6066639.8618000001</v>
      </c>
      <c r="AW157" s="67">
        <f>$K157</f>
        <v>0</v>
      </c>
      <c r="AX157" s="67">
        <f>$L157</f>
        <v>5526512</v>
      </c>
      <c r="AY157" s="67"/>
      <c r="AZ157" s="190">
        <f>AX157/AV157-1</f>
        <v>-8.9032458511513091E-2</v>
      </c>
      <c r="BA157" s="64"/>
      <c r="BB157" s="67">
        <f>$E157</f>
        <v>0</v>
      </c>
      <c r="BC157" s="67">
        <f>$F157</f>
        <v>2879462.7549999999</v>
      </c>
      <c r="BD157" s="67">
        <f>$G157</f>
        <v>0</v>
      </c>
      <c r="BE157" s="67">
        <f>$H157</f>
        <v>1323545.121</v>
      </c>
      <c r="BF157" s="67">
        <f>$I157</f>
        <v>0</v>
      </c>
      <c r="BG157" s="67">
        <f>$J157</f>
        <v>6066639.8618000001</v>
      </c>
      <c r="BH157" s="67">
        <f>$K157</f>
        <v>0</v>
      </c>
      <c r="BI157" s="67">
        <f>$L157</f>
        <v>5526512</v>
      </c>
    </row>
    <row r="158" spans="2:61" x14ac:dyDescent="0.3">
      <c r="C158" s="77" t="s">
        <v>107</v>
      </c>
      <c r="D158" s="77" t="s">
        <v>149</v>
      </c>
      <c r="E158" s="97"/>
      <c r="F158" s="97">
        <f>'Quarterly I.S'!I158</f>
        <v>2425641.7347900001</v>
      </c>
      <c r="G158" s="97"/>
      <c r="H158" s="97">
        <f>'Quarterly I.S'!M158</f>
        <v>3768306.1971399998</v>
      </c>
      <c r="I158" s="97"/>
      <c r="J158" s="97">
        <f>'Quarterly I.S'!Q158</f>
        <v>4320630.0999999996</v>
      </c>
      <c r="K158" s="97"/>
      <c r="L158" s="97">
        <f>'Quarterly I.S'!U158</f>
        <v>2678254</v>
      </c>
      <c r="M158" s="190">
        <f>L158/J158-1</f>
        <v>-0.3801242091980982</v>
      </c>
      <c r="O158" s="67">
        <f>$E158</f>
        <v>0</v>
      </c>
      <c r="P158" s="67">
        <f>$F158</f>
        <v>2425641.7347900001</v>
      </c>
      <c r="Q158" s="67">
        <f>$G158</f>
        <v>0</v>
      </c>
      <c r="R158" s="67">
        <f>$H158</f>
        <v>3768306.1971399998</v>
      </c>
      <c r="S158" s="67">
        <f>$I158</f>
        <v>0</v>
      </c>
      <c r="T158" s="67">
        <f>$J158</f>
        <v>4320630.0999999996</v>
      </c>
      <c r="U158" s="67">
        <f>$K158</f>
        <v>0</v>
      </c>
      <c r="V158" s="67">
        <f>$L158</f>
        <v>2678254</v>
      </c>
      <c r="W158" s="190">
        <f>V158/T158-1</f>
        <v>-0.3801242091980982</v>
      </c>
      <c r="X158" s="64"/>
      <c r="Y158" s="67">
        <f>$E158</f>
        <v>0</v>
      </c>
      <c r="Z158" s="67">
        <f>$F158</f>
        <v>2425641.7347900001</v>
      </c>
      <c r="AA158" s="67">
        <f>$G158</f>
        <v>0</v>
      </c>
      <c r="AB158" s="67">
        <f>$H158</f>
        <v>3768306.1971399998</v>
      </c>
      <c r="AC158" s="67">
        <f>$I158</f>
        <v>0</v>
      </c>
      <c r="AD158" s="67">
        <f>$J158</f>
        <v>4320630.0999999996</v>
      </c>
      <c r="AE158" s="67">
        <f>$K158</f>
        <v>0</v>
      </c>
      <c r="AF158" s="67">
        <f>$L158</f>
        <v>2678254</v>
      </c>
      <c r="AG158" s="64"/>
      <c r="AH158" s="67">
        <f>$E158</f>
        <v>0</v>
      </c>
      <c r="AI158" s="67">
        <f>$F158</f>
        <v>2425641.7347900001</v>
      </c>
      <c r="AJ158" s="67">
        <f>$G158</f>
        <v>0</v>
      </c>
      <c r="AK158" s="67">
        <f>$H158</f>
        <v>3768306.1971399998</v>
      </c>
      <c r="AL158" s="67">
        <f>$I158</f>
        <v>0</v>
      </c>
      <c r="AM158" s="67">
        <f>$J158</f>
        <v>4320630.0999999996</v>
      </c>
      <c r="AN158" s="67">
        <f>$K158</f>
        <v>0</v>
      </c>
      <c r="AO158" s="67">
        <f>$L158</f>
        <v>2678254</v>
      </c>
      <c r="AP158" s="64"/>
      <c r="AQ158" s="67">
        <f>$E158</f>
        <v>0</v>
      </c>
      <c r="AR158" s="67">
        <f>$F158</f>
        <v>2425641.7347900001</v>
      </c>
      <c r="AS158" s="67">
        <f>$G158</f>
        <v>0</v>
      </c>
      <c r="AT158" s="67">
        <f>$H158</f>
        <v>3768306.1971399998</v>
      </c>
      <c r="AU158" s="67">
        <f>$I158</f>
        <v>0</v>
      </c>
      <c r="AV158" s="67">
        <f>$J158</f>
        <v>4320630.0999999996</v>
      </c>
      <c r="AW158" s="67">
        <f>$K158</f>
        <v>0</v>
      </c>
      <c r="AX158" s="67">
        <f>$L158</f>
        <v>2678254</v>
      </c>
      <c r="AY158" s="67"/>
      <c r="AZ158" s="190">
        <f>AX158/AV158-1</f>
        <v>-0.3801242091980982</v>
      </c>
      <c r="BA158" s="64"/>
      <c r="BB158" s="67">
        <f>$E158</f>
        <v>0</v>
      </c>
      <c r="BC158" s="67">
        <f>$F158</f>
        <v>2425641.7347900001</v>
      </c>
      <c r="BD158" s="67">
        <f>$G158</f>
        <v>0</v>
      </c>
      <c r="BE158" s="67">
        <f>$H158</f>
        <v>3768306.1971399998</v>
      </c>
      <c r="BF158" s="67">
        <f>$I158</f>
        <v>0</v>
      </c>
      <c r="BG158" s="67">
        <f>$J158</f>
        <v>4320630.0999999996</v>
      </c>
      <c r="BH158" s="67">
        <f>$K158</f>
        <v>0</v>
      </c>
      <c r="BI158" s="67">
        <f>$L158</f>
        <v>2678254</v>
      </c>
    </row>
    <row r="159" spans="2:61" x14ac:dyDescent="0.3">
      <c r="C159" s="77" t="s">
        <v>108</v>
      </c>
      <c r="D159" s="77" t="s">
        <v>150</v>
      </c>
      <c r="E159" s="97"/>
      <c r="F159" s="97">
        <f>'Quarterly I.S'!I159</f>
        <v>2184447.3611541637</v>
      </c>
      <c r="G159" s="97"/>
      <c r="H159" s="97">
        <f>'Quarterly I.S'!M159</f>
        <v>3147882.955685264</v>
      </c>
      <c r="I159" s="97"/>
      <c r="J159" s="97">
        <f>'Quarterly I.S'!Q159</f>
        <v>3641712.9503493397</v>
      </c>
      <c r="K159" s="97"/>
      <c r="L159" s="97">
        <f>'Quarterly I.S'!U159</f>
        <v>3894294.8849999998</v>
      </c>
      <c r="M159" s="190">
        <f>L159/J159-1</f>
        <v>6.935800215292387E-2</v>
      </c>
      <c r="O159" s="67">
        <f>$E159</f>
        <v>0</v>
      </c>
      <c r="P159" s="67">
        <f>$F159</f>
        <v>2184447.3611541637</v>
      </c>
      <c r="Q159" s="67">
        <f>$G159</f>
        <v>0</v>
      </c>
      <c r="R159" s="67">
        <f>$H159</f>
        <v>3147882.955685264</v>
      </c>
      <c r="S159" s="67">
        <f>$I159</f>
        <v>0</v>
      </c>
      <c r="T159" s="67">
        <f>$J159</f>
        <v>3641712.9503493397</v>
      </c>
      <c r="U159" s="67">
        <f>$K159</f>
        <v>0</v>
      </c>
      <c r="V159" s="67">
        <f>$L159</f>
        <v>3894294.8849999998</v>
      </c>
      <c r="W159" s="190">
        <f>V159/T159-1</f>
        <v>6.935800215292387E-2</v>
      </c>
      <c r="X159" s="64"/>
      <c r="Y159" s="67">
        <f>$E159</f>
        <v>0</v>
      </c>
      <c r="Z159" s="67">
        <f>$F159</f>
        <v>2184447.3611541637</v>
      </c>
      <c r="AA159" s="67">
        <f>$G159</f>
        <v>0</v>
      </c>
      <c r="AB159" s="67">
        <f>$H159</f>
        <v>3147882.955685264</v>
      </c>
      <c r="AC159" s="67">
        <f>$I159</f>
        <v>0</v>
      </c>
      <c r="AD159" s="67">
        <f>$J159</f>
        <v>3641712.9503493397</v>
      </c>
      <c r="AE159" s="67">
        <f>$K159</f>
        <v>0</v>
      </c>
      <c r="AF159" s="67">
        <f>$L159</f>
        <v>3894294.8849999998</v>
      </c>
      <c r="AG159" s="64"/>
      <c r="AH159" s="67">
        <f>$E159</f>
        <v>0</v>
      </c>
      <c r="AI159" s="67">
        <f>$F159</f>
        <v>2184447.3611541637</v>
      </c>
      <c r="AJ159" s="67">
        <f>$G159</f>
        <v>0</v>
      </c>
      <c r="AK159" s="67">
        <f>$H159</f>
        <v>3147882.955685264</v>
      </c>
      <c r="AL159" s="67">
        <f>$I159</f>
        <v>0</v>
      </c>
      <c r="AM159" s="67">
        <f>$J159</f>
        <v>3641712.9503493397</v>
      </c>
      <c r="AN159" s="67">
        <f>$K159</f>
        <v>0</v>
      </c>
      <c r="AO159" s="67">
        <f>$L159</f>
        <v>3894294.8849999998</v>
      </c>
      <c r="AP159" s="64"/>
      <c r="AQ159" s="67">
        <f>$E159</f>
        <v>0</v>
      </c>
      <c r="AR159" s="67">
        <f>$F159</f>
        <v>2184447.3611541637</v>
      </c>
      <c r="AS159" s="67">
        <f>$G159</f>
        <v>0</v>
      </c>
      <c r="AT159" s="67">
        <f>$H159</f>
        <v>3147882.955685264</v>
      </c>
      <c r="AU159" s="67">
        <f>$I159</f>
        <v>0</v>
      </c>
      <c r="AV159" s="67">
        <f>$J159</f>
        <v>3641712.9503493397</v>
      </c>
      <c r="AW159" s="67">
        <f>$K159</f>
        <v>0</v>
      </c>
      <c r="AX159" s="67">
        <f>$L159</f>
        <v>3894294.8849999998</v>
      </c>
      <c r="AY159" s="67"/>
      <c r="AZ159" s="190">
        <f>AX159/AV159-1</f>
        <v>6.935800215292387E-2</v>
      </c>
      <c r="BA159" s="64"/>
      <c r="BB159" s="67">
        <f>$E159</f>
        <v>0</v>
      </c>
      <c r="BC159" s="67">
        <f>$F159</f>
        <v>2184447.3611541637</v>
      </c>
      <c r="BD159" s="67">
        <f>$G159</f>
        <v>0</v>
      </c>
      <c r="BE159" s="67">
        <f>$H159</f>
        <v>3147882.955685264</v>
      </c>
      <c r="BF159" s="67">
        <f>$I159</f>
        <v>0</v>
      </c>
      <c r="BG159" s="67">
        <f>$J159</f>
        <v>3641712.9503493397</v>
      </c>
      <c r="BH159" s="67">
        <f>$K159</f>
        <v>0</v>
      </c>
      <c r="BI159" s="67">
        <f>$L159</f>
        <v>3894294.8849999998</v>
      </c>
    </row>
    <row r="160" spans="2:61" x14ac:dyDescent="0.3">
      <c r="C160" s="77" t="s">
        <v>109</v>
      </c>
      <c r="D160" s="77">
        <v>46</v>
      </c>
      <c r="E160" s="97"/>
      <c r="F160" s="97">
        <f>'Quarterly I.S'!I160</f>
        <v>7747.2283799999996</v>
      </c>
      <c r="G160" s="97"/>
      <c r="H160" s="97">
        <f>'Quarterly I.S'!M160</f>
        <v>57140.103351436934</v>
      </c>
      <c r="I160" s="97"/>
      <c r="J160" s="97">
        <f>'Quarterly I.S'!Q160</f>
        <v>333022.549035609</v>
      </c>
      <c r="K160" s="97"/>
      <c r="L160" s="97">
        <f>'Quarterly I.S'!U160</f>
        <v>950068.88486588094</v>
      </c>
      <c r="M160" s="190">
        <f>L160/J160-1</f>
        <v>1.8528665329634877</v>
      </c>
      <c r="O160" s="67">
        <f>$E160</f>
        <v>0</v>
      </c>
      <c r="P160" s="67">
        <f>$F160</f>
        <v>7747.2283799999996</v>
      </c>
      <c r="Q160" s="67">
        <f>$G160</f>
        <v>0</v>
      </c>
      <c r="R160" s="67">
        <f>$H160</f>
        <v>57140.103351436934</v>
      </c>
      <c r="S160" s="67">
        <f>$I160</f>
        <v>0</v>
      </c>
      <c r="T160" s="67">
        <f>$J160</f>
        <v>333022.549035609</v>
      </c>
      <c r="U160" s="67">
        <f>$K160</f>
        <v>0</v>
      </c>
      <c r="V160" s="67">
        <f>$L160</f>
        <v>950068.88486588094</v>
      </c>
      <c r="W160" s="190">
        <f>V160/T160-1</f>
        <v>1.8528665329634877</v>
      </c>
      <c r="X160" s="64"/>
      <c r="Y160" s="67">
        <f>$E160</f>
        <v>0</v>
      </c>
      <c r="Z160" s="67">
        <f>$F160</f>
        <v>7747.2283799999996</v>
      </c>
      <c r="AA160" s="67">
        <f>$G160</f>
        <v>0</v>
      </c>
      <c r="AB160" s="67">
        <f>$H160</f>
        <v>57140.103351436934</v>
      </c>
      <c r="AC160" s="67">
        <f>$I160</f>
        <v>0</v>
      </c>
      <c r="AD160" s="67">
        <f>$J160</f>
        <v>333022.549035609</v>
      </c>
      <c r="AE160" s="67">
        <f>$K160</f>
        <v>0</v>
      </c>
      <c r="AF160" s="67">
        <f>$L160</f>
        <v>950068.88486588094</v>
      </c>
      <c r="AG160" s="64"/>
      <c r="AH160" s="67">
        <f>$E160</f>
        <v>0</v>
      </c>
      <c r="AI160" s="67">
        <f>$F160</f>
        <v>7747.2283799999996</v>
      </c>
      <c r="AJ160" s="67">
        <f>$G160</f>
        <v>0</v>
      </c>
      <c r="AK160" s="67">
        <f>$H160</f>
        <v>57140.103351436934</v>
      </c>
      <c r="AL160" s="67">
        <f>$I160</f>
        <v>0</v>
      </c>
      <c r="AM160" s="67">
        <f>$J160</f>
        <v>333022.549035609</v>
      </c>
      <c r="AN160" s="67">
        <f>$K160</f>
        <v>0</v>
      </c>
      <c r="AO160" s="67">
        <f>$L160</f>
        <v>950068.88486588094</v>
      </c>
      <c r="AP160" s="64"/>
      <c r="AQ160" s="67">
        <f>$E160</f>
        <v>0</v>
      </c>
      <c r="AR160" s="67">
        <f>$F160</f>
        <v>7747.2283799999996</v>
      </c>
      <c r="AS160" s="67">
        <f>$G160</f>
        <v>0</v>
      </c>
      <c r="AT160" s="67">
        <f>$H160</f>
        <v>57140.103351436934</v>
      </c>
      <c r="AU160" s="67">
        <f>$I160</f>
        <v>0</v>
      </c>
      <c r="AV160" s="67">
        <f>$J160</f>
        <v>333022.549035609</v>
      </c>
      <c r="AW160" s="67">
        <f>$K160</f>
        <v>0</v>
      </c>
      <c r="AX160" s="67">
        <f>$L160</f>
        <v>950068.88486588094</v>
      </c>
      <c r="AY160" s="67"/>
      <c r="AZ160" s="190">
        <f>AX160/AV160-1</f>
        <v>1.8528665329634877</v>
      </c>
      <c r="BA160" s="64"/>
      <c r="BB160" s="67">
        <f>$E160</f>
        <v>0</v>
      </c>
      <c r="BC160" s="67">
        <f>$F160</f>
        <v>7747.2283799999996</v>
      </c>
      <c r="BD160" s="67">
        <f>$G160</f>
        <v>0</v>
      </c>
      <c r="BE160" s="67">
        <f>$H160</f>
        <v>57140.103351436934</v>
      </c>
      <c r="BF160" s="67">
        <f>$I160</f>
        <v>0</v>
      </c>
      <c r="BG160" s="67">
        <f>$J160</f>
        <v>333022.549035609</v>
      </c>
      <c r="BH160" s="67">
        <f>$K160</f>
        <v>0</v>
      </c>
      <c r="BI160" s="67">
        <f>$L160</f>
        <v>950068.88486588094</v>
      </c>
    </row>
    <row r="161" spans="2:61" x14ac:dyDescent="0.3">
      <c r="C161" s="77"/>
      <c r="D161" s="77"/>
      <c r="E161" s="41"/>
      <c r="F161" s="41"/>
      <c r="G161" s="41"/>
      <c r="H161" s="41"/>
      <c r="I161" s="41"/>
      <c r="J161" s="41"/>
      <c r="K161" s="41"/>
      <c r="L161" s="41"/>
      <c r="M161" s="169"/>
      <c r="O161" s="40"/>
      <c r="P161" s="40"/>
      <c r="Q161" s="40"/>
      <c r="R161" s="40"/>
      <c r="S161" s="40"/>
      <c r="T161" s="40"/>
      <c r="U161" s="40"/>
      <c r="V161" s="40"/>
      <c r="W161" s="169"/>
      <c r="Y161" s="40"/>
      <c r="Z161" s="40"/>
      <c r="AA161" s="40"/>
      <c r="AB161" s="40"/>
      <c r="AC161" s="40"/>
      <c r="AD161" s="40"/>
      <c r="AE161" s="40"/>
      <c r="AF161" s="40"/>
      <c r="AH161" s="40"/>
      <c r="AI161" s="40"/>
      <c r="AJ161" s="40"/>
      <c r="AK161" s="40"/>
      <c r="AL161" s="40"/>
      <c r="AM161" s="40"/>
      <c r="AN161" s="40"/>
      <c r="AO161" s="40"/>
      <c r="AQ161" s="40"/>
      <c r="AR161" s="40"/>
      <c r="AS161" s="40"/>
      <c r="AT161" s="40"/>
      <c r="AU161" s="40"/>
      <c r="AV161" s="40"/>
      <c r="AW161" s="40"/>
      <c r="AX161" s="40"/>
      <c r="AY161" s="40"/>
      <c r="AZ161" s="169"/>
      <c r="BB161" s="40"/>
      <c r="BC161" s="40"/>
      <c r="BD161" s="40"/>
      <c r="BE161" s="40"/>
      <c r="BF161" s="40"/>
      <c r="BG161" s="40"/>
      <c r="BH161" s="40"/>
      <c r="BI161" s="40"/>
    </row>
    <row r="162" spans="2:61" ht="13.5" thickBot="1" x14ac:dyDescent="0.35">
      <c r="C162" s="78" t="s">
        <v>113</v>
      </c>
      <c r="D162" s="124"/>
      <c r="E162" s="102">
        <f t="shared" ref="E162:J162" si="131">E153+E156</f>
        <v>0</v>
      </c>
      <c r="F162" s="102">
        <f t="shared" si="131"/>
        <v>9455567.4673241638</v>
      </c>
      <c r="G162" s="102">
        <f t="shared" si="131"/>
        <v>0</v>
      </c>
      <c r="H162" s="102">
        <f t="shared" si="131"/>
        <v>13030194.689176701</v>
      </c>
      <c r="I162" s="102">
        <f t="shared" si="131"/>
        <v>0</v>
      </c>
      <c r="J162" s="102">
        <f t="shared" si="131"/>
        <v>21375380.046344951</v>
      </c>
      <c r="K162" s="102">
        <f>K153+K156</f>
        <v>0</v>
      </c>
      <c r="L162" s="102">
        <f>L153+L156</f>
        <v>20579930.99460588</v>
      </c>
      <c r="M162" s="194">
        <f>L162/J162-1</f>
        <v>-3.7213329073654822E-2</v>
      </c>
      <c r="N162" s="71"/>
      <c r="O162" s="102">
        <f t="shared" ref="O162:T162" si="132">O153+O156</f>
        <v>0</v>
      </c>
      <c r="P162" s="102">
        <f t="shared" si="132"/>
        <v>9455567.4673241638</v>
      </c>
      <c r="Q162" s="102">
        <f t="shared" si="132"/>
        <v>0</v>
      </c>
      <c r="R162" s="102">
        <f t="shared" si="132"/>
        <v>13030194.689176701</v>
      </c>
      <c r="S162" s="102">
        <f t="shared" si="132"/>
        <v>0</v>
      </c>
      <c r="T162" s="102">
        <f t="shared" si="132"/>
        <v>21375380.046344951</v>
      </c>
      <c r="U162" s="102">
        <f>U153+U156</f>
        <v>0</v>
      </c>
      <c r="V162" s="102">
        <f>V153+V156</f>
        <v>20579930.99460588</v>
      </c>
      <c r="W162" s="194">
        <f>V162/T162-1</f>
        <v>-3.7213329073654822E-2</v>
      </c>
      <c r="X162" s="71"/>
      <c r="Y162" s="102">
        <f t="shared" ref="Y162:AF162" si="133">Y153+Y156</f>
        <v>0</v>
      </c>
      <c r="Z162" s="102">
        <f t="shared" si="133"/>
        <v>9455567.4673241638</v>
      </c>
      <c r="AA162" s="102">
        <f t="shared" si="133"/>
        <v>0</v>
      </c>
      <c r="AB162" s="102">
        <f t="shared" si="133"/>
        <v>13030194.689176701</v>
      </c>
      <c r="AC162" s="102">
        <f t="shared" si="133"/>
        <v>0</v>
      </c>
      <c r="AD162" s="102">
        <f t="shared" si="133"/>
        <v>21375380.046344951</v>
      </c>
      <c r="AE162" s="102">
        <f t="shared" si="133"/>
        <v>0</v>
      </c>
      <c r="AF162" s="102">
        <f t="shared" si="133"/>
        <v>20579930.99460588</v>
      </c>
      <c r="AG162" s="100"/>
      <c r="AH162" s="102">
        <f t="shared" ref="AH162:AO162" si="134">AH153+AH156</f>
        <v>0</v>
      </c>
      <c r="AI162" s="102">
        <f t="shared" si="134"/>
        <v>9455567.4673241638</v>
      </c>
      <c r="AJ162" s="102">
        <f t="shared" si="134"/>
        <v>0</v>
      </c>
      <c r="AK162" s="102">
        <f t="shared" si="134"/>
        <v>13030194.689176701</v>
      </c>
      <c r="AL162" s="102">
        <f t="shared" si="134"/>
        <v>0</v>
      </c>
      <c r="AM162" s="102">
        <f t="shared" si="134"/>
        <v>21375380.046344951</v>
      </c>
      <c r="AN162" s="102">
        <f t="shared" si="134"/>
        <v>0</v>
      </c>
      <c r="AO162" s="102">
        <f t="shared" si="134"/>
        <v>20579930.99460588</v>
      </c>
      <c r="AP162" s="100"/>
      <c r="AQ162" s="102">
        <f t="shared" ref="AQ162:AX162" si="135">AQ153+AQ156</f>
        <v>0</v>
      </c>
      <c r="AR162" s="102">
        <f t="shared" si="135"/>
        <v>9455567.4673241638</v>
      </c>
      <c r="AS162" s="102">
        <f t="shared" si="135"/>
        <v>0</v>
      </c>
      <c r="AT162" s="102">
        <f t="shared" si="135"/>
        <v>13030194.689176701</v>
      </c>
      <c r="AU162" s="102">
        <f t="shared" si="135"/>
        <v>0</v>
      </c>
      <c r="AV162" s="102">
        <f t="shared" si="135"/>
        <v>21375380.046344951</v>
      </c>
      <c r="AW162" s="102">
        <f t="shared" si="135"/>
        <v>0</v>
      </c>
      <c r="AX162" s="102">
        <f t="shared" si="135"/>
        <v>20579930.99460588</v>
      </c>
      <c r="AY162" s="102"/>
      <c r="AZ162" s="194">
        <f>AX162/AV162-1</f>
        <v>-3.7213329073654822E-2</v>
      </c>
      <c r="BA162" s="100"/>
      <c r="BB162" s="102">
        <f t="shared" ref="BB162:BI162" si="136">BB153+BB156</f>
        <v>0</v>
      </c>
      <c r="BC162" s="102">
        <f t="shared" si="136"/>
        <v>9455567.4673241638</v>
      </c>
      <c r="BD162" s="102">
        <f t="shared" si="136"/>
        <v>0</v>
      </c>
      <c r="BE162" s="102">
        <f t="shared" si="136"/>
        <v>13030194.689176701</v>
      </c>
      <c r="BF162" s="102">
        <f t="shared" si="136"/>
        <v>0</v>
      </c>
      <c r="BG162" s="102">
        <f t="shared" si="136"/>
        <v>21375380.046344951</v>
      </c>
      <c r="BH162" s="102">
        <f t="shared" si="136"/>
        <v>0</v>
      </c>
      <c r="BI162" s="102">
        <f t="shared" si="136"/>
        <v>20579930.99460588</v>
      </c>
    </row>
    <row r="163" spans="2:61" x14ac:dyDescent="0.3">
      <c r="C163" s="65"/>
      <c r="D163" s="77"/>
      <c r="E163" s="62"/>
      <c r="F163" s="62"/>
      <c r="G163" s="62"/>
      <c r="H163" s="62"/>
      <c r="I163" s="62"/>
      <c r="J163" s="62"/>
      <c r="K163" s="62"/>
      <c r="L163" s="62"/>
      <c r="M163" s="131"/>
      <c r="O163" s="62"/>
      <c r="P163" s="62"/>
      <c r="Q163" s="62"/>
      <c r="R163" s="62"/>
      <c r="S163" s="62"/>
      <c r="T163" s="62"/>
      <c r="U163" s="62"/>
      <c r="V163" s="62"/>
      <c r="W163" s="131"/>
      <c r="Y163" s="62"/>
      <c r="Z163" s="62"/>
      <c r="AA163" s="62"/>
      <c r="AB163" s="62"/>
      <c r="AC163" s="62"/>
      <c r="AD163" s="62"/>
      <c r="AE163" s="62"/>
      <c r="AF163" s="62"/>
      <c r="AH163" s="62"/>
      <c r="AI163" s="62"/>
      <c r="AJ163" s="62"/>
      <c r="AK163" s="62"/>
      <c r="AL163" s="62"/>
      <c r="AM163" s="62"/>
      <c r="AN163" s="62"/>
      <c r="AO163" s="62"/>
      <c r="AQ163" s="62"/>
      <c r="AR163" s="62"/>
      <c r="AS163" s="62"/>
      <c r="AT163" s="62"/>
      <c r="AU163" s="62"/>
      <c r="AV163" s="62"/>
      <c r="AW163" s="62"/>
      <c r="AX163" s="62"/>
      <c r="AY163" s="62"/>
      <c r="AZ163" s="131"/>
      <c r="BB163" s="62"/>
      <c r="BC163" s="62"/>
      <c r="BD163" s="62"/>
      <c r="BE163" s="62"/>
      <c r="BF163" s="62"/>
      <c r="BG163" s="62"/>
      <c r="BH163" s="62"/>
      <c r="BI163" s="62"/>
    </row>
    <row r="164" spans="2:61" s="82" customFormat="1" x14ac:dyDescent="0.3">
      <c r="B164" s="81"/>
      <c r="C164" s="30" t="s">
        <v>95</v>
      </c>
      <c r="D164" s="30"/>
      <c r="E164" s="30"/>
      <c r="F164" s="30"/>
      <c r="G164" s="30"/>
      <c r="H164" s="30"/>
      <c r="I164" s="30"/>
      <c r="J164" s="30"/>
      <c r="K164" s="30"/>
      <c r="L164" s="30"/>
      <c r="M164" s="185"/>
      <c r="O164" s="30"/>
      <c r="P164" s="30"/>
      <c r="Q164" s="30"/>
      <c r="R164" s="30"/>
      <c r="S164" s="30"/>
      <c r="T164" s="30"/>
      <c r="U164" s="30"/>
      <c r="V164" s="30"/>
      <c r="W164" s="185"/>
      <c r="Y164" s="30"/>
      <c r="Z164" s="30"/>
      <c r="AA164" s="30"/>
      <c r="AB164" s="30"/>
      <c r="AC164" s="30"/>
      <c r="AD164" s="30"/>
      <c r="AE164" s="30"/>
      <c r="AF164" s="30"/>
      <c r="AH164" s="30"/>
      <c r="AI164" s="30"/>
      <c r="AJ164" s="30"/>
      <c r="AK164" s="30"/>
      <c r="AL164" s="30"/>
      <c r="AM164" s="30"/>
      <c r="AN164" s="30"/>
      <c r="AO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185"/>
      <c r="BB164" s="30"/>
      <c r="BC164" s="30"/>
      <c r="BD164" s="30"/>
      <c r="BE164" s="30"/>
      <c r="BF164" s="30"/>
      <c r="BG164" s="30"/>
      <c r="BH164" s="30"/>
      <c r="BI164" s="30"/>
    </row>
    <row r="165" spans="2:61" s="85" customFormat="1" x14ac:dyDescent="0.3">
      <c r="B165" s="84"/>
      <c r="C165" s="63" t="s">
        <v>135</v>
      </c>
      <c r="D165" s="63"/>
      <c r="E165" s="63"/>
      <c r="F165" s="63"/>
      <c r="G165" s="63"/>
      <c r="H165" s="63"/>
      <c r="I165" s="63"/>
      <c r="J165" s="63"/>
      <c r="K165" s="63"/>
      <c r="L165" s="63"/>
      <c r="M165" s="186"/>
      <c r="O165" s="63"/>
      <c r="P165" s="63"/>
      <c r="Q165" s="63"/>
      <c r="R165" s="63"/>
      <c r="S165" s="63"/>
      <c r="T165" s="63"/>
      <c r="U165" s="63"/>
      <c r="V165" s="63"/>
      <c r="W165" s="186"/>
      <c r="Y165" s="63"/>
      <c r="Z165" s="63"/>
      <c r="AA165" s="63"/>
      <c r="AB165" s="63"/>
      <c r="AC165" s="63"/>
      <c r="AD165" s="63"/>
      <c r="AE165" s="63"/>
      <c r="AF165" s="63"/>
      <c r="AH165" s="63"/>
      <c r="AI165" s="63"/>
      <c r="AJ165" s="63"/>
      <c r="AK165" s="63"/>
      <c r="AL165" s="63"/>
      <c r="AM165" s="63"/>
      <c r="AN165" s="63"/>
      <c r="AO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186"/>
      <c r="BB165" s="63"/>
      <c r="BC165" s="63"/>
      <c r="BD165" s="63"/>
      <c r="BE165" s="63"/>
      <c r="BF165" s="63"/>
      <c r="BG165" s="63"/>
      <c r="BH165" s="63"/>
      <c r="BI165" s="63"/>
    </row>
    <row r="166" spans="2:61" x14ac:dyDescent="0.3">
      <c r="C166" s="105" t="s">
        <v>24</v>
      </c>
      <c r="D166" s="128"/>
      <c r="E166" s="106">
        <f t="shared" ref="E166:J166" si="137">SUM(E167:E168)</f>
        <v>0</v>
      </c>
      <c r="F166" s="106">
        <f t="shared" si="137"/>
        <v>376196.33248787839</v>
      </c>
      <c r="G166" s="106">
        <f t="shared" si="137"/>
        <v>0</v>
      </c>
      <c r="H166" s="106">
        <f t="shared" si="137"/>
        <v>723601.24374840152</v>
      </c>
      <c r="I166" s="106">
        <f t="shared" si="137"/>
        <v>0</v>
      </c>
      <c r="J166" s="106">
        <f t="shared" si="137"/>
        <v>1168772.4167881408</v>
      </c>
      <c r="K166" s="106">
        <f>SUM(K167:K168)</f>
        <v>0</v>
      </c>
      <c r="L166" s="106">
        <f>SUM(L167:L168)</f>
        <v>1756578.8412194795</v>
      </c>
      <c r="M166" s="195">
        <f>L166/J166-1</f>
        <v>0.50292633192582281</v>
      </c>
      <c r="O166" s="106">
        <f t="shared" ref="O166:V166" si="138">SUM(O167:O168)</f>
        <v>0</v>
      </c>
      <c r="P166" s="106">
        <f t="shared" si="138"/>
        <v>376196.33248787839</v>
      </c>
      <c r="Q166" s="106">
        <f t="shared" si="138"/>
        <v>0</v>
      </c>
      <c r="R166" s="106">
        <f t="shared" si="138"/>
        <v>723601.24374840152</v>
      </c>
      <c r="S166" s="106">
        <f t="shared" si="138"/>
        <v>0</v>
      </c>
      <c r="T166" s="106">
        <f t="shared" si="138"/>
        <v>1168772.4167881408</v>
      </c>
      <c r="U166" s="106">
        <f t="shared" si="138"/>
        <v>0</v>
      </c>
      <c r="V166" s="106">
        <f t="shared" si="138"/>
        <v>1756578.8412194795</v>
      </c>
      <c r="W166" s="195">
        <f>V166/T166-1</f>
        <v>0.50292633192582281</v>
      </c>
      <c r="X166" s="64"/>
      <c r="Y166" s="106">
        <f t="shared" ref="Y166:AF166" si="139">SUM(Y167:Y168)</f>
        <v>0</v>
      </c>
      <c r="Z166" s="106">
        <f t="shared" si="139"/>
        <v>376196.33248787839</v>
      </c>
      <c r="AA166" s="106">
        <f t="shared" si="139"/>
        <v>0</v>
      </c>
      <c r="AB166" s="106">
        <f t="shared" si="139"/>
        <v>723601.24374840152</v>
      </c>
      <c r="AC166" s="106">
        <f t="shared" si="139"/>
        <v>0</v>
      </c>
      <c r="AD166" s="106">
        <f t="shared" si="139"/>
        <v>1168772.4167881408</v>
      </c>
      <c r="AE166" s="106">
        <f t="shared" si="139"/>
        <v>0</v>
      </c>
      <c r="AF166" s="106">
        <f t="shared" si="139"/>
        <v>1756578.8412194795</v>
      </c>
      <c r="AG166" s="64"/>
      <c r="AH166" s="106">
        <f t="shared" ref="AH166:AO166" si="140">SUM(AH167:AH168)</f>
        <v>0</v>
      </c>
      <c r="AI166" s="106">
        <f t="shared" si="140"/>
        <v>376196.33248787839</v>
      </c>
      <c r="AJ166" s="106">
        <f t="shared" si="140"/>
        <v>0</v>
      </c>
      <c r="AK166" s="106">
        <f t="shared" si="140"/>
        <v>723601.24374840152</v>
      </c>
      <c r="AL166" s="106">
        <f t="shared" si="140"/>
        <v>0</v>
      </c>
      <c r="AM166" s="106">
        <f t="shared" si="140"/>
        <v>1168772.4167881408</v>
      </c>
      <c r="AN166" s="106">
        <f t="shared" si="140"/>
        <v>0</v>
      </c>
      <c r="AO166" s="106">
        <f t="shared" si="140"/>
        <v>1756578.8412194795</v>
      </c>
      <c r="AP166" s="64"/>
      <c r="AQ166" s="106">
        <f t="shared" ref="AQ166:AX166" si="141">SUM(AQ167:AQ168)</f>
        <v>0</v>
      </c>
      <c r="AR166" s="106">
        <f t="shared" si="141"/>
        <v>376196.33248787839</v>
      </c>
      <c r="AS166" s="106">
        <f t="shared" si="141"/>
        <v>0</v>
      </c>
      <c r="AT166" s="106">
        <f t="shared" si="141"/>
        <v>723601.24374840152</v>
      </c>
      <c r="AU166" s="106">
        <f t="shared" si="141"/>
        <v>0</v>
      </c>
      <c r="AV166" s="106">
        <f t="shared" si="141"/>
        <v>1168772.4167881408</v>
      </c>
      <c r="AW166" s="106">
        <f t="shared" si="141"/>
        <v>0</v>
      </c>
      <c r="AX166" s="106">
        <f t="shared" si="141"/>
        <v>1756578.8412194795</v>
      </c>
      <c r="AY166" s="106"/>
      <c r="AZ166" s="195">
        <f>AX166/AV166-1</f>
        <v>0.50292633192582281</v>
      </c>
      <c r="BA166" s="64"/>
      <c r="BB166" s="106">
        <f t="shared" ref="BB166:BI166" si="142">SUM(BB167:BB168)</f>
        <v>0</v>
      </c>
      <c r="BC166" s="106">
        <f t="shared" si="142"/>
        <v>376196.33248787839</v>
      </c>
      <c r="BD166" s="106">
        <f t="shared" si="142"/>
        <v>0</v>
      </c>
      <c r="BE166" s="106">
        <f t="shared" si="142"/>
        <v>723601.24374840152</v>
      </c>
      <c r="BF166" s="106">
        <f t="shared" si="142"/>
        <v>0</v>
      </c>
      <c r="BG166" s="106">
        <f t="shared" si="142"/>
        <v>1168772.4167881408</v>
      </c>
      <c r="BH166" s="106">
        <f t="shared" si="142"/>
        <v>0</v>
      </c>
      <c r="BI166" s="106">
        <f t="shared" si="142"/>
        <v>1756578.8412194795</v>
      </c>
    </row>
    <row r="167" spans="2:61" x14ac:dyDescent="0.3">
      <c r="C167" s="65" t="s">
        <v>137</v>
      </c>
      <c r="D167" s="77"/>
      <c r="E167" s="98"/>
      <c r="F167" s="97">
        <f>SUM('Quarterly I.S'!G167:I167)</f>
        <v>264590.23498995003</v>
      </c>
      <c r="G167" s="98"/>
      <c r="H167" s="97">
        <f>SUM('Quarterly I.S'!K167:M167)</f>
        <v>397482.84805509646</v>
      </c>
      <c r="I167" s="98"/>
      <c r="J167" s="97">
        <f>SUM('Quarterly I.S'!O167:Q167)</f>
        <v>564749.72140295454</v>
      </c>
      <c r="K167" s="97"/>
      <c r="L167" s="97">
        <f>SUM('Quarterly I.S'!S167:U167)</f>
        <v>766221.15413561231</v>
      </c>
      <c r="M167" s="190">
        <f>L167/J167-1</f>
        <v>0.35674463412245916</v>
      </c>
      <c r="N167" s="132"/>
      <c r="O167" s="67">
        <f>$E167</f>
        <v>0</v>
      </c>
      <c r="P167" s="67">
        <f>$F167</f>
        <v>264590.23498995003</v>
      </c>
      <c r="Q167" s="67">
        <f>$G167</f>
        <v>0</v>
      </c>
      <c r="R167" s="67">
        <f>$H167</f>
        <v>397482.84805509646</v>
      </c>
      <c r="S167" s="67">
        <f>$I167</f>
        <v>0</v>
      </c>
      <c r="T167" s="67">
        <f>$J167</f>
        <v>564749.72140295454</v>
      </c>
      <c r="U167" s="67">
        <f>$K167</f>
        <v>0</v>
      </c>
      <c r="V167" s="67">
        <f>$L167</f>
        <v>766221.15413561231</v>
      </c>
      <c r="W167" s="190">
        <f>V167/T167-1</f>
        <v>0.35674463412245916</v>
      </c>
      <c r="X167" s="64"/>
      <c r="Y167" s="67">
        <f>$E167</f>
        <v>0</v>
      </c>
      <c r="Z167" s="67">
        <f>$F167</f>
        <v>264590.23498995003</v>
      </c>
      <c r="AA167" s="67">
        <f>$G167</f>
        <v>0</v>
      </c>
      <c r="AB167" s="67">
        <f>$H167</f>
        <v>397482.84805509646</v>
      </c>
      <c r="AC167" s="67">
        <f>$I167</f>
        <v>0</v>
      </c>
      <c r="AD167" s="67">
        <f>$J167</f>
        <v>564749.72140295454</v>
      </c>
      <c r="AE167" s="67">
        <f>$K167</f>
        <v>0</v>
      </c>
      <c r="AF167" s="67">
        <f>$L167</f>
        <v>766221.15413561231</v>
      </c>
      <c r="AG167" s="64"/>
      <c r="AH167" s="67">
        <f>$E167</f>
        <v>0</v>
      </c>
      <c r="AI167" s="67">
        <f>$F167</f>
        <v>264590.23498995003</v>
      </c>
      <c r="AJ167" s="67">
        <f>$G167</f>
        <v>0</v>
      </c>
      <c r="AK167" s="67">
        <f>$H167</f>
        <v>397482.84805509646</v>
      </c>
      <c r="AL167" s="67">
        <f>$I167</f>
        <v>0</v>
      </c>
      <c r="AM167" s="67">
        <f>$J167</f>
        <v>564749.72140295454</v>
      </c>
      <c r="AN167" s="67">
        <f>$K167</f>
        <v>0</v>
      </c>
      <c r="AO167" s="67">
        <f>$L167</f>
        <v>766221.15413561231</v>
      </c>
      <c r="AP167" s="64"/>
      <c r="AQ167" s="67">
        <f>$E167</f>
        <v>0</v>
      </c>
      <c r="AR167" s="67">
        <f>$F167</f>
        <v>264590.23498995003</v>
      </c>
      <c r="AS167" s="67">
        <f>$G167</f>
        <v>0</v>
      </c>
      <c r="AT167" s="67">
        <f>$H167</f>
        <v>397482.84805509646</v>
      </c>
      <c r="AU167" s="67">
        <f>$I167</f>
        <v>0</v>
      </c>
      <c r="AV167" s="67">
        <f>$J167</f>
        <v>564749.72140295454</v>
      </c>
      <c r="AW167" s="67">
        <f>$K167</f>
        <v>0</v>
      </c>
      <c r="AX167" s="67">
        <f>$L167</f>
        <v>766221.15413561231</v>
      </c>
      <c r="AY167" s="67"/>
      <c r="AZ167" s="190">
        <f>AX167/AV167-1</f>
        <v>0.35674463412245916</v>
      </c>
      <c r="BA167" s="134"/>
      <c r="BB167" s="67">
        <f>$E167</f>
        <v>0</v>
      </c>
      <c r="BC167" s="67">
        <f>$F167</f>
        <v>264590.23498995003</v>
      </c>
      <c r="BD167" s="67">
        <f>$G167</f>
        <v>0</v>
      </c>
      <c r="BE167" s="67">
        <f>$H167</f>
        <v>397482.84805509646</v>
      </c>
      <c r="BF167" s="67">
        <f>$I167</f>
        <v>0</v>
      </c>
      <c r="BG167" s="67">
        <f>$J167</f>
        <v>564749.72140295454</v>
      </c>
      <c r="BH167" s="67">
        <f>$K167</f>
        <v>0</v>
      </c>
      <c r="BI167" s="67">
        <f>$L167</f>
        <v>766221.15413561231</v>
      </c>
    </row>
    <row r="168" spans="2:61" x14ac:dyDescent="0.3">
      <c r="C168" s="65" t="s">
        <v>138</v>
      </c>
      <c r="D168" s="77"/>
      <c r="E168" s="98"/>
      <c r="F168" s="97">
        <f>SUM('Quarterly I.S'!G168:I168)</f>
        <v>111606.09749792839</v>
      </c>
      <c r="G168" s="98"/>
      <c r="H168" s="97">
        <f>SUM('Quarterly I.S'!K168:M168)</f>
        <v>326118.39569330501</v>
      </c>
      <c r="I168" s="98"/>
      <c r="J168" s="97">
        <f>SUM('Quarterly I.S'!O168:Q168)</f>
        <v>604022.69538518612</v>
      </c>
      <c r="K168" s="97"/>
      <c r="L168" s="97">
        <f>SUM('Quarterly I.S'!S168:U168)</f>
        <v>990357.68708386715</v>
      </c>
      <c r="M168" s="190">
        <f>L168/J168-1</f>
        <v>0.63960343651046858</v>
      </c>
      <c r="N168" s="132"/>
      <c r="O168" s="67">
        <f>$E168</f>
        <v>0</v>
      </c>
      <c r="P168" s="67">
        <f>$F168</f>
        <v>111606.09749792839</v>
      </c>
      <c r="Q168" s="67">
        <f>$G168</f>
        <v>0</v>
      </c>
      <c r="R168" s="67">
        <f>$H168</f>
        <v>326118.39569330501</v>
      </c>
      <c r="S168" s="67">
        <f>$I168</f>
        <v>0</v>
      </c>
      <c r="T168" s="67">
        <f>$J168</f>
        <v>604022.69538518612</v>
      </c>
      <c r="U168" s="67">
        <f>$K168</f>
        <v>0</v>
      </c>
      <c r="V168" s="67">
        <f>$L168</f>
        <v>990357.68708386715</v>
      </c>
      <c r="W168" s="190">
        <f>V168/T168-1</f>
        <v>0.63960343651046858</v>
      </c>
      <c r="X168" s="64"/>
      <c r="Y168" s="67">
        <f>$E168</f>
        <v>0</v>
      </c>
      <c r="Z168" s="67">
        <f>$F168</f>
        <v>111606.09749792839</v>
      </c>
      <c r="AA168" s="67">
        <f>$G168</f>
        <v>0</v>
      </c>
      <c r="AB168" s="67">
        <f>$H168</f>
        <v>326118.39569330501</v>
      </c>
      <c r="AC168" s="67">
        <f>$I168</f>
        <v>0</v>
      </c>
      <c r="AD168" s="67">
        <f>$J168</f>
        <v>604022.69538518612</v>
      </c>
      <c r="AE168" s="67">
        <f>$K168</f>
        <v>0</v>
      </c>
      <c r="AF168" s="67">
        <f>$L168</f>
        <v>990357.68708386715</v>
      </c>
      <c r="AG168" s="64"/>
      <c r="AH168" s="67">
        <f>$E168</f>
        <v>0</v>
      </c>
      <c r="AI168" s="67">
        <f>$F168</f>
        <v>111606.09749792839</v>
      </c>
      <c r="AJ168" s="67">
        <f>$G168</f>
        <v>0</v>
      </c>
      <c r="AK168" s="67">
        <f>$H168</f>
        <v>326118.39569330501</v>
      </c>
      <c r="AL168" s="67">
        <f>$I168</f>
        <v>0</v>
      </c>
      <c r="AM168" s="67">
        <f>$J168</f>
        <v>604022.69538518612</v>
      </c>
      <c r="AN168" s="67">
        <f>$K168</f>
        <v>0</v>
      </c>
      <c r="AO168" s="67">
        <f>$L168</f>
        <v>990357.68708386715</v>
      </c>
      <c r="AP168" s="64"/>
      <c r="AQ168" s="67">
        <f>$E168</f>
        <v>0</v>
      </c>
      <c r="AR168" s="67">
        <f>$F168</f>
        <v>111606.09749792839</v>
      </c>
      <c r="AS168" s="67">
        <f>$G168</f>
        <v>0</v>
      </c>
      <c r="AT168" s="67">
        <f>$H168</f>
        <v>326118.39569330501</v>
      </c>
      <c r="AU168" s="67">
        <f>$I168</f>
        <v>0</v>
      </c>
      <c r="AV168" s="67">
        <f>$J168</f>
        <v>604022.69538518612</v>
      </c>
      <c r="AW168" s="67">
        <f>$K168</f>
        <v>0</v>
      </c>
      <c r="AX168" s="67">
        <f>$L168</f>
        <v>990357.68708386715</v>
      </c>
      <c r="AY168" s="67"/>
      <c r="AZ168" s="190">
        <f>AX168/AV168-1</f>
        <v>0.63960343651046858</v>
      </c>
      <c r="BA168" s="134"/>
      <c r="BB168" s="67">
        <f>$E168</f>
        <v>0</v>
      </c>
      <c r="BC168" s="67">
        <f>$F168</f>
        <v>111606.09749792839</v>
      </c>
      <c r="BD168" s="67">
        <f>$G168</f>
        <v>0</v>
      </c>
      <c r="BE168" s="67">
        <f>$H168</f>
        <v>326118.39569330501</v>
      </c>
      <c r="BF168" s="67">
        <f>$I168</f>
        <v>0</v>
      </c>
      <c r="BG168" s="67">
        <f>$J168</f>
        <v>604022.69538518612</v>
      </c>
      <c r="BH168" s="67">
        <f>$K168</f>
        <v>0</v>
      </c>
      <c r="BI168" s="67">
        <f>$L168</f>
        <v>990357.68708386715</v>
      </c>
    </row>
    <row r="169" spans="2:61" x14ac:dyDescent="0.3">
      <c r="C169" s="65" t="s">
        <v>51</v>
      </c>
      <c r="D169" s="77"/>
      <c r="E169" s="148"/>
      <c r="F169" s="148">
        <f>F166-F41</f>
        <v>-0.40951212157960981</v>
      </c>
      <c r="G169" s="148"/>
      <c r="H169" s="148">
        <f>H166-H41</f>
        <v>8.7484015384688973E-3</v>
      </c>
      <c r="I169" s="148"/>
      <c r="J169" s="148">
        <f>J166-J41</f>
        <v>-2.7211859356611967E-2</v>
      </c>
      <c r="K169" s="148"/>
      <c r="L169" s="148">
        <f>L166-L41</f>
        <v>-6.8780520698055625E-2</v>
      </c>
      <c r="M169" s="149"/>
      <c r="N169" s="132"/>
      <c r="O169" s="67"/>
      <c r="P169" s="67"/>
      <c r="Q169" s="67"/>
      <c r="R169" s="67"/>
      <c r="S169" s="67"/>
      <c r="T169" s="67"/>
      <c r="U169" s="67"/>
      <c r="V169" s="67"/>
      <c r="W169" s="149"/>
      <c r="X169" s="64"/>
      <c r="Y169" s="67"/>
      <c r="Z169" s="67"/>
      <c r="AA169" s="67"/>
      <c r="AB169" s="67"/>
      <c r="AC169" s="67"/>
      <c r="AD169" s="67"/>
      <c r="AE169" s="67"/>
      <c r="AF169" s="67"/>
      <c r="AG169" s="64"/>
      <c r="AH169" s="67"/>
      <c r="AI169" s="67"/>
      <c r="AJ169" s="67"/>
      <c r="AK169" s="67"/>
      <c r="AL169" s="67"/>
      <c r="AM169" s="67"/>
      <c r="AN169" s="67"/>
      <c r="AO169" s="67"/>
      <c r="AP169" s="64"/>
      <c r="AQ169" s="67"/>
      <c r="AR169" s="67"/>
      <c r="AS169" s="67"/>
      <c r="AT169" s="67"/>
      <c r="AU169" s="67"/>
      <c r="AV169" s="67"/>
      <c r="AW169" s="67"/>
      <c r="AX169" s="67"/>
      <c r="AY169" s="67"/>
      <c r="AZ169" s="149"/>
      <c r="BA169" s="134"/>
      <c r="BB169" s="67"/>
      <c r="BC169" s="67"/>
      <c r="BD169" s="67"/>
      <c r="BE169" s="67"/>
      <c r="BF169" s="67"/>
      <c r="BG169" s="67"/>
      <c r="BH169" s="67"/>
      <c r="BI169" s="67"/>
    </row>
    <row r="170" spans="2:61" x14ac:dyDescent="0.3">
      <c r="C170" s="65"/>
      <c r="D170" s="77"/>
      <c r="E170" s="148"/>
      <c r="F170" s="148"/>
      <c r="G170" s="148"/>
      <c r="H170" s="149"/>
      <c r="I170" s="148"/>
      <c r="J170" s="149"/>
      <c r="K170" s="149"/>
      <c r="L170" s="149"/>
      <c r="M170" s="149"/>
      <c r="N170" s="132"/>
      <c r="O170" s="67"/>
      <c r="P170" s="67"/>
      <c r="Q170" s="67"/>
      <c r="R170" s="67"/>
      <c r="S170" s="67"/>
      <c r="T170" s="67"/>
      <c r="U170" s="67"/>
      <c r="V170" s="67"/>
      <c r="W170" s="149"/>
      <c r="X170" s="64"/>
      <c r="Y170" s="67"/>
      <c r="Z170" s="67"/>
      <c r="AA170" s="67"/>
      <c r="AB170" s="67"/>
      <c r="AC170" s="67"/>
      <c r="AD170" s="67"/>
      <c r="AE170" s="67"/>
      <c r="AF170" s="67"/>
      <c r="AG170" s="64"/>
      <c r="AH170" s="67"/>
      <c r="AI170" s="67"/>
      <c r="AJ170" s="67"/>
      <c r="AK170" s="67"/>
      <c r="AL170" s="67"/>
      <c r="AM170" s="67"/>
      <c r="AN170" s="67"/>
      <c r="AO170" s="67"/>
      <c r="AP170" s="64"/>
      <c r="AQ170" s="67"/>
      <c r="AR170" s="67"/>
      <c r="AS170" s="67"/>
      <c r="AT170" s="67"/>
      <c r="AU170" s="67"/>
      <c r="AV170" s="67"/>
      <c r="AW170" s="67"/>
      <c r="AX170" s="67"/>
      <c r="AY170" s="67"/>
      <c r="AZ170" s="149"/>
      <c r="BA170" s="134"/>
      <c r="BB170" s="67"/>
      <c r="BC170" s="67"/>
      <c r="BD170" s="67"/>
      <c r="BE170" s="67"/>
      <c r="BF170" s="67"/>
      <c r="BG170" s="67"/>
      <c r="BH170" s="67"/>
      <c r="BI170" s="67"/>
    </row>
    <row r="171" spans="2:61" x14ac:dyDescent="0.3">
      <c r="C171" s="65" t="s">
        <v>170</v>
      </c>
      <c r="D171" s="77"/>
      <c r="E171" s="149"/>
      <c r="F171" s="149">
        <f>F167/F$166</f>
        <v>0.70333018198276964</v>
      </c>
      <c r="G171" s="149"/>
      <c r="H171" s="149">
        <f>H167/H$166</f>
        <v>0.54931200227912058</v>
      </c>
      <c r="I171" s="149"/>
      <c r="J171" s="149">
        <f>J167/J$166</f>
        <v>0.48319904995270324</v>
      </c>
      <c r="K171" s="149"/>
      <c r="L171" s="149">
        <f>L167/L$166</f>
        <v>0.43620083320807529</v>
      </c>
      <c r="M171" s="149"/>
      <c r="N171" s="132"/>
      <c r="O171" s="67"/>
      <c r="P171" s="67"/>
      <c r="Q171" s="67"/>
      <c r="R171" s="67"/>
      <c r="S171" s="67"/>
      <c r="T171" s="67"/>
      <c r="U171" s="67"/>
      <c r="V171" s="67"/>
      <c r="W171" s="149"/>
      <c r="X171" s="64"/>
      <c r="Y171" s="67"/>
      <c r="Z171" s="67"/>
      <c r="AA171" s="67"/>
      <c r="AB171" s="67"/>
      <c r="AC171" s="67"/>
      <c r="AD171" s="67"/>
      <c r="AE171" s="67"/>
      <c r="AF171" s="67"/>
      <c r="AG171" s="64"/>
      <c r="AH171" s="67"/>
      <c r="AI171" s="67"/>
      <c r="AJ171" s="67"/>
      <c r="AK171" s="67"/>
      <c r="AL171" s="67"/>
      <c r="AM171" s="67"/>
      <c r="AN171" s="67"/>
      <c r="AO171" s="67"/>
      <c r="AP171" s="64"/>
      <c r="AQ171" s="67"/>
      <c r="AR171" s="67"/>
      <c r="AS171" s="67"/>
      <c r="AT171" s="67"/>
      <c r="AU171" s="67"/>
      <c r="AV171" s="67"/>
      <c r="AW171" s="67"/>
      <c r="AX171" s="67"/>
      <c r="AY171" s="67"/>
      <c r="AZ171" s="149"/>
      <c r="BA171" s="134"/>
      <c r="BB171" s="67"/>
      <c r="BC171" s="67"/>
      <c r="BD171" s="67"/>
      <c r="BE171" s="67"/>
      <c r="BF171" s="67"/>
      <c r="BG171" s="67"/>
      <c r="BH171" s="67"/>
      <c r="BI171" s="67"/>
    </row>
    <row r="172" spans="2:61" x14ac:dyDescent="0.3">
      <c r="C172" s="65" t="s">
        <v>169</v>
      </c>
      <c r="D172" s="77"/>
      <c r="E172" s="149"/>
      <c r="F172" s="149">
        <f>F168/F$166</f>
        <v>0.29666981801723041</v>
      </c>
      <c r="G172" s="149"/>
      <c r="H172" s="149">
        <f>H168/H$166</f>
        <v>0.45068799772087931</v>
      </c>
      <c r="I172" s="149"/>
      <c r="J172" s="149">
        <f>J168/J$166</f>
        <v>0.51680095004729665</v>
      </c>
      <c r="K172" s="149"/>
      <c r="L172" s="149">
        <f>L168/L$166</f>
        <v>0.56379916679192477</v>
      </c>
      <c r="M172" s="149"/>
      <c r="N172" s="132"/>
      <c r="O172" s="67"/>
      <c r="P172" s="67"/>
      <c r="Q172" s="67"/>
      <c r="R172" s="67"/>
      <c r="S172" s="67"/>
      <c r="T172" s="67"/>
      <c r="U172" s="67"/>
      <c r="V172" s="67"/>
      <c r="W172" s="149"/>
      <c r="X172" s="64"/>
      <c r="Y172" s="67"/>
      <c r="Z172" s="67"/>
      <c r="AA172" s="67"/>
      <c r="AB172" s="67"/>
      <c r="AC172" s="67"/>
      <c r="AD172" s="67"/>
      <c r="AE172" s="67"/>
      <c r="AF172" s="67"/>
      <c r="AG172" s="64"/>
      <c r="AH172" s="67"/>
      <c r="AI172" s="67"/>
      <c r="AJ172" s="67"/>
      <c r="AK172" s="67"/>
      <c r="AL172" s="67"/>
      <c r="AM172" s="67"/>
      <c r="AN172" s="67"/>
      <c r="AO172" s="67"/>
      <c r="AP172" s="64"/>
      <c r="AQ172" s="67"/>
      <c r="AR172" s="67"/>
      <c r="AS172" s="67"/>
      <c r="AT172" s="67"/>
      <c r="AU172" s="67"/>
      <c r="AV172" s="67"/>
      <c r="AW172" s="67"/>
      <c r="AX172" s="67"/>
      <c r="AY172" s="67"/>
      <c r="AZ172" s="149"/>
      <c r="BA172" s="134"/>
      <c r="BB172" s="67"/>
      <c r="BC172" s="67"/>
      <c r="BD172" s="67"/>
      <c r="BE172" s="67"/>
      <c r="BF172" s="67"/>
      <c r="BG172" s="67"/>
      <c r="BH172" s="67"/>
      <c r="BI172" s="67"/>
    </row>
    <row r="173" spans="2:61" x14ac:dyDescent="0.3">
      <c r="C173" s="65"/>
      <c r="D173" s="77"/>
      <c r="E173" s="42"/>
      <c r="F173" s="42"/>
      <c r="G173" s="42"/>
      <c r="H173" s="42"/>
      <c r="I173" s="42"/>
      <c r="J173" s="42"/>
      <c r="K173" s="42"/>
      <c r="L173" s="42"/>
      <c r="O173" s="67"/>
      <c r="P173" s="67"/>
      <c r="Q173" s="67"/>
      <c r="R173" s="67"/>
      <c r="S173" s="67"/>
      <c r="T173" s="67"/>
      <c r="U173" s="67"/>
      <c r="V173" s="67"/>
      <c r="X173" s="64"/>
      <c r="Y173" s="67"/>
      <c r="Z173" s="67"/>
      <c r="AA173" s="67"/>
      <c r="AB173" s="67"/>
      <c r="AC173" s="67"/>
      <c r="AD173" s="67"/>
      <c r="AE173" s="67"/>
      <c r="AF173" s="67"/>
      <c r="AG173" s="64"/>
      <c r="AH173" s="67"/>
      <c r="AI173" s="67"/>
      <c r="AJ173" s="67"/>
      <c r="AK173" s="67"/>
      <c r="AL173" s="67"/>
      <c r="AM173" s="67"/>
      <c r="AN173" s="67"/>
      <c r="AO173" s="67"/>
      <c r="AP173" s="64"/>
      <c r="AQ173" s="67"/>
      <c r="AR173" s="67"/>
      <c r="AS173" s="67"/>
      <c r="AT173" s="67"/>
      <c r="AU173" s="67"/>
      <c r="AV173" s="67"/>
      <c r="AW173" s="67"/>
      <c r="AX173" s="67"/>
      <c r="AY173" s="67"/>
      <c r="BA173" s="64"/>
      <c r="BB173" s="67"/>
      <c r="BC173" s="67"/>
      <c r="BD173" s="67"/>
      <c r="BE173" s="67"/>
      <c r="BF173" s="67"/>
      <c r="BG173" s="67"/>
      <c r="BH173" s="67"/>
      <c r="BI173" s="67"/>
    </row>
    <row r="174" spans="2:61" x14ac:dyDescent="0.3">
      <c r="C174" s="105" t="s">
        <v>139</v>
      </c>
      <c r="D174" s="128"/>
      <c r="E174" s="106">
        <f t="shared" ref="E174:J174" si="143">SUM(E175:E176)</f>
        <v>0</v>
      </c>
      <c r="F174" s="106">
        <f t="shared" si="143"/>
        <v>59078</v>
      </c>
      <c r="G174" s="106">
        <f t="shared" si="143"/>
        <v>0</v>
      </c>
      <c r="H174" s="106">
        <f t="shared" si="143"/>
        <v>56638</v>
      </c>
      <c r="I174" s="106">
        <f t="shared" si="143"/>
        <v>0</v>
      </c>
      <c r="J174" s="106">
        <f t="shared" si="143"/>
        <v>60270</v>
      </c>
      <c r="K174" s="106">
        <f>SUM(K175:K176)</f>
        <v>0</v>
      </c>
      <c r="L174" s="106">
        <f>SUM(L175:L176)</f>
        <v>120388</v>
      </c>
      <c r="M174" s="195">
        <f>L174/J174-1</f>
        <v>0.99747801559648241</v>
      </c>
      <c r="O174" s="106">
        <f t="shared" ref="O174:V174" si="144">SUM(O175:O176)</f>
        <v>0</v>
      </c>
      <c r="P174" s="106">
        <f t="shared" si="144"/>
        <v>59078</v>
      </c>
      <c r="Q174" s="106">
        <f t="shared" si="144"/>
        <v>0</v>
      </c>
      <c r="R174" s="106">
        <f t="shared" si="144"/>
        <v>56638</v>
      </c>
      <c r="S174" s="106">
        <f t="shared" si="144"/>
        <v>0</v>
      </c>
      <c r="T174" s="106">
        <f t="shared" si="144"/>
        <v>60270</v>
      </c>
      <c r="U174" s="106">
        <f t="shared" si="144"/>
        <v>0</v>
      </c>
      <c r="V174" s="106">
        <f t="shared" si="144"/>
        <v>120388</v>
      </c>
      <c r="W174" s="195">
        <f>V174/T174-1</f>
        <v>0.99747801559648241</v>
      </c>
      <c r="X174" s="64"/>
      <c r="Y174" s="106">
        <f t="shared" ref="Y174:AF174" si="145">SUM(Y175:Y176)</f>
        <v>0</v>
      </c>
      <c r="Z174" s="106">
        <f t="shared" si="145"/>
        <v>59078</v>
      </c>
      <c r="AA174" s="106">
        <f t="shared" si="145"/>
        <v>0</v>
      </c>
      <c r="AB174" s="106">
        <f t="shared" si="145"/>
        <v>56638</v>
      </c>
      <c r="AC174" s="106">
        <f t="shared" si="145"/>
        <v>0</v>
      </c>
      <c r="AD174" s="106">
        <f t="shared" si="145"/>
        <v>60270</v>
      </c>
      <c r="AE174" s="106">
        <f t="shared" si="145"/>
        <v>0</v>
      </c>
      <c r="AF174" s="106">
        <f t="shared" si="145"/>
        <v>120388</v>
      </c>
      <c r="AG174" s="64"/>
      <c r="AH174" s="106">
        <f t="shared" ref="AH174:AO174" si="146">SUM(AH175:AH176)</f>
        <v>0</v>
      </c>
      <c r="AI174" s="106">
        <f t="shared" si="146"/>
        <v>59078</v>
      </c>
      <c r="AJ174" s="106">
        <f t="shared" si="146"/>
        <v>0</v>
      </c>
      <c r="AK174" s="106">
        <f t="shared" si="146"/>
        <v>56638</v>
      </c>
      <c r="AL174" s="106">
        <f t="shared" si="146"/>
        <v>0</v>
      </c>
      <c r="AM174" s="106">
        <f t="shared" si="146"/>
        <v>60270</v>
      </c>
      <c r="AN174" s="106">
        <f t="shared" si="146"/>
        <v>0</v>
      </c>
      <c r="AO174" s="106">
        <f t="shared" si="146"/>
        <v>120388</v>
      </c>
      <c r="AP174" s="64"/>
      <c r="AQ174" s="106">
        <f t="shared" ref="AQ174:AX174" si="147">SUM(AQ175:AQ176)</f>
        <v>0</v>
      </c>
      <c r="AR174" s="106">
        <f t="shared" si="147"/>
        <v>59078</v>
      </c>
      <c r="AS174" s="106">
        <f t="shared" si="147"/>
        <v>0</v>
      </c>
      <c r="AT174" s="106">
        <f t="shared" si="147"/>
        <v>56638</v>
      </c>
      <c r="AU174" s="106">
        <f t="shared" si="147"/>
        <v>0</v>
      </c>
      <c r="AV174" s="106">
        <f t="shared" si="147"/>
        <v>60270</v>
      </c>
      <c r="AW174" s="106">
        <f t="shared" si="147"/>
        <v>0</v>
      </c>
      <c r="AX174" s="106">
        <f t="shared" si="147"/>
        <v>120388</v>
      </c>
      <c r="AY174" s="106"/>
      <c r="AZ174" s="195">
        <f>AX174/AV174-1</f>
        <v>0.99747801559648241</v>
      </c>
      <c r="BA174" s="64"/>
      <c r="BB174" s="106">
        <f t="shared" ref="BB174:BI174" si="148">SUM(BB175:BB176)</f>
        <v>0</v>
      </c>
      <c r="BC174" s="106">
        <f t="shared" si="148"/>
        <v>59078</v>
      </c>
      <c r="BD174" s="106">
        <f t="shared" si="148"/>
        <v>0</v>
      </c>
      <c r="BE174" s="106">
        <f t="shared" si="148"/>
        <v>56638</v>
      </c>
      <c r="BF174" s="106">
        <f t="shared" si="148"/>
        <v>0</v>
      </c>
      <c r="BG174" s="106">
        <f t="shared" si="148"/>
        <v>60270</v>
      </c>
      <c r="BH174" s="106">
        <f t="shared" si="148"/>
        <v>0</v>
      </c>
      <c r="BI174" s="106">
        <f t="shared" si="148"/>
        <v>120388</v>
      </c>
    </row>
    <row r="175" spans="2:61" x14ac:dyDescent="0.3">
      <c r="C175" s="65" t="s">
        <v>137</v>
      </c>
      <c r="D175" s="77"/>
      <c r="E175" s="98"/>
      <c r="F175" s="97">
        <f>SUM('Quarterly I.S'!G175:I175)</f>
        <v>58788</v>
      </c>
      <c r="G175" s="98"/>
      <c r="H175" s="97">
        <f>SUM('Quarterly I.S'!K175:M175)</f>
        <v>54444</v>
      </c>
      <c r="I175" s="98"/>
      <c r="J175" s="97">
        <f>SUM('Quarterly I.S'!O175:Q175)</f>
        <v>52008</v>
      </c>
      <c r="K175" s="97"/>
      <c r="L175" s="97">
        <f>SUM('Quarterly I.S'!S175:U175)</f>
        <v>91247</v>
      </c>
      <c r="M175" s="190">
        <f>L175/J175-1</f>
        <v>0.75448007998769429</v>
      </c>
      <c r="O175" s="67">
        <f>$E175</f>
        <v>0</v>
      </c>
      <c r="P175" s="67">
        <f>$F175</f>
        <v>58788</v>
      </c>
      <c r="Q175" s="67">
        <f>$G175</f>
        <v>0</v>
      </c>
      <c r="R175" s="67">
        <f>$H175</f>
        <v>54444</v>
      </c>
      <c r="S175" s="67">
        <f>$I175</f>
        <v>0</v>
      </c>
      <c r="T175" s="67">
        <f>$J175</f>
        <v>52008</v>
      </c>
      <c r="U175" s="67">
        <f>$K175</f>
        <v>0</v>
      </c>
      <c r="V175" s="67">
        <f>$L175</f>
        <v>91247</v>
      </c>
      <c r="W175" s="190">
        <f>V175/T175-1</f>
        <v>0.75448007998769429</v>
      </c>
      <c r="X175" s="64"/>
      <c r="Y175" s="67">
        <f>$E175</f>
        <v>0</v>
      </c>
      <c r="Z175" s="67">
        <f>$F175</f>
        <v>58788</v>
      </c>
      <c r="AA175" s="67">
        <f>$G175</f>
        <v>0</v>
      </c>
      <c r="AB175" s="67">
        <f>$H175</f>
        <v>54444</v>
      </c>
      <c r="AC175" s="67">
        <f>$I175</f>
        <v>0</v>
      </c>
      <c r="AD175" s="67">
        <f>$J175</f>
        <v>52008</v>
      </c>
      <c r="AE175" s="67">
        <f>$K175</f>
        <v>0</v>
      </c>
      <c r="AF175" s="67">
        <f>$L175</f>
        <v>91247</v>
      </c>
      <c r="AG175" s="64"/>
      <c r="AH175" s="67">
        <f>$E175</f>
        <v>0</v>
      </c>
      <c r="AI175" s="67">
        <f>$F175</f>
        <v>58788</v>
      </c>
      <c r="AJ175" s="67">
        <f>$G175</f>
        <v>0</v>
      </c>
      <c r="AK175" s="67">
        <f>$H175</f>
        <v>54444</v>
      </c>
      <c r="AL175" s="67">
        <f>$I175</f>
        <v>0</v>
      </c>
      <c r="AM175" s="67">
        <f>$J175</f>
        <v>52008</v>
      </c>
      <c r="AN175" s="67">
        <f>$K175</f>
        <v>0</v>
      </c>
      <c r="AO175" s="67">
        <f>$L175</f>
        <v>91247</v>
      </c>
      <c r="AP175" s="64"/>
      <c r="AQ175" s="67">
        <f>$E175</f>
        <v>0</v>
      </c>
      <c r="AR175" s="67">
        <f>$F175</f>
        <v>58788</v>
      </c>
      <c r="AS175" s="67">
        <f>$G175</f>
        <v>0</v>
      </c>
      <c r="AT175" s="67">
        <f>$H175</f>
        <v>54444</v>
      </c>
      <c r="AU175" s="67">
        <f>$I175</f>
        <v>0</v>
      </c>
      <c r="AV175" s="67">
        <f>$J175</f>
        <v>52008</v>
      </c>
      <c r="AW175" s="67">
        <f>$K175</f>
        <v>0</v>
      </c>
      <c r="AX175" s="67">
        <f>$L175</f>
        <v>91247</v>
      </c>
      <c r="AY175" s="67"/>
      <c r="AZ175" s="190">
        <f>AX175/AV175-1</f>
        <v>0.75448007998769429</v>
      </c>
      <c r="BA175" s="64"/>
      <c r="BB175" s="67">
        <f>$E175</f>
        <v>0</v>
      </c>
      <c r="BC175" s="67">
        <f>$F175</f>
        <v>58788</v>
      </c>
      <c r="BD175" s="67">
        <f>$G175</f>
        <v>0</v>
      </c>
      <c r="BE175" s="67">
        <f>$H175</f>
        <v>54444</v>
      </c>
      <c r="BF175" s="67">
        <f>$I175</f>
        <v>0</v>
      </c>
      <c r="BG175" s="67">
        <f>$J175</f>
        <v>52008</v>
      </c>
      <c r="BH175" s="67">
        <f>$K175</f>
        <v>0</v>
      </c>
      <c r="BI175" s="67">
        <f>$L175</f>
        <v>91247</v>
      </c>
    </row>
    <row r="176" spans="2:61" x14ac:dyDescent="0.3">
      <c r="C176" s="65" t="s">
        <v>138</v>
      </c>
      <c r="D176" s="77"/>
      <c r="E176" s="98"/>
      <c r="F176" s="97">
        <f>SUM('Quarterly I.S'!G176:I176)</f>
        <v>290</v>
      </c>
      <c r="G176" s="98"/>
      <c r="H176" s="97">
        <f>SUM('Quarterly I.S'!K176:M176)</f>
        <v>2194</v>
      </c>
      <c r="I176" s="98"/>
      <c r="J176" s="97">
        <f>SUM('Quarterly I.S'!O176:Q176)</f>
        <v>8262</v>
      </c>
      <c r="K176" s="97"/>
      <c r="L176" s="97">
        <f>SUM('Quarterly I.S'!S176:U176)</f>
        <v>29141</v>
      </c>
      <c r="M176" s="190">
        <f>L176/J176-1</f>
        <v>2.5271120793996613</v>
      </c>
      <c r="O176" s="67">
        <f>$E176</f>
        <v>0</v>
      </c>
      <c r="P176" s="67">
        <f>$F176</f>
        <v>290</v>
      </c>
      <c r="Q176" s="67">
        <f>$G176</f>
        <v>0</v>
      </c>
      <c r="R176" s="67">
        <f>$H176</f>
        <v>2194</v>
      </c>
      <c r="S176" s="67">
        <f>$I176</f>
        <v>0</v>
      </c>
      <c r="T176" s="67">
        <f>$J176</f>
        <v>8262</v>
      </c>
      <c r="U176" s="67">
        <f>$K176</f>
        <v>0</v>
      </c>
      <c r="V176" s="67">
        <f>$L176</f>
        <v>29141</v>
      </c>
      <c r="W176" s="190">
        <f>V176/T176-1</f>
        <v>2.5271120793996613</v>
      </c>
      <c r="X176" s="64"/>
      <c r="Y176" s="67">
        <f>$E176</f>
        <v>0</v>
      </c>
      <c r="Z176" s="67">
        <f>$F176</f>
        <v>290</v>
      </c>
      <c r="AA176" s="67">
        <f>$G176</f>
        <v>0</v>
      </c>
      <c r="AB176" s="67">
        <f>$H176</f>
        <v>2194</v>
      </c>
      <c r="AC176" s="67">
        <f>$I176</f>
        <v>0</v>
      </c>
      <c r="AD176" s="67">
        <f>$J176</f>
        <v>8262</v>
      </c>
      <c r="AE176" s="67">
        <f>$K176</f>
        <v>0</v>
      </c>
      <c r="AF176" s="67">
        <f>$L176</f>
        <v>29141</v>
      </c>
      <c r="AG176" s="64"/>
      <c r="AH176" s="67">
        <f>$E176</f>
        <v>0</v>
      </c>
      <c r="AI176" s="67">
        <f>$F176</f>
        <v>290</v>
      </c>
      <c r="AJ176" s="67">
        <f>$G176</f>
        <v>0</v>
      </c>
      <c r="AK176" s="67">
        <f>$H176</f>
        <v>2194</v>
      </c>
      <c r="AL176" s="67">
        <f>$I176</f>
        <v>0</v>
      </c>
      <c r="AM176" s="67">
        <f>$J176</f>
        <v>8262</v>
      </c>
      <c r="AN176" s="67">
        <f>$K176</f>
        <v>0</v>
      </c>
      <c r="AO176" s="67">
        <f>$L176</f>
        <v>29141</v>
      </c>
      <c r="AP176" s="64"/>
      <c r="AQ176" s="67">
        <f>$E176</f>
        <v>0</v>
      </c>
      <c r="AR176" s="67">
        <f>$F176</f>
        <v>290</v>
      </c>
      <c r="AS176" s="67">
        <f>$G176</f>
        <v>0</v>
      </c>
      <c r="AT176" s="67">
        <f>$H176</f>
        <v>2194</v>
      </c>
      <c r="AU176" s="67">
        <f>$I176</f>
        <v>0</v>
      </c>
      <c r="AV176" s="67">
        <f>$J176</f>
        <v>8262</v>
      </c>
      <c r="AW176" s="67">
        <f>$K176</f>
        <v>0</v>
      </c>
      <c r="AX176" s="67">
        <f>$L176</f>
        <v>29141</v>
      </c>
      <c r="AY176" s="67"/>
      <c r="AZ176" s="190">
        <f>AX176/AV176-1</f>
        <v>2.5271120793996613</v>
      </c>
      <c r="BA176" s="64"/>
      <c r="BB176" s="67">
        <f>$E176</f>
        <v>0</v>
      </c>
      <c r="BC176" s="67">
        <f>$F176</f>
        <v>290</v>
      </c>
      <c r="BD176" s="67">
        <f>$G176</f>
        <v>0</v>
      </c>
      <c r="BE176" s="67">
        <f>$H176</f>
        <v>2194</v>
      </c>
      <c r="BF176" s="67">
        <f>$I176</f>
        <v>0</v>
      </c>
      <c r="BG176" s="67">
        <f>$J176</f>
        <v>8262</v>
      </c>
      <c r="BH176" s="67">
        <f>$K176</f>
        <v>0</v>
      </c>
      <c r="BI176" s="67">
        <f>$L176</f>
        <v>29141</v>
      </c>
    </row>
    <row r="177" spans="2:61" x14ac:dyDescent="0.3">
      <c r="C177" s="65"/>
      <c r="D177" s="77"/>
      <c r="E177" s="42"/>
      <c r="F177" s="42"/>
      <c r="G177" s="42"/>
      <c r="H177" s="42"/>
      <c r="I177" s="42"/>
      <c r="J177" s="42"/>
      <c r="K177" s="42"/>
      <c r="L177" s="42"/>
      <c r="O177" s="67"/>
      <c r="P177" s="67"/>
      <c r="Q177" s="67"/>
      <c r="R177" s="67">
        <f>$H177</f>
        <v>0</v>
      </c>
      <c r="S177" s="67"/>
      <c r="T177" s="67">
        <f>$H177</f>
        <v>0</v>
      </c>
      <c r="U177" s="67">
        <f>$H177</f>
        <v>0</v>
      </c>
      <c r="V177" s="67">
        <f>$H177</f>
        <v>0</v>
      </c>
      <c r="X177" s="64"/>
      <c r="Y177" s="67"/>
      <c r="Z177" s="67"/>
      <c r="AA177" s="67"/>
      <c r="AB177" s="67">
        <f>$H177</f>
        <v>0</v>
      </c>
      <c r="AC177" s="67"/>
      <c r="AD177" s="67">
        <f>$H177</f>
        <v>0</v>
      </c>
      <c r="AE177" s="67">
        <f>$H177</f>
        <v>0</v>
      </c>
      <c r="AF177" s="67">
        <f>$H177</f>
        <v>0</v>
      </c>
      <c r="AG177" s="64"/>
      <c r="AH177" s="67"/>
      <c r="AI177" s="67"/>
      <c r="AJ177" s="67"/>
      <c r="AK177" s="67">
        <f>$H177</f>
        <v>0</v>
      </c>
      <c r="AL177" s="67"/>
      <c r="AM177" s="67">
        <f>$H177</f>
        <v>0</v>
      </c>
      <c r="AN177" s="67">
        <f>$H177</f>
        <v>0</v>
      </c>
      <c r="AO177" s="67">
        <f>$H177</f>
        <v>0</v>
      </c>
      <c r="AP177" s="64"/>
      <c r="AQ177" s="67"/>
      <c r="AR177" s="67"/>
      <c r="AS177" s="67"/>
      <c r="AT177" s="67">
        <f>$H177</f>
        <v>0</v>
      </c>
      <c r="AU177" s="67"/>
      <c r="AV177" s="67">
        <f>$H177</f>
        <v>0</v>
      </c>
      <c r="AW177" s="67">
        <f>$H177</f>
        <v>0</v>
      </c>
      <c r="AX177" s="67">
        <f>$H177</f>
        <v>0</v>
      </c>
      <c r="AY177" s="67"/>
      <c r="BA177" s="64"/>
      <c r="BB177" s="67"/>
      <c r="BC177" s="67"/>
      <c r="BD177" s="67"/>
      <c r="BE177" s="67">
        <f>$H177</f>
        <v>0</v>
      </c>
      <c r="BF177" s="67"/>
      <c r="BG177" s="67">
        <f>$H177</f>
        <v>0</v>
      </c>
      <c r="BH177" s="67">
        <f>$H177</f>
        <v>0</v>
      </c>
      <c r="BI177" s="67">
        <f>$H177</f>
        <v>0</v>
      </c>
    </row>
    <row r="178" spans="2:61" x14ac:dyDescent="0.3">
      <c r="C178" s="65" t="s">
        <v>122</v>
      </c>
      <c r="D178" s="77"/>
      <c r="E178" s="98"/>
      <c r="F178" s="98">
        <f>'Quarterly I.S'!I178</f>
        <v>361769.58900000004</v>
      </c>
      <c r="G178" s="98"/>
      <c r="H178" s="98">
        <f>'Quarterly I.S'!M178</f>
        <v>490743.81400000001</v>
      </c>
      <c r="I178" s="98"/>
      <c r="J178" s="98">
        <f>'Quarterly I.S'!Q178</f>
        <v>811520.10400000005</v>
      </c>
      <c r="K178" s="98"/>
      <c r="L178" s="98">
        <f>'Quarterly I.S'!U178</f>
        <v>1137845.92</v>
      </c>
      <c r="M178" s="196">
        <f>L178/J178-1</f>
        <v>0.40211673671611203</v>
      </c>
      <c r="O178" s="67">
        <f>$E178</f>
        <v>0</v>
      </c>
      <c r="P178" s="67">
        <f>$F178</f>
        <v>361769.58900000004</v>
      </c>
      <c r="Q178" s="67">
        <f>$G178</f>
        <v>0</v>
      </c>
      <c r="R178" s="67">
        <f>$H178</f>
        <v>490743.81400000001</v>
      </c>
      <c r="S178" s="67">
        <f>$I178</f>
        <v>0</v>
      </c>
      <c r="T178" s="67">
        <f>$J178</f>
        <v>811520.10400000005</v>
      </c>
      <c r="U178" s="67">
        <f>$K178</f>
        <v>0</v>
      </c>
      <c r="V178" s="67">
        <f>$L178</f>
        <v>1137845.92</v>
      </c>
      <c r="W178" s="196">
        <f>V178/T178-1</f>
        <v>0.40211673671611203</v>
      </c>
      <c r="X178" s="64"/>
      <c r="Y178" s="67">
        <f>$E178</f>
        <v>0</v>
      </c>
      <c r="Z178" s="67">
        <f>$F178</f>
        <v>361769.58900000004</v>
      </c>
      <c r="AA178" s="67">
        <f>$G178</f>
        <v>0</v>
      </c>
      <c r="AB178" s="67">
        <f>$H178</f>
        <v>490743.81400000001</v>
      </c>
      <c r="AC178" s="67">
        <f>$I178</f>
        <v>0</v>
      </c>
      <c r="AD178" s="67">
        <f>$J178</f>
        <v>811520.10400000005</v>
      </c>
      <c r="AE178" s="67">
        <f>$K178</f>
        <v>0</v>
      </c>
      <c r="AF178" s="67">
        <f>$L178</f>
        <v>1137845.92</v>
      </c>
      <c r="AG178" s="64"/>
      <c r="AH178" s="67">
        <f>$E178</f>
        <v>0</v>
      </c>
      <c r="AI178" s="67">
        <f>$F178</f>
        <v>361769.58900000004</v>
      </c>
      <c r="AJ178" s="67">
        <f>$G178</f>
        <v>0</v>
      </c>
      <c r="AK178" s="67">
        <f>$H178</f>
        <v>490743.81400000001</v>
      </c>
      <c r="AL178" s="67">
        <f>$I178</f>
        <v>0</v>
      </c>
      <c r="AM178" s="67">
        <f>$J178</f>
        <v>811520.10400000005</v>
      </c>
      <c r="AN178" s="67">
        <f>$K178</f>
        <v>0</v>
      </c>
      <c r="AO178" s="67">
        <f>$L178</f>
        <v>1137845.92</v>
      </c>
      <c r="AP178" s="64"/>
      <c r="AQ178" s="67">
        <f>$E178</f>
        <v>0</v>
      </c>
      <c r="AR178" s="67">
        <f>$F178</f>
        <v>361769.58900000004</v>
      </c>
      <c r="AS178" s="67">
        <f>$G178</f>
        <v>0</v>
      </c>
      <c r="AT178" s="67">
        <f>$H178</f>
        <v>490743.81400000001</v>
      </c>
      <c r="AU178" s="67">
        <f>$I178</f>
        <v>0</v>
      </c>
      <c r="AV178" s="67">
        <f>$J178</f>
        <v>811520.10400000005</v>
      </c>
      <c r="AW178" s="67">
        <f>$K178</f>
        <v>0</v>
      </c>
      <c r="AX178" s="67">
        <f>$L178</f>
        <v>1137845.92</v>
      </c>
      <c r="AY178" s="67"/>
      <c r="AZ178" s="196">
        <f>AX178/AV178-1</f>
        <v>0.40211673671611203</v>
      </c>
      <c r="BA178" s="64"/>
      <c r="BB178" s="67">
        <f>$E178</f>
        <v>0</v>
      </c>
      <c r="BC178" s="67">
        <f>$F178</f>
        <v>361769.58900000004</v>
      </c>
      <c r="BD178" s="67">
        <f>$G178</f>
        <v>0</v>
      </c>
      <c r="BE178" s="67">
        <f>$H178</f>
        <v>490743.81400000001</v>
      </c>
      <c r="BF178" s="67">
        <f>$I178</f>
        <v>0</v>
      </c>
      <c r="BG178" s="67">
        <f>$J178</f>
        <v>811520.10400000005</v>
      </c>
      <c r="BH178" s="67">
        <f>$K178</f>
        <v>0</v>
      </c>
      <c r="BI178" s="67">
        <f>$L178</f>
        <v>1137845.92</v>
      </c>
    </row>
    <row r="179" spans="2:61" x14ac:dyDescent="0.3">
      <c r="C179" s="65" t="s">
        <v>133</v>
      </c>
      <c r="D179" s="77"/>
      <c r="E179" s="98"/>
      <c r="F179" s="98">
        <f>'Quarterly I.S'!I179</f>
        <v>510086.87563000002</v>
      </c>
      <c r="G179" s="98"/>
      <c r="H179" s="98">
        <f>'Quarterly I.S'!M179</f>
        <v>209422.84777000002</v>
      </c>
      <c r="I179" s="98"/>
      <c r="J179" s="98">
        <f>'Quarterly I.S'!Q179</f>
        <v>219085.67048</v>
      </c>
      <c r="K179" s="98"/>
      <c r="L179" s="98">
        <f>'Quarterly I.S'!U179</f>
        <v>254340</v>
      </c>
      <c r="M179" s="196">
        <f>L179/J179-1</f>
        <v>0.16091572508033258</v>
      </c>
      <c r="O179" s="67">
        <f>$E179</f>
        <v>0</v>
      </c>
      <c r="P179" s="67">
        <f>$F179</f>
        <v>510086.87563000002</v>
      </c>
      <c r="Q179" s="67">
        <f>$G179</f>
        <v>0</v>
      </c>
      <c r="R179" s="67">
        <f>$H179</f>
        <v>209422.84777000002</v>
      </c>
      <c r="S179" s="67">
        <f>$I179</f>
        <v>0</v>
      </c>
      <c r="T179" s="67">
        <f>$J179</f>
        <v>219085.67048</v>
      </c>
      <c r="U179" s="67">
        <f>$K179</f>
        <v>0</v>
      </c>
      <c r="V179" s="67">
        <f>$L179</f>
        <v>254340</v>
      </c>
      <c r="W179" s="196">
        <f>V179/T179-1</f>
        <v>0.16091572508033258</v>
      </c>
      <c r="X179" s="64"/>
      <c r="Y179" s="67">
        <f>$E179</f>
        <v>0</v>
      </c>
      <c r="Z179" s="67">
        <f>$F179</f>
        <v>510086.87563000002</v>
      </c>
      <c r="AA179" s="67">
        <f>$G179</f>
        <v>0</v>
      </c>
      <c r="AB179" s="67">
        <f>$H179</f>
        <v>209422.84777000002</v>
      </c>
      <c r="AC179" s="67">
        <f>$I179</f>
        <v>0</v>
      </c>
      <c r="AD179" s="67">
        <f>$J179</f>
        <v>219085.67048</v>
      </c>
      <c r="AE179" s="67">
        <f>$K179</f>
        <v>0</v>
      </c>
      <c r="AF179" s="67">
        <f>$L179</f>
        <v>254340</v>
      </c>
      <c r="AG179" s="64"/>
      <c r="AH179" s="67">
        <f>$E179</f>
        <v>0</v>
      </c>
      <c r="AI179" s="67">
        <f>$F179</f>
        <v>510086.87563000002</v>
      </c>
      <c r="AJ179" s="67">
        <f>$G179</f>
        <v>0</v>
      </c>
      <c r="AK179" s="67">
        <f>$H179</f>
        <v>209422.84777000002</v>
      </c>
      <c r="AL179" s="67">
        <f>$I179</f>
        <v>0</v>
      </c>
      <c r="AM179" s="67">
        <f>$J179</f>
        <v>219085.67048</v>
      </c>
      <c r="AN179" s="67">
        <f>$K179</f>
        <v>0</v>
      </c>
      <c r="AO179" s="67">
        <f>$L179</f>
        <v>254340</v>
      </c>
      <c r="AP179" s="64"/>
      <c r="AQ179" s="67">
        <f>$E179</f>
        <v>0</v>
      </c>
      <c r="AR179" s="67">
        <f>$F179</f>
        <v>510086.87563000002</v>
      </c>
      <c r="AS179" s="67">
        <f>$G179</f>
        <v>0</v>
      </c>
      <c r="AT179" s="67">
        <f>$H179</f>
        <v>209422.84777000002</v>
      </c>
      <c r="AU179" s="67">
        <f>$I179</f>
        <v>0</v>
      </c>
      <c r="AV179" s="67">
        <f>$J179</f>
        <v>219085.67048</v>
      </c>
      <c r="AW179" s="67">
        <f>$K179</f>
        <v>0</v>
      </c>
      <c r="AX179" s="67">
        <f>$L179</f>
        <v>254340</v>
      </c>
      <c r="AY179" s="67"/>
      <c r="AZ179" s="196">
        <f>AX179/AV179-1</f>
        <v>0.16091572508033258</v>
      </c>
      <c r="BA179" s="64"/>
      <c r="BB179" s="67">
        <f>$E179</f>
        <v>0</v>
      </c>
      <c r="BC179" s="67">
        <f>$F179</f>
        <v>510086.87563000002</v>
      </c>
      <c r="BD179" s="67">
        <f>$G179</f>
        <v>0</v>
      </c>
      <c r="BE179" s="67">
        <f>$H179</f>
        <v>209422.84777000002</v>
      </c>
      <c r="BF179" s="67">
        <f>$I179</f>
        <v>0</v>
      </c>
      <c r="BG179" s="67">
        <f>$J179</f>
        <v>219085.67048</v>
      </c>
      <c r="BH179" s="67">
        <f>$K179</f>
        <v>0</v>
      </c>
      <c r="BI179" s="67">
        <f>$L179</f>
        <v>254340</v>
      </c>
    </row>
    <row r="180" spans="2:61" x14ac:dyDescent="0.3">
      <c r="C180" s="65"/>
      <c r="D180" s="77"/>
      <c r="E180" s="62"/>
      <c r="F180" s="62"/>
      <c r="G180" s="62"/>
      <c r="H180" s="62"/>
      <c r="I180" s="62"/>
      <c r="J180" s="62"/>
      <c r="K180" s="62"/>
      <c r="L180" s="62"/>
      <c r="M180" s="131"/>
      <c r="O180" s="62"/>
      <c r="P180" s="62"/>
      <c r="Q180" s="62"/>
      <c r="R180" s="62"/>
      <c r="S180" s="62"/>
      <c r="T180" s="62"/>
      <c r="U180" s="62"/>
      <c r="V180" s="62"/>
      <c r="W180" s="131"/>
      <c r="Y180" s="62"/>
      <c r="Z180" s="62"/>
      <c r="AA180" s="62"/>
      <c r="AB180" s="62"/>
      <c r="AC180" s="62"/>
      <c r="AD180" s="62"/>
      <c r="AE180" s="62"/>
      <c r="AF180" s="62"/>
      <c r="AH180" s="62"/>
      <c r="AI180" s="62"/>
      <c r="AJ180" s="62"/>
      <c r="AK180" s="62"/>
      <c r="AL180" s="62"/>
      <c r="AM180" s="62"/>
      <c r="AN180" s="62"/>
      <c r="AO180" s="62"/>
      <c r="AQ180" s="62"/>
      <c r="AR180" s="62"/>
      <c r="AS180" s="62"/>
      <c r="AT180" s="62"/>
      <c r="AU180" s="62"/>
      <c r="AV180" s="62"/>
      <c r="AW180" s="62"/>
      <c r="AX180" s="62"/>
      <c r="AY180" s="62"/>
      <c r="AZ180" s="131"/>
      <c r="BB180" s="62"/>
      <c r="BC180" s="62"/>
      <c r="BD180" s="62"/>
      <c r="BE180" s="62"/>
      <c r="BF180" s="62"/>
      <c r="BG180" s="62"/>
      <c r="BH180" s="62"/>
      <c r="BI180" s="62"/>
    </row>
    <row r="181" spans="2:61" x14ac:dyDescent="0.3">
      <c r="C181" s="65"/>
      <c r="D181" s="77"/>
      <c r="E181" s="62"/>
      <c r="F181" s="62"/>
      <c r="G181" s="62"/>
      <c r="H181" s="62"/>
      <c r="I181" s="62"/>
      <c r="J181" s="62"/>
      <c r="K181" s="62"/>
      <c r="L181" s="62"/>
      <c r="M181" s="131"/>
      <c r="O181" s="62"/>
      <c r="P181" s="62"/>
      <c r="Q181" s="62"/>
      <c r="R181" s="62"/>
      <c r="S181" s="62"/>
      <c r="T181" s="62"/>
      <c r="U181" s="62"/>
      <c r="V181" s="62"/>
      <c r="W181" s="131"/>
      <c r="Y181" s="62"/>
      <c r="Z181" s="62"/>
      <c r="AA181" s="62"/>
      <c r="AB181" s="62"/>
      <c r="AC181" s="62"/>
      <c r="AD181" s="62"/>
      <c r="AE181" s="62"/>
      <c r="AF181" s="62"/>
      <c r="AH181" s="62"/>
      <c r="AI181" s="62"/>
      <c r="AJ181" s="62"/>
      <c r="AK181" s="62"/>
      <c r="AL181" s="62"/>
      <c r="AM181" s="62"/>
      <c r="AN181" s="62"/>
      <c r="AO181" s="62"/>
      <c r="AQ181" s="62"/>
      <c r="AR181" s="62"/>
      <c r="AS181" s="62"/>
      <c r="AT181" s="62"/>
      <c r="AU181" s="62"/>
      <c r="AV181" s="62"/>
      <c r="AW181" s="62"/>
      <c r="AX181" s="62"/>
      <c r="AY181" s="62"/>
      <c r="AZ181" s="131"/>
      <c r="BB181" s="62"/>
      <c r="BC181" s="62"/>
      <c r="BD181" s="62"/>
      <c r="BE181" s="62"/>
      <c r="BF181" s="62"/>
      <c r="BG181" s="62"/>
      <c r="BH181" s="62"/>
      <c r="BI181" s="62"/>
    </row>
    <row r="182" spans="2:61" s="85" customFormat="1" x14ac:dyDescent="0.3">
      <c r="B182" s="84"/>
      <c r="C182" s="63" t="s">
        <v>136</v>
      </c>
      <c r="D182" s="63"/>
      <c r="E182" s="63"/>
      <c r="F182" s="63"/>
      <c r="G182" s="63"/>
      <c r="H182" s="63"/>
      <c r="I182" s="63"/>
      <c r="J182" s="63"/>
      <c r="K182" s="63"/>
      <c r="L182" s="63"/>
      <c r="M182" s="186"/>
      <c r="O182" s="63"/>
      <c r="P182" s="63"/>
      <c r="Q182" s="63"/>
      <c r="R182" s="63"/>
      <c r="S182" s="63"/>
      <c r="T182" s="63"/>
      <c r="U182" s="63"/>
      <c r="V182" s="63"/>
      <c r="W182" s="186"/>
      <c r="Y182" s="63"/>
      <c r="Z182" s="63"/>
      <c r="AA182" s="63"/>
      <c r="AB182" s="63"/>
      <c r="AC182" s="63"/>
      <c r="AD182" s="63"/>
      <c r="AE182" s="63"/>
      <c r="AF182" s="63"/>
      <c r="AH182" s="63"/>
      <c r="AI182" s="63"/>
      <c r="AJ182" s="63"/>
      <c r="AK182" s="63"/>
      <c r="AL182" s="63"/>
      <c r="AM182" s="63"/>
      <c r="AN182" s="63"/>
      <c r="AO182" s="63"/>
      <c r="AQ182" s="63"/>
      <c r="AR182" s="63"/>
      <c r="AS182" s="63"/>
      <c r="AT182" s="63"/>
      <c r="AU182" s="63"/>
      <c r="AV182" s="63"/>
      <c r="AW182" s="63"/>
      <c r="AX182" s="63"/>
      <c r="AY182" s="63"/>
      <c r="AZ182" s="186"/>
      <c r="BB182" s="63"/>
      <c r="BC182" s="63"/>
      <c r="BD182" s="63"/>
      <c r="BE182" s="63"/>
      <c r="BF182" s="63"/>
      <c r="BG182" s="63"/>
      <c r="BH182" s="63"/>
      <c r="BI182" s="63"/>
    </row>
    <row r="183" spans="2:61" x14ac:dyDescent="0.3">
      <c r="C183" s="36" t="s">
        <v>53</v>
      </c>
      <c r="E183" s="69"/>
      <c r="F183" s="97">
        <f>SUM('Quarterly I.S'!G183:I183)</f>
        <v>124968.71848000058</v>
      </c>
      <c r="G183" s="69"/>
      <c r="H183" s="97">
        <f>SUM('Quarterly I.S'!K183:M183)</f>
        <v>155891.71486600145</v>
      </c>
      <c r="I183" s="69"/>
      <c r="J183" s="97">
        <f>SUM('Quarterly I.S'!O183:Q183)</f>
        <v>278200.3411869994</v>
      </c>
      <c r="K183" s="97"/>
      <c r="L183" s="97">
        <f>SUM('Quarterly I.S'!S183:U183)</f>
        <v>385858.50252266414</v>
      </c>
      <c r="M183" s="190">
        <f>L183/J183-1</f>
        <v>0.38698069483422959</v>
      </c>
      <c r="O183" s="70">
        <f>$E183</f>
        <v>0</v>
      </c>
      <c r="P183" s="70">
        <f>$F183</f>
        <v>124968.71848000058</v>
      </c>
      <c r="Q183" s="70">
        <f>$G183</f>
        <v>0</v>
      </c>
      <c r="R183" s="70">
        <f>$H183</f>
        <v>155891.71486600145</v>
      </c>
      <c r="S183" s="70">
        <f>$I183</f>
        <v>0</v>
      </c>
      <c r="T183" s="70">
        <f>$J183</f>
        <v>278200.3411869994</v>
      </c>
      <c r="U183" s="70">
        <f>$K183</f>
        <v>0</v>
      </c>
      <c r="V183" s="70">
        <f>$L183</f>
        <v>385858.50252266414</v>
      </c>
      <c r="W183" s="190">
        <f>V183/T183-1</f>
        <v>0.38698069483422959</v>
      </c>
      <c r="Y183" s="70">
        <f>$E183</f>
        <v>0</v>
      </c>
      <c r="Z183" s="70">
        <f>$F183</f>
        <v>124968.71848000058</v>
      </c>
      <c r="AA183" s="70">
        <f>$G183</f>
        <v>0</v>
      </c>
      <c r="AB183" s="70">
        <f>$H183</f>
        <v>155891.71486600145</v>
      </c>
      <c r="AC183" s="70">
        <f>$I183</f>
        <v>0</v>
      </c>
      <c r="AD183" s="70">
        <f>$J183</f>
        <v>278200.3411869994</v>
      </c>
      <c r="AE183" s="70">
        <f>$K183</f>
        <v>0</v>
      </c>
      <c r="AF183" s="70">
        <f>$L183</f>
        <v>385858.50252266414</v>
      </c>
      <c r="AH183" s="70">
        <f>$E183</f>
        <v>0</v>
      </c>
      <c r="AI183" s="70">
        <f>$F183</f>
        <v>124968.71848000058</v>
      </c>
      <c r="AJ183" s="70">
        <f>$G183</f>
        <v>0</v>
      </c>
      <c r="AK183" s="70">
        <f>$H183</f>
        <v>155891.71486600145</v>
      </c>
      <c r="AL183" s="70">
        <f>$I183</f>
        <v>0</v>
      </c>
      <c r="AM183" s="70">
        <f>$J183</f>
        <v>278200.3411869994</v>
      </c>
      <c r="AN183" s="70">
        <f>$K183</f>
        <v>0</v>
      </c>
      <c r="AO183" s="70">
        <f>$L183</f>
        <v>385858.50252266414</v>
      </c>
      <c r="AQ183" s="70">
        <f>$E183</f>
        <v>0</v>
      </c>
      <c r="AR183" s="70">
        <f>$F183</f>
        <v>124968.71848000058</v>
      </c>
      <c r="AS183" s="70">
        <f>$G183</f>
        <v>0</v>
      </c>
      <c r="AT183" s="70">
        <f>$H183</f>
        <v>155891.71486600145</v>
      </c>
      <c r="AU183" s="70">
        <f>$I183</f>
        <v>0</v>
      </c>
      <c r="AV183" s="70">
        <f>$J183</f>
        <v>278200.3411869994</v>
      </c>
      <c r="AW183" s="70">
        <f>$K183</f>
        <v>0</v>
      </c>
      <c r="AX183" s="70">
        <f>$L183</f>
        <v>385858.50252266414</v>
      </c>
      <c r="AY183" s="70"/>
      <c r="AZ183" s="190">
        <f>AX183/AV183-1</f>
        <v>0.38698069483422959</v>
      </c>
      <c r="BB183" s="70">
        <f>$E183</f>
        <v>0</v>
      </c>
      <c r="BC183" s="70">
        <f>$F183</f>
        <v>124968.71848000058</v>
      </c>
      <c r="BD183" s="70">
        <f>$G183</f>
        <v>0</v>
      </c>
      <c r="BE183" s="70">
        <f>$H183</f>
        <v>155891.71486600145</v>
      </c>
      <c r="BF183" s="70">
        <f>$I183</f>
        <v>0</v>
      </c>
      <c r="BG183" s="70">
        <f>$J183</f>
        <v>278200.3411869994</v>
      </c>
      <c r="BH183" s="70">
        <f>$K183</f>
        <v>0</v>
      </c>
      <c r="BI183" s="70">
        <f>$L183</f>
        <v>385858.50252266414</v>
      </c>
    </row>
    <row r="184" spans="2:61" x14ac:dyDescent="0.3">
      <c r="C184" s="36" t="s">
        <v>134</v>
      </c>
      <c r="E184" s="69"/>
      <c r="F184" s="97">
        <f>SUM('Quarterly I.S'!G184:I184)</f>
        <v>46114</v>
      </c>
      <c r="G184" s="69"/>
      <c r="H184" s="97">
        <f>SUM('Quarterly I.S'!K184:M184)</f>
        <v>46354</v>
      </c>
      <c r="I184" s="69"/>
      <c r="J184" s="97">
        <f>SUM('Quarterly I.S'!O184:Q184)</f>
        <v>44443</v>
      </c>
      <c r="K184" s="97"/>
      <c r="L184" s="97">
        <f>SUM('Quarterly I.S'!S184:U184)</f>
        <v>48107</v>
      </c>
      <c r="M184" s="190">
        <f>L184/J184-1</f>
        <v>8.2442679387080053E-2</v>
      </c>
      <c r="O184" s="70">
        <f>$E184</f>
        <v>0</v>
      </c>
      <c r="P184" s="70">
        <f>$F184</f>
        <v>46114</v>
      </c>
      <c r="Q184" s="70">
        <f>$G184</f>
        <v>0</v>
      </c>
      <c r="R184" s="70">
        <f>$H184</f>
        <v>46354</v>
      </c>
      <c r="S184" s="70">
        <f>$I184</f>
        <v>0</v>
      </c>
      <c r="T184" s="70">
        <f>$J184</f>
        <v>44443</v>
      </c>
      <c r="U184" s="70">
        <f>$K184</f>
        <v>0</v>
      </c>
      <c r="V184" s="70">
        <f>$L184</f>
        <v>48107</v>
      </c>
      <c r="W184" s="190">
        <f>V184/T184-1</f>
        <v>8.2442679387080053E-2</v>
      </c>
      <c r="Y184" s="70">
        <f>$E184</f>
        <v>0</v>
      </c>
      <c r="Z184" s="70">
        <f>$F184</f>
        <v>46114</v>
      </c>
      <c r="AA184" s="70">
        <f>$G184</f>
        <v>0</v>
      </c>
      <c r="AB184" s="70">
        <f>$H184</f>
        <v>46354</v>
      </c>
      <c r="AC184" s="70">
        <f>$I184</f>
        <v>0</v>
      </c>
      <c r="AD184" s="70">
        <f>$J184</f>
        <v>44443</v>
      </c>
      <c r="AE184" s="70">
        <f>$K184</f>
        <v>0</v>
      </c>
      <c r="AF184" s="70">
        <f>$L184</f>
        <v>48107</v>
      </c>
      <c r="AH184" s="70">
        <f>$E184</f>
        <v>0</v>
      </c>
      <c r="AI184" s="70">
        <f>$F184</f>
        <v>46114</v>
      </c>
      <c r="AJ184" s="70">
        <f>$G184</f>
        <v>0</v>
      </c>
      <c r="AK184" s="70">
        <f>$H184</f>
        <v>46354</v>
      </c>
      <c r="AL184" s="70">
        <f>$I184</f>
        <v>0</v>
      </c>
      <c r="AM184" s="70">
        <f>$J184</f>
        <v>44443</v>
      </c>
      <c r="AN184" s="70">
        <f>$K184</f>
        <v>0</v>
      </c>
      <c r="AO184" s="70">
        <f>$L184</f>
        <v>48107</v>
      </c>
      <c r="AQ184" s="70">
        <f>$E184</f>
        <v>0</v>
      </c>
      <c r="AR184" s="70">
        <f>$F184</f>
        <v>46114</v>
      </c>
      <c r="AS184" s="70">
        <f>$G184</f>
        <v>0</v>
      </c>
      <c r="AT184" s="70">
        <f>$H184</f>
        <v>46354</v>
      </c>
      <c r="AU184" s="70">
        <f>$I184</f>
        <v>0</v>
      </c>
      <c r="AV184" s="70">
        <f>$J184</f>
        <v>44443</v>
      </c>
      <c r="AW184" s="70">
        <f>$K184</f>
        <v>0</v>
      </c>
      <c r="AX184" s="70">
        <f>$L184</f>
        <v>48107</v>
      </c>
      <c r="AY184" s="70"/>
      <c r="AZ184" s="190">
        <f>AX184/AV184-1</f>
        <v>8.2442679387080053E-2</v>
      </c>
      <c r="BB184" s="70">
        <f>$E184</f>
        <v>0</v>
      </c>
      <c r="BC184" s="70">
        <f>$F184</f>
        <v>46114</v>
      </c>
      <c r="BD184" s="70">
        <f>$G184</f>
        <v>0</v>
      </c>
      <c r="BE184" s="70">
        <f>$H184</f>
        <v>46354</v>
      </c>
      <c r="BF184" s="70">
        <f>$I184</f>
        <v>0</v>
      </c>
      <c r="BG184" s="70">
        <f>$J184</f>
        <v>44443</v>
      </c>
      <c r="BH184" s="70">
        <f>$K184</f>
        <v>0</v>
      </c>
      <c r="BI184" s="70">
        <f>$L184</f>
        <v>48107</v>
      </c>
    </row>
    <row r="185" spans="2:61" x14ac:dyDescent="0.3">
      <c r="C185" s="65"/>
      <c r="D185" s="77"/>
      <c r="E185" s="62"/>
      <c r="F185" s="62"/>
      <c r="G185" s="62"/>
      <c r="H185" s="62"/>
      <c r="I185" s="62"/>
      <c r="J185" s="62"/>
      <c r="K185" s="62"/>
      <c r="L185" s="131"/>
      <c r="M185" s="131"/>
      <c r="O185" s="62"/>
      <c r="P185" s="62"/>
      <c r="Q185" s="62"/>
      <c r="R185" s="62"/>
      <c r="S185" s="62"/>
      <c r="T185" s="62"/>
      <c r="U185" s="62"/>
      <c r="V185" s="62"/>
      <c r="W185" s="131"/>
      <c r="Y185" s="62"/>
      <c r="Z185" s="62"/>
      <c r="AA185" s="62"/>
      <c r="AB185" s="62"/>
      <c r="AC185" s="62"/>
      <c r="AD185" s="62"/>
      <c r="AE185" s="62"/>
      <c r="AF185" s="62"/>
      <c r="AH185" s="62"/>
      <c r="AI185" s="62"/>
      <c r="AJ185" s="62"/>
      <c r="AK185" s="62"/>
      <c r="AL185" s="62"/>
      <c r="AM185" s="62"/>
      <c r="AN185" s="62"/>
      <c r="AO185" s="62"/>
      <c r="AQ185" s="62"/>
      <c r="AR185" s="62"/>
      <c r="AS185" s="62"/>
      <c r="AT185" s="62"/>
      <c r="AU185" s="62"/>
      <c r="AV185" s="62"/>
      <c r="AW185" s="62"/>
      <c r="AX185" s="62"/>
      <c r="AY185" s="62"/>
      <c r="AZ185" s="131"/>
      <c r="BB185" s="62"/>
      <c r="BC185" s="62"/>
      <c r="BD185" s="62"/>
      <c r="BE185" s="62"/>
      <c r="BF185" s="62"/>
      <c r="BG185" s="62"/>
      <c r="BH185" s="62"/>
      <c r="BI185" s="62"/>
    </row>
    <row r="186" spans="2:61" s="82" customFormat="1" x14ac:dyDescent="0.3">
      <c r="B186" s="81"/>
      <c r="C186" s="30" t="s">
        <v>96</v>
      </c>
      <c r="D186" s="30"/>
      <c r="E186" s="30"/>
      <c r="F186" s="30"/>
      <c r="G186" s="30"/>
      <c r="H186" s="30"/>
      <c r="I186" s="30"/>
      <c r="J186" s="30"/>
      <c r="K186" s="30"/>
      <c r="L186" s="30"/>
      <c r="M186" s="185"/>
      <c r="O186" s="30"/>
      <c r="P186" s="30"/>
      <c r="Q186" s="30"/>
      <c r="R186" s="30"/>
      <c r="S186" s="30"/>
      <c r="T186" s="30"/>
      <c r="U186" s="30"/>
      <c r="V186" s="30"/>
      <c r="W186" s="185"/>
      <c r="Y186" s="30"/>
      <c r="Z186" s="30"/>
      <c r="AA186" s="30"/>
      <c r="AB186" s="30"/>
      <c r="AC186" s="30"/>
      <c r="AD186" s="30"/>
      <c r="AE186" s="30"/>
      <c r="AF186" s="30"/>
      <c r="AH186" s="30"/>
      <c r="AI186" s="30"/>
      <c r="AJ186" s="30"/>
      <c r="AK186" s="30"/>
      <c r="AL186" s="30"/>
      <c r="AM186" s="30"/>
      <c r="AN186" s="30"/>
      <c r="AO186" s="30"/>
      <c r="AQ186" s="30"/>
      <c r="AR186" s="30"/>
      <c r="AS186" s="30"/>
      <c r="AT186" s="30"/>
      <c r="AU186" s="30"/>
      <c r="AV186" s="30"/>
      <c r="AW186" s="30"/>
      <c r="AX186" s="30"/>
      <c r="AY186" s="30"/>
      <c r="AZ186" s="185"/>
      <c r="BB186" s="30"/>
      <c r="BC186" s="30"/>
      <c r="BD186" s="30"/>
      <c r="BE186" s="30"/>
      <c r="BF186" s="30"/>
      <c r="BG186" s="30"/>
      <c r="BH186" s="30"/>
      <c r="BI186" s="30"/>
    </row>
    <row r="187" spans="2:61" x14ac:dyDescent="0.3">
      <c r="C187" s="36" t="s">
        <v>15</v>
      </c>
      <c r="E187" s="42"/>
      <c r="F187" s="42">
        <f>F21</f>
        <v>95785.369670000015</v>
      </c>
      <c r="G187" s="42"/>
      <c r="H187" s="42">
        <f>H21</f>
        <v>163925.39999000001</v>
      </c>
      <c r="I187" s="42"/>
      <c r="J187" s="42">
        <f>J21</f>
        <v>250633.18448</v>
      </c>
      <c r="K187" s="42"/>
      <c r="L187" s="42">
        <f>L21</f>
        <v>151821.84018000003</v>
      </c>
      <c r="M187" s="197"/>
      <c r="O187" s="42">
        <f t="shared" ref="O187:V187" si="149">O21</f>
        <v>0</v>
      </c>
      <c r="P187" s="42">
        <f t="shared" si="149"/>
        <v>95785.369670000015</v>
      </c>
      <c r="Q187" s="42">
        <f t="shared" si="149"/>
        <v>0</v>
      </c>
      <c r="R187" s="42">
        <f t="shared" si="149"/>
        <v>153501.50180999999</v>
      </c>
      <c r="S187" s="42">
        <f t="shared" si="149"/>
        <v>0</v>
      </c>
      <c r="T187" s="42">
        <f t="shared" si="149"/>
        <v>238541.79831000001</v>
      </c>
      <c r="U187" s="42">
        <f t="shared" si="149"/>
        <v>0</v>
      </c>
      <c r="V187" s="42">
        <f t="shared" si="149"/>
        <v>140371.26548</v>
      </c>
      <c r="W187" s="197"/>
      <c r="Y187" s="42">
        <f t="shared" ref="Y187:AF187" si="150">Y21</f>
        <v>0</v>
      </c>
      <c r="Z187" s="42">
        <f t="shared" si="150"/>
        <v>0</v>
      </c>
      <c r="AA187" s="42">
        <f t="shared" si="150"/>
        <v>0</v>
      </c>
      <c r="AB187" s="42">
        <f t="shared" si="150"/>
        <v>0</v>
      </c>
      <c r="AC187" s="42">
        <f t="shared" si="150"/>
        <v>0</v>
      </c>
      <c r="AD187" s="42">
        <f t="shared" si="150"/>
        <v>0</v>
      </c>
      <c r="AE187" s="42">
        <f t="shared" si="150"/>
        <v>0</v>
      </c>
      <c r="AF187" s="42">
        <f t="shared" si="150"/>
        <v>0</v>
      </c>
      <c r="AH187" s="42">
        <f t="shared" ref="AH187:AO187" si="151">AH21</f>
        <v>0</v>
      </c>
      <c r="AI187" s="42">
        <f t="shared" si="151"/>
        <v>0</v>
      </c>
      <c r="AJ187" s="42">
        <f t="shared" si="151"/>
        <v>0</v>
      </c>
      <c r="AK187" s="42">
        <f t="shared" si="151"/>
        <v>0</v>
      </c>
      <c r="AL187" s="42">
        <f t="shared" si="151"/>
        <v>0</v>
      </c>
      <c r="AM187" s="42">
        <f t="shared" si="151"/>
        <v>0</v>
      </c>
      <c r="AN187" s="42">
        <f t="shared" si="151"/>
        <v>0</v>
      </c>
      <c r="AO187" s="42">
        <f t="shared" si="151"/>
        <v>0</v>
      </c>
      <c r="AQ187" s="42">
        <f t="shared" ref="AQ187:AX187" si="152">AQ21</f>
        <v>0</v>
      </c>
      <c r="AR187" s="42">
        <f t="shared" si="152"/>
        <v>0</v>
      </c>
      <c r="AS187" s="42">
        <f t="shared" si="152"/>
        <v>0</v>
      </c>
      <c r="AT187" s="42">
        <f t="shared" si="152"/>
        <v>0</v>
      </c>
      <c r="AU187" s="42">
        <f t="shared" si="152"/>
        <v>0</v>
      </c>
      <c r="AV187" s="42">
        <f t="shared" si="152"/>
        <v>0</v>
      </c>
      <c r="AW187" s="42">
        <f t="shared" si="152"/>
        <v>0</v>
      </c>
      <c r="AX187" s="42">
        <f t="shared" si="152"/>
        <v>0</v>
      </c>
      <c r="AY187" s="42"/>
      <c r="AZ187" s="197"/>
      <c r="BB187" s="42">
        <f t="shared" ref="BB187:BI187" si="153">BB21</f>
        <v>0</v>
      </c>
      <c r="BC187" s="42">
        <f t="shared" si="153"/>
        <v>0</v>
      </c>
      <c r="BD187" s="42">
        <f t="shared" si="153"/>
        <v>0</v>
      </c>
      <c r="BE187" s="42">
        <f t="shared" si="153"/>
        <v>10423.89818</v>
      </c>
      <c r="BF187" s="42">
        <f t="shared" si="153"/>
        <v>0</v>
      </c>
      <c r="BG187" s="42">
        <f t="shared" si="153"/>
        <v>12091.38617</v>
      </c>
      <c r="BH187" s="42">
        <f t="shared" si="153"/>
        <v>0</v>
      </c>
      <c r="BI187" s="42">
        <f t="shared" si="153"/>
        <v>11450.574699999999</v>
      </c>
    </row>
    <row r="188" spans="2:61" x14ac:dyDescent="0.3">
      <c r="C188" s="36" t="s">
        <v>97</v>
      </c>
      <c r="E188" s="140"/>
      <c r="F188" s="140">
        <f>SUM('Quarterly I.S'!G188:I188)</f>
        <v>19107.5</v>
      </c>
      <c r="G188" s="140"/>
      <c r="H188" s="140">
        <f>SUM('Quarterly I.S'!K188:M188)</f>
        <v>34382.5</v>
      </c>
      <c r="I188" s="140"/>
      <c r="J188" s="140">
        <f>SUM('Quarterly I.S'!O188:Q188)</f>
        <v>65490</v>
      </c>
      <c r="K188" s="140"/>
      <c r="L188" s="140">
        <f>SUM('Quarterly I.S'!S188:U188)</f>
        <v>10364</v>
      </c>
      <c r="M188" s="198"/>
      <c r="O188" s="70">
        <f>$E188</f>
        <v>0</v>
      </c>
      <c r="P188" s="70">
        <f>$F188</f>
        <v>19107.5</v>
      </c>
      <c r="Q188" s="70">
        <f>$G188</f>
        <v>0</v>
      </c>
      <c r="R188" s="70">
        <f>$H188</f>
        <v>34382.5</v>
      </c>
      <c r="S188" s="70">
        <f>$I188</f>
        <v>0</v>
      </c>
      <c r="T188" s="70">
        <f>$J188</f>
        <v>65490</v>
      </c>
      <c r="U188" s="70">
        <f>$K188</f>
        <v>0</v>
      </c>
      <c r="V188" s="70">
        <f>$L188</f>
        <v>10364</v>
      </c>
      <c r="W188" s="198"/>
      <c r="Y188" s="70">
        <f>$E188</f>
        <v>0</v>
      </c>
      <c r="Z188" s="70">
        <f>$F188</f>
        <v>19107.5</v>
      </c>
      <c r="AA188" s="70">
        <f>$G188</f>
        <v>0</v>
      </c>
      <c r="AB188" s="70">
        <f>$H188</f>
        <v>34382.5</v>
      </c>
      <c r="AC188" s="70">
        <f>$I188</f>
        <v>0</v>
      </c>
      <c r="AD188" s="70">
        <f>$J188</f>
        <v>65490</v>
      </c>
      <c r="AE188" s="70">
        <f>$K188</f>
        <v>0</v>
      </c>
      <c r="AF188" s="70">
        <f>$L188</f>
        <v>10364</v>
      </c>
      <c r="AH188" s="70">
        <f>$E188</f>
        <v>0</v>
      </c>
      <c r="AI188" s="70">
        <f>$F188</f>
        <v>19107.5</v>
      </c>
      <c r="AJ188" s="70">
        <f>$G188</f>
        <v>0</v>
      </c>
      <c r="AK188" s="70">
        <f>$H188</f>
        <v>34382.5</v>
      </c>
      <c r="AL188" s="70">
        <f>$I188</f>
        <v>0</v>
      </c>
      <c r="AM188" s="70">
        <f>$J188</f>
        <v>65490</v>
      </c>
      <c r="AN188" s="70">
        <f>$K188</f>
        <v>0</v>
      </c>
      <c r="AO188" s="70">
        <f>$L188</f>
        <v>10364</v>
      </c>
      <c r="AQ188" s="70">
        <f>$E188</f>
        <v>0</v>
      </c>
      <c r="AR188" s="70">
        <f>$F188</f>
        <v>19107.5</v>
      </c>
      <c r="AS188" s="70">
        <f>$G188</f>
        <v>0</v>
      </c>
      <c r="AT188" s="70">
        <f>$H188</f>
        <v>34382.5</v>
      </c>
      <c r="AU188" s="70">
        <f>$I188</f>
        <v>0</v>
      </c>
      <c r="AV188" s="70">
        <f>$J188</f>
        <v>65490</v>
      </c>
      <c r="AW188" s="70">
        <f>$K188</f>
        <v>0</v>
      </c>
      <c r="AX188" s="70">
        <f>$L188</f>
        <v>10364</v>
      </c>
      <c r="AY188" s="70"/>
      <c r="AZ188" s="198"/>
      <c r="BB188" s="70">
        <f>$E188</f>
        <v>0</v>
      </c>
      <c r="BC188" s="70">
        <f>$F188</f>
        <v>19107.5</v>
      </c>
      <c r="BD188" s="70">
        <f>$G188</f>
        <v>0</v>
      </c>
      <c r="BE188" s="70">
        <f>$H188</f>
        <v>34382.5</v>
      </c>
      <c r="BF188" s="70">
        <f>$I188</f>
        <v>0</v>
      </c>
      <c r="BG188" s="70">
        <f>$J188</f>
        <v>65490</v>
      </c>
      <c r="BH188" s="70">
        <f>$K188</f>
        <v>0</v>
      </c>
      <c r="BI188" s="70">
        <f>$L188</f>
        <v>10364</v>
      </c>
    </row>
    <row r="189" spans="2:61" x14ac:dyDescent="0.3">
      <c r="C189" s="36" t="s">
        <v>98</v>
      </c>
      <c r="E189" s="57">
        <f t="shared" ref="E189:J189" si="154">E187-E188</f>
        <v>0</v>
      </c>
      <c r="F189" s="57">
        <f t="shared" si="154"/>
        <v>76677.869670000015</v>
      </c>
      <c r="G189" s="57">
        <f t="shared" si="154"/>
        <v>0</v>
      </c>
      <c r="H189" s="57">
        <f t="shared" si="154"/>
        <v>129542.89999000001</v>
      </c>
      <c r="I189" s="57">
        <f t="shared" si="154"/>
        <v>0</v>
      </c>
      <c r="J189" s="57">
        <f t="shared" si="154"/>
        <v>185143.18448</v>
      </c>
      <c r="K189" s="57">
        <f>K187-K188</f>
        <v>0</v>
      </c>
      <c r="L189" s="57">
        <f>L187-L188</f>
        <v>141457.84018000003</v>
      </c>
      <c r="M189" s="199"/>
      <c r="O189" s="57">
        <f t="shared" ref="O189:T189" si="155">O187-O188</f>
        <v>0</v>
      </c>
      <c r="P189" s="57">
        <f t="shared" si="155"/>
        <v>76677.869670000015</v>
      </c>
      <c r="Q189" s="57">
        <f t="shared" si="155"/>
        <v>0</v>
      </c>
      <c r="R189" s="57">
        <f t="shared" si="155"/>
        <v>119119.00180999999</v>
      </c>
      <c r="S189" s="57">
        <f t="shared" si="155"/>
        <v>0</v>
      </c>
      <c r="T189" s="57">
        <f t="shared" si="155"/>
        <v>173051.79831000001</v>
      </c>
      <c r="U189" s="57">
        <f>U187-U188</f>
        <v>0</v>
      </c>
      <c r="V189" s="57">
        <f>V187-V188</f>
        <v>130007.26548</v>
      </c>
      <c r="W189" s="199"/>
      <c r="Y189" s="57">
        <f t="shared" ref="Y189:AF189" si="156">Y187-Y188</f>
        <v>0</v>
      </c>
      <c r="Z189" s="57">
        <f t="shared" si="156"/>
        <v>-19107.5</v>
      </c>
      <c r="AA189" s="57">
        <f t="shared" si="156"/>
        <v>0</v>
      </c>
      <c r="AB189" s="57">
        <f t="shared" si="156"/>
        <v>-34382.5</v>
      </c>
      <c r="AC189" s="57">
        <f t="shared" si="156"/>
        <v>0</v>
      </c>
      <c r="AD189" s="57">
        <f t="shared" si="156"/>
        <v>-65490</v>
      </c>
      <c r="AE189" s="57">
        <f t="shared" si="156"/>
        <v>0</v>
      </c>
      <c r="AF189" s="57">
        <f t="shared" si="156"/>
        <v>-10364</v>
      </c>
      <c r="AH189" s="57">
        <f t="shared" ref="AH189:AO189" si="157">AH187-AH188</f>
        <v>0</v>
      </c>
      <c r="AI189" s="57">
        <f t="shared" si="157"/>
        <v>-19107.5</v>
      </c>
      <c r="AJ189" s="57">
        <f t="shared" si="157"/>
        <v>0</v>
      </c>
      <c r="AK189" s="57">
        <f t="shared" si="157"/>
        <v>-34382.5</v>
      </c>
      <c r="AL189" s="57">
        <f t="shared" si="157"/>
        <v>0</v>
      </c>
      <c r="AM189" s="57">
        <f t="shared" si="157"/>
        <v>-65490</v>
      </c>
      <c r="AN189" s="57">
        <f t="shared" si="157"/>
        <v>0</v>
      </c>
      <c r="AO189" s="57">
        <f t="shared" si="157"/>
        <v>-10364</v>
      </c>
      <c r="AQ189" s="57">
        <f t="shared" ref="AQ189:AX189" si="158">AQ187-AQ188</f>
        <v>0</v>
      </c>
      <c r="AR189" s="57">
        <f t="shared" si="158"/>
        <v>-19107.5</v>
      </c>
      <c r="AS189" s="57">
        <f t="shared" si="158"/>
        <v>0</v>
      </c>
      <c r="AT189" s="57">
        <f t="shared" si="158"/>
        <v>-34382.5</v>
      </c>
      <c r="AU189" s="57">
        <f t="shared" si="158"/>
        <v>0</v>
      </c>
      <c r="AV189" s="57">
        <f t="shared" si="158"/>
        <v>-65490</v>
      </c>
      <c r="AW189" s="57">
        <f t="shared" si="158"/>
        <v>0</v>
      </c>
      <c r="AX189" s="57">
        <f t="shared" si="158"/>
        <v>-10364</v>
      </c>
      <c r="AY189" s="57"/>
      <c r="AZ189" s="199"/>
      <c r="BB189" s="57">
        <f t="shared" ref="BB189:BI189" si="159">BB187-BB188</f>
        <v>0</v>
      </c>
      <c r="BC189" s="57">
        <f t="shared" si="159"/>
        <v>-19107.5</v>
      </c>
      <c r="BD189" s="57">
        <f t="shared" si="159"/>
        <v>0</v>
      </c>
      <c r="BE189" s="57">
        <f t="shared" si="159"/>
        <v>-23958.60182</v>
      </c>
      <c r="BF189" s="57">
        <f t="shared" si="159"/>
        <v>0</v>
      </c>
      <c r="BG189" s="57">
        <f t="shared" si="159"/>
        <v>-53398.613830000002</v>
      </c>
      <c r="BH189" s="57">
        <f t="shared" si="159"/>
        <v>0</v>
      </c>
      <c r="BI189" s="57">
        <f t="shared" si="159"/>
        <v>1086.5746999999992</v>
      </c>
    </row>
    <row r="190" spans="2:61" x14ac:dyDescent="0.3">
      <c r="M190" s="197"/>
      <c r="W190" s="197"/>
      <c r="AZ190" s="197"/>
    </row>
    <row r="191" spans="2:61" x14ac:dyDescent="0.3">
      <c r="C191" s="36" t="s">
        <v>128</v>
      </c>
      <c r="E191" s="42"/>
      <c r="F191" s="42">
        <f>F24</f>
        <v>-40895.879629999989</v>
      </c>
      <c r="G191" s="42"/>
      <c r="H191" s="42">
        <f>H24</f>
        <v>-61605.141250000001</v>
      </c>
      <c r="I191" s="42"/>
      <c r="J191" s="42">
        <f>J24</f>
        <v>-113611.14556999998</v>
      </c>
      <c r="K191" s="42"/>
      <c r="L191" s="42">
        <f>L24</f>
        <v>-84525.671658474574</v>
      </c>
      <c r="M191" s="197"/>
      <c r="O191" s="42">
        <f t="shared" ref="O191:V191" si="160">O24</f>
        <v>0</v>
      </c>
      <c r="P191" s="42">
        <f t="shared" si="160"/>
        <v>-40895.879629999989</v>
      </c>
      <c r="Q191" s="42">
        <f t="shared" si="160"/>
        <v>0</v>
      </c>
      <c r="R191" s="42">
        <f t="shared" si="160"/>
        <v>-61605.141250000001</v>
      </c>
      <c r="S191" s="42">
        <f t="shared" si="160"/>
        <v>0</v>
      </c>
      <c r="T191" s="42">
        <f t="shared" si="160"/>
        <v>-113611.14556999998</v>
      </c>
      <c r="U191" s="42">
        <f t="shared" si="160"/>
        <v>0</v>
      </c>
      <c r="V191" s="42">
        <f t="shared" si="160"/>
        <v>-84525.671658474574</v>
      </c>
      <c r="W191" s="197"/>
      <c r="Y191" s="42">
        <f t="shared" ref="Y191:AF191" si="161">Y24</f>
        <v>0</v>
      </c>
      <c r="Z191" s="42">
        <f t="shared" si="161"/>
        <v>0</v>
      </c>
      <c r="AA191" s="42">
        <f t="shared" si="161"/>
        <v>0</v>
      </c>
      <c r="AB191" s="42">
        <f t="shared" si="161"/>
        <v>0</v>
      </c>
      <c r="AC191" s="42">
        <f t="shared" si="161"/>
        <v>0</v>
      </c>
      <c r="AD191" s="42">
        <f t="shared" si="161"/>
        <v>0</v>
      </c>
      <c r="AE191" s="42">
        <f t="shared" si="161"/>
        <v>0</v>
      </c>
      <c r="AF191" s="42">
        <f t="shared" si="161"/>
        <v>0</v>
      </c>
      <c r="AH191" s="42">
        <f t="shared" ref="AH191:AO191" si="162">AH24</f>
        <v>0</v>
      </c>
      <c r="AI191" s="42">
        <f t="shared" si="162"/>
        <v>0</v>
      </c>
      <c r="AJ191" s="42">
        <f t="shared" si="162"/>
        <v>0</v>
      </c>
      <c r="AK191" s="42">
        <f t="shared" si="162"/>
        <v>0</v>
      </c>
      <c r="AL191" s="42">
        <f t="shared" si="162"/>
        <v>0</v>
      </c>
      <c r="AM191" s="42">
        <f t="shared" si="162"/>
        <v>0</v>
      </c>
      <c r="AN191" s="42">
        <f t="shared" si="162"/>
        <v>0</v>
      </c>
      <c r="AO191" s="42">
        <f t="shared" si="162"/>
        <v>0</v>
      </c>
      <c r="AQ191" s="42">
        <f t="shared" ref="AQ191:AX191" si="163">AQ24</f>
        <v>0</v>
      </c>
      <c r="AR191" s="42">
        <f t="shared" si="163"/>
        <v>0</v>
      </c>
      <c r="AS191" s="42">
        <f t="shared" si="163"/>
        <v>0</v>
      </c>
      <c r="AT191" s="42">
        <f t="shared" si="163"/>
        <v>0</v>
      </c>
      <c r="AU191" s="42">
        <f t="shared" si="163"/>
        <v>0</v>
      </c>
      <c r="AV191" s="42">
        <f t="shared" si="163"/>
        <v>0</v>
      </c>
      <c r="AW191" s="42">
        <f t="shared" si="163"/>
        <v>0</v>
      </c>
      <c r="AX191" s="42">
        <f t="shared" si="163"/>
        <v>0</v>
      </c>
      <c r="AY191" s="42"/>
      <c r="AZ191" s="197"/>
      <c r="BB191" s="42">
        <f t="shared" ref="BB191:BI191" si="164">BB24</f>
        <v>0</v>
      </c>
      <c r="BC191" s="42">
        <f t="shared" si="164"/>
        <v>0</v>
      </c>
      <c r="BD191" s="42">
        <f t="shared" si="164"/>
        <v>0</v>
      </c>
      <c r="BE191" s="42">
        <f t="shared" si="164"/>
        <v>0</v>
      </c>
      <c r="BF191" s="42">
        <f t="shared" si="164"/>
        <v>0</v>
      </c>
      <c r="BG191" s="42">
        <f t="shared" si="164"/>
        <v>0</v>
      </c>
      <c r="BH191" s="42">
        <f t="shared" si="164"/>
        <v>0</v>
      </c>
      <c r="BI191" s="42">
        <f t="shared" si="164"/>
        <v>0</v>
      </c>
    </row>
    <row r="192" spans="2:61" x14ac:dyDescent="0.3">
      <c r="C192" s="36" t="s">
        <v>97</v>
      </c>
      <c r="E192" s="140"/>
      <c r="F192" s="140">
        <f>SUM('Quarterly I.S'!G192:I192)</f>
        <v>7698.1200000000008</v>
      </c>
      <c r="G192" s="140"/>
      <c r="H192" s="140">
        <f>SUM('Quarterly I.S'!K192:M192)</f>
        <v>-10840</v>
      </c>
      <c r="I192" s="140"/>
      <c r="J192" s="140">
        <f>SUM('Quarterly I.S'!O192:Q192)</f>
        <v>-19757.5</v>
      </c>
      <c r="K192" s="140"/>
      <c r="L192" s="140">
        <f>SUM('Quarterly I.S'!S192:U192)</f>
        <v>-7303.5093799999995</v>
      </c>
      <c r="M192" s="198"/>
      <c r="O192" s="70">
        <f>$E192</f>
        <v>0</v>
      </c>
      <c r="P192" s="70">
        <f>$F192</f>
        <v>7698.1200000000008</v>
      </c>
      <c r="Q192" s="70">
        <f>$G192</f>
        <v>0</v>
      </c>
      <c r="R192" s="70">
        <f>$H192</f>
        <v>-10840</v>
      </c>
      <c r="S192" s="70">
        <f>$I192</f>
        <v>0</v>
      </c>
      <c r="T192" s="70">
        <f>$J192</f>
        <v>-19757.5</v>
      </c>
      <c r="U192" s="70">
        <f>$K192</f>
        <v>0</v>
      </c>
      <c r="V192" s="70">
        <f>$L192</f>
        <v>-7303.5093799999995</v>
      </c>
      <c r="W192" s="198"/>
      <c r="Y192" s="70">
        <f>$E192</f>
        <v>0</v>
      </c>
      <c r="Z192" s="70">
        <f>$F192</f>
        <v>7698.1200000000008</v>
      </c>
      <c r="AA192" s="70">
        <f>$G192</f>
        <v>0</v>
      </c>
      <c r="AB192" s="70">
        <f>$H192</f>
        <v>-10840</v>
      </c>
      <c r="AC192" s="70">
        <f>$I192</f>
        <v>0</v>
      </c>
      <c r="AD192" s="70">
        <f>$J192</f>
        <v>-19757.5</v>
      </c>
      <c r="AE192" s="70">
        <f>$K192</f>
        <v>0</v>
      </c>
      <c r="AF192" s="70">
        <f>$L192</f>
        <v>-7303.5093799999995</v>
      </c>
      <c r="AH192" s="70">
        <f>$E192</f>
        <v>0</v>
      </c>
      <c r="AI192" s="70">
        <f>$F192</f>
        <v>7698.1200000000008</v>
      </c>
      <c r="AJ192" s="70">
        <f>$G192</f>
        <v>0</v>
      </c>
      <c r="AK192" s="70">
        <f>$H192</f>
        <v>-10840</v>
      </c>
      <c r="AL192" s="70">
        <f>$I192</f>
        <v>0</v>
      </c>
      <c r="AM192" s="70">
        <f>$J192</f>
        <v>-19757.5</v>
      </c>
      <c r="AN192" s="70">
        <f>$K192</f>
        <v>0</v>
      </c>
      <c r="AO192" s="70">
        <f>$L192</f>
        <v>-7303.5093799999995</v>
      </c>
      <c r="AQ192" s="70">
        <f>$E192</f>
        <v>0</v>
      </c>
      <c r="AR192" s="70">
        <f>$F192</f>
        <v>7698.1200000000008</v>
      </c>
      <c r="AS192" s="70">
        <f>$G192</f>
        <v>0</v>
      </c>
      <c r="AT192" s="70">
        <f>$H192</f>
        <v>-10840</v>
      </c>
      <c r="AU192" s="70">
        <f>$I192</f>
        <v>0</v>
      </c>
      <c r="AV192" s="70">
        <f>$J192</f>
        <v>-19757.5</v>
      </c>
      <c r="AW192" s="70">
        <f>$K192</f>
        <v>0</v>
      </c>
      <c r="AX192" s="70">
        <f>$L192</f>
        <v>-7303.5093799999995</v>
      </c>
      <c r="AY192" s="70"/>
      <c r="AZ192" s="198"/>
      <c r="BB192" s="70">
        <f>$E192</f>
        <v>0</v>
      </c>
      <c r="BC192" s="70">
        <f>$F192</f>
        <v>7698.1200000000008</v>
      </c>
      <c r="BD192" s="70">
        <f>$G192</f>
        <v>0</v>
      </c>
      <c r="BE192" s="70">
        <f>$H192</f>
        <v>-10840</v>
      </c>
      <c r="BF192" s="70">
        <f>$I192</f>
        <v>0</v>
      </c>
      <c r="BG192" s="70">
        <f>$J192</f>
        <v>-19757.5</v>
      </c>
      <c r="BH192" s="70">
        <f>$K192</f>
        <v>0</v>
      </c>
      <c r="BI192" s="70">
        <f>$L192</f>
        <v>-7303.5093799999995</v>
      </c>
    </row>
    <row r="193" spans="3:61" x14ac:dyDescent="0.3">
      <c r="C193" s="36" t="s">
        <v>98</v>
      </c>
      <c r="E193" s="57">
        <f t="shared" ref="E193:J193" si="165">E191-E192</f>
        <v>0</v>
      </c>
      <c r="F193" s="57">
        <f t="shared" si="165"/>
        <v>-48593.999629999991</v>
      </c>
      <c r="G193" s="57">
        <f t="shared" si="165"/>
        <v>0</v>
      </c>
      <c r="H193" s="57">
        <f t="shared" si="165"/>
        <v>-50765.141250000001</v>
      </c>
      <c r="I193" s="57">
        <f t="shared" si="165"/>
        <v>0</v>
      </c>
      <c r="J193" s="57">
        <f t="shared" si="165"/>
        <v>-93853.645569999979</v>
      </c>
      <c r="K193" s="57">
        <f>K191-K192</f>
        <v>0</v>
      </c>
      <c r="L193" s="57">
        <f>L191-L192</f>
        <v>-77222.16227847457</v>
      </c>
      <c r="M193" s="176"/>
      <c r="O193" s="57">
        <f t="shared" ref="O193:T193" si="166">O191-O192</f>
        <v>0</v>
      </c>
      <c r="P193" s="57">
        <f t="shared" si="166"/>
        <v>-48593.999629999991</v>
      </c>
      <c r="Q193" s="57">
        <f t="shared" si="166"/>
        <v>0</v>
      </c>
      <c r="R193" s="57">
        <f t="shared" si="166"/>
        <v>-50765.141250000001</v>
      </c>
      <c r="S193" s="57">
        <f t="shared" si="166"/>
        <v>0</v>
      </c>
      <c r="T193" s="57">
        <f t="shared" si="166"/>
        <v>-93853.645569999979</v>
      </c>
      <c r="U193" s="57">
        <f>U191-U192</f>
        <v>0</v>
      </c>
      <c r="V193" s="57">
        <f>V191-V192</f>
        <v>-77222.16227847457</v>
      </c>
      <c r="W193" s="176"/>
      <c r="Y193" s="57">
        <f t="shared" ref="Y193:AF193" si="167">Y191-Y192</f>
        <v>0</v>
      </c>
      <c r="Z193" s="57">
        <f t="shared" si="167"/>
        <v>-7698.1200000000008</v>
      </c>
      <c r="AA193" s="57">
        <f t="shared" si="167"/>
        <v>0</v>
      </c>
      <c r="AB193" s="57">
        <f t="shared" si="167"/>
        <v>10840</v>
      </c>
      <c r="AC193" s="57">
        <f t="shared" si="167"/>
        <v>0</v>
      </c>
      <c r="AD193" s="57">
        <f t="shared" si="167"/>
        <v>19757.5</v>
      </c>
      <c r="AE193" s="57">
        <f t="shared" si="167"/>
        <v>0</v>
      </c>
      <c r="AF193" s="57">
        <f t="shared" si="167"/>
        <v>7303.5093799999995</v>
      </c>
      <c r="AH193" s="57">
        <f t="shared" ref="AH193:AO193" si="168">AH191-AH192</f>
        <v>0</v>
      </c>
      <c r="AI193" s="57">
        <f t="shared" si="168"/>
        <v>-7698.1200000000008</v>
      </c>
      <c r="AJ193" s="57">
        <f t="shared" si="168"/>
        <v>0</v>
      </c>
      <c r="AK193" s="57">
        <f t="shared" si="168"/>
        <v>10840</v>
      </c>
      <c r="AL193" s="57">
        <f t="shared" si="168"/>
        <v>0</v>
      </c>
      <c r="AM193" s="57">
        <f t="shared" si="168"/>
        <v>19757.5</v>
      </c>
      <c r="AN193" s="57">
        <f t="shared" si="168"/>
        <v>0</v>
      </c>
      <c r="AO193" s="57">
        <f t="shared" si="168"/>
        <v>7303.5093799999995</v>
      </c>
      <c r="AQ193" s="57">
        <f t="shared" ref="AQ193:AX193" si="169">AQ191-AQ192</f>
        <v>0</v>
      </c>
      <c r="AR193" s="57">
        <f t="shared" si="169"/>
        <v>-7698.1200000000008</v>
      </c>
      <c r="AS193" s="57">
        <f t="shared" si="169"/>
        <v>0</v>
      </c>
      <c r="AT193" s="57">
        <f t="shared" si="169"/>
        <v>10840</v>
      </c>
      <c r="AU193" s="57">
        <f t="shared" si="169"/>
        <v>0</v>
      </c>
      <c r="AV193" s="57">
        <f t="shared" si="169"/>
        <v>19757.5</v>
      </c>
      <c r="AW193" s="57">
        <f t="shared" si="169"/>
        <v>0</v>
      </c>
      <c r="AX193" s="57">
        <f t="shared" si="169"/>
        <v>7303.5093799999995</v>
      </c>
      <c r="AY193" s="57"/>
      <c r="AZ193" s="176"/>
      <c r="BB193" s="57">
        <f t="shared" ref="BB193:BI193" si="170">BB191-BB192</f>
        <v>0</v>
      </c>
      <c r="BC193" s="57">
        <f t="shared" si="170"/>
        <v>-7698.1200000000008</v>
      </c>
      <c r="BD193" s="57">
        <f t="shared" si="170"/>
        <v>0</v>
      </c>
      <c r="BE193" s="57">
        <f t="shared" si="170"/>
        <v>10840</v>
      </c>
      <c r="BF193" s="57">
        <f t="shared" si="170"/>
        <v>0</v>
      </c>
      <c r="BG193" s="57">
        <f t="shared" si="170"/>
        <v>19757.5</v>
      </c>
      <c r="BH193" s="57">
        <f t="shared" si="170"/>
        <v>0</v>
      </c>
      <c r="BI193" s="57">
        <f t="shared" si="170"/>
        <v>7303.5093799999995</v>
      </c>
    </row>
  </sheetData>
  <pageMargins left="0.7" right="0.7" top="1.3149999999999999" bottom="0.75" header="0.3" footer="0.3"/>
  <pageSetup paperSize="9" scale="9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03F6B-91E2-4C18-BAB7-34C46B196CED}">
  <sheetPr>
    <tabColor rgb="FFFF0000"/>
  </sheetPr>
  <dimension ref="B2:BH200"/>
  <sheetViews>
    <sheetView showGridLines="0" zoomScale="130" zoomScaleNormal="130" workbookViewId="0">
      <pane xSplit="3" ySplit="3" topLeftCell="H184" activePane="bottomRight" state="frozen"/>
      <selection activeCell="C82" sqref="C82"/>
      <selection pane="topRight" activeCell="C82" sqref="C82"/>
      <selection pane="bottomLeft" activeCell="C82" sqref="C82"/>
      <selection pane="bottomRight" activeCell="H193" sqref="H193"/>
    </sheetView>
  </sheetViews>
  <sheetFormatPr defaultColWidth="8.81640625" defaultRowHeight="13" x14ac:dyDescent="0.3"/>
  <cols>
    <col min="1" max="1" width="2.54296875" style="36" customWidth="1"/>
    <col min="2" max="2" width="4.1796875" style="36" bestFit="1" customWidth="1"/>
    <col min="3" max="3" width="38.54296875" style="36" bestFit="1" customWidth="1"/>
    <col min="4" max="4" width="6.81640625" style="110" bestFit="1" customWidth="1"/>
    <col min="5" max="12" width="13.81640625" style="36" bestFit="1" customWidth="1"/>
    <col min="13" max="13" width="13.81640625" style="132" bestFit="1" customWidth="1"/>
    <col min="14" max="14" width="5.453125" style="36" bestFit="1" customWidth="1"/>
    <col min="15" max="15" width="9.81640625" style="36" bestFit="1" customWidth="1"/>
    <col min="16" max="18" width="10.1796875" style="36" bestFit="1" customWidth="1"/>
    <col min="19" max="22" width="11.26953125" style="36" bestFit="1" customWidth="1"/>
    <col min="23" max="23" width="13.81640625" style="132" bestFit="1" customWidth="1"/>
    <col min="24" max="24" width="1.7265625" style="36" customWidth="1"/>
    <col min="25" max="28" width="9.81640625" style="36" bestFit="1" customWidth="1"/>
    <col min="29" max="32" width="10.7265625" style="36" bestFit="1" customWidth="1"/>
    <col min="33" max="33" width="5.81640625" style="36" bestFit="1" customWidth="1"/>
    <col min="34" max="37" width="9.81640625" style="36" bestFit="1" customWidth="1"/>
    <col min="38" max="41" width="10.7265625" style="36" bestFit="1" customWidth="1"/>
    <col min="42" max="42" width="1.26953125" style="36" customWidth="1"/>
    <col min="43" max="46" width="9.81640625" style="36" bestFit="1" customWidth="1"/>
    <col min="47" max="50" width="10.7265625" style="36" bestFit="1" customWidth="1"/>
    <col min="51" max="51" width="13.81640625" style="132" bestFit="1" customWidth="1"/>
    <col min="52" max="52" width="5" style="36" bestFit="1" customWidth="1"/>
    <col min="53" max="56" width="9.81640625" style="36" bestFit="1" customWidth="1"/>
    <col min="57" max="60" width="10.7265625" style="36" bestFit="1" customWidth="1"/>
    <col min="61" max="16384" width="8.81640625" style="36"/>
  </cols>
  <sheetData>
    <row r="2" spans="2:60" s="32" customFormat="1" ht="14.5" customHeight="1" x14ac:dyDescent="0.3">
      <c r="B2" s="29"/>
      <c r="C2" s="30" t="s">
        <v>73</v>
      </c>
      <c r="D2" s="30"/>
      <c r="E2" s="30"/>
      <c r="F2" s="31"/>
      <c r="G2" s="31"/>
      <c r="H2" s="31"/>
      <c r="I2" s="31"/>
      <c r="J2" s="31"/>
      <c r="K2" s="31"/>
      <c r="L2" s="31"/>
      <c r="M2" s="167"/>
      <c r="O2" s="31" t="s">
        <v>75</v>
      </c>
      <c r="P2" s="31"/>
      <c r="Q2" s="31"/>
      <c r="R2" s="31"/>
      <c r="S2" s="31"/>
      <c r="T2" s="31"/>
      <c r="U2" s="31"/>
      <c r="V2" s="31"/>
      <c r="W2" s="167"/>
      <c r="Y2" s="31" t="str">
        <f>Segment!D76</f>
        <v>Insurance Activities</v>
      </c>
      <c r="Z2" s="31"/>
      <c r="AA2" s="31"/>
      <c r="AB2" s="31"/>
      <c r="AC2" s="31"/>
      <c r="AD2" s="31"/>
      <c r="AE2" s="31"/>
      <c r="AF2" s="31"/>
      <c r="AH2" s="31" t="str">
        <f>Segment!E76</f>
        <v>Brokerage Activities</v>
      </c>
      <c r="AI2" s="31"/>
      <c r="AJ2" s="31"/>
      <c r="AK2" s="31"/>
      <c r="AL2" s="31"/>
      <c r="AM2" s="31"/>
      <c r="AN2" s="31"/>
      <c r="AO2" s="31"/>
      <c r="AQ2" s="31" t="s">
        <v>76</v>
      </c>
      <c r="AR2" s="31"/>
      <c r="AS2" s="31"/>
      <c r="AT2" s="31"/>
      <c r="AU2" s="31"/>
      <c r="AV2" s="31"/>
      <c r="AW2" s="31"/>
      <c r="AX2" s="31"/>
      <c r="AY2" s="167"/>
      <c r="AZ2" s="36"/>
      <c r="BA2" s="31" t="s">
        <v>77</v>
      </c>
      <c r="BB2" s="31"/>
      <c r="BC2" s="31"/>
      <c r="BD2" s="31"/>
      <c r="BE2" s="31"/>
      <c r="BF2" s="31"/>
      <c r="BG2" s="31"/>
      <c r="BH2" s="31"/>
    </row>
    <row r="3" spans="2:60" s="35" customFormat="1" x14ac:dyDescent="0.3">
      <c r="B3" s="33"/>
      <c r="C3" s="34"/>
      <c r="D3" s="129" t="s">
        <v>148</v>
      </c>
      <c r="E3" s="34">
        <v>2017</v>
      </c>
      <c r="F3" s="34">
        <v>2018</v>
      </c>
      <c r="G3" s="34">
        <v>2019</v>
      </c>
      <c r="H3" s="34">
        <v>2020</v>
      </c>
      <c r="I3" s="34">
        <v>2021</v>
      </c>
      <c r="J3" s="34">
        <v>2022</v>
      </c>
      <c r="K3" s="34">
        <v>2023</v>
      </c>
      <c r="L3" s="34">
        <v>2024</v>
      </c>
      <c r="M3" s="168" t="s">
        <v>228</v>
      </c>
      <c r="O3" s="34">
        <f t="shared" ref="O3:V3" si="0">E3</f>
        <v>2017</v>
      </c>
      <c r="P3" s="34">
        <f t="shared" si="0"/>
        <v>2018</v>
      </c>
      <c r="Q3" s="34">
        <f t="shared" si="0"/>
        <v>2019</v>
      </c>
      <c r="R3" s="34">
        <f t="shared" si="0"/>
        <v>2020</v>
      </c>
      <c r="S3" s="34">
        <f t="shared" si="0"/>
        <v>2021</v>
      </c>
      <c r="T3" s="34">
        <f t="shared" si="0"/>
        <v>2022</v>
      </c>
      <c r="U3" s="34">
        <f t="shared" si="0"/>
        <v>2023</v>
      </c>
      <c r="V3" s="34">
        <f t="shared" si="0"/>
        <v>2024</v>
      </c>
      <c r="W3" s="34" t="str">
        <f>M3</f>
        <v>FY-24 vs. FY-23</v>
      </c>
      <c r="Y3" s="34">
        <f t="shared" ref="Y3:AF3" si="1">E3</f>
        <v>2017</v>
      </c>
      <c r="Z3" s="34">
        <f t="shared" si="1"/>
        <v>2018</v>
      </c>
      <c r="AA3" s="34">
        <f t="shared" si="1"/>
        <v>2019</v>
      </c>
      <c r="AB3" s="34">
        <f t="shared" si="1"/>
        <v>2020</v>
      </c>
      <c r="AC3" s="34">
        <f t="shared" si="1"/>
        <v>2021</v>
      </c>
      <c r="AD3" s="34">
        <f t="shared" si="1"/>
        <v>2022</v>
      </c>
      <c r="AE3" s="34">
        <f t="shared" si="1"/>
        <v>2023</v>
      </c>
      <c r="AF3" s="34">
        <f t="shared" si="1"/>
        <v>2024</v>
      </c>
      <c r="AH3" s="34">
        <f t="shared" ref="AH3:AO3" si="2">E3</f>
        <v>2017</v>
      </c>
      <c r="AI3" s="34">
        <f t="shared" si="2"/>
        <v>2018</v>
      </c>
      <c r="AJ3" s="34">
        <f t="shared" si="2"/>
        <v>2019</v>
      </c>
      <c r="AK3" s="34">
        <f t="shared" si="2"/>
        <v>2020</v>
      </c>
      <c r="AL3" s="34">
        <f t="shared" si="2"/>
        <v>2021</v>
      </c>
      <c r="AM3" s="34">
        <f t="shared" si="2"/>
        <v>2022</v>
      </c>
      <c r="AN3" s="34">
        <f t="shared" si="2"/>
        <v>2023</v>
      </c>
      <c r="AO3" s="34">
        <f t="shared" si="2"/>
        <v>2024</v>
      </c>
      <c r="AQ3" s="34">
        <f t="shared" ref="AQ3:AY3" si="3">E3</f>
        <v>2017</v>
      </c>
      <c r="AR3" s="34">
        <f t="shared" si="3"/>
        <v>2018</v>
      </c>
      <c r="AS3" s="34">
        <f t="shared" si="3"/>
        <v>2019</v>
      </c>
      <c r="AT3" s="34">
        <f t="shared" si="3"/>
        <v>2020</v>
      </c>
      <c r="AU3" s="34">
        <f t="shared" si="3"/>
        <v>2021</v>
      </c>
      <c r="AV3" s="34">
        <f t="shared" si="3"/>
        <v>2022</v>
      </c>
      <c r="AW3" s="34">
        <f t="shared" si="3"/>
        <v>2023</v>
      </c>
      <c r="AX3" s="34">
        <f t="shared" si="3"/>
        <v>2024</v>
      </c>
      <c r="AY3" s="34" t="str">
        <f t="shared" si="3"/>
        <v>FY-24 vs. FY-23</v>
      </c>
      <c r="AZ3" s="205"/>
      <c r="BA3" s="34">
        <f t="shared" ref="BA3:BH3" si="4">E3</f>
        <v>2017</v>
      </c>
      <c r="BB3" s="34">
        <f t="shared" si="4"/>
        <v>2018</v>
      </c>
      <c r="BC3" s="34">
        <f t="shared" si="4"/>
        <v>2019</v>
      </c>
      <c r="BD3" s="34">
        <f t="shared" si="4"/>
        <v>2020</v>
      </c>
      <c r="BE3" s="34">
        <f t="shared" si="4"/>
        <v>2021</v>
      </c>
      <c r="BF3" s="34">
        <f t="shared" si="4"/>
        <v>2022</v>
      </c>
      <c r="BG3" s="34">
        <f t="shared" si="4"/>
        <v>2023</v>
      </c>
      <c r="BH3" s="34">
        <f t="shared" si="4"/>
        <v>2024</v>
      </c>
    </row>
    <row r="4" spans="2:60" x14ac:dyDescent="0.3">
      <c r="C4" s="37" t="s">
        <v>74</v>
      </c>
      <c r="D4" s="107"/>
      <c r="E4" s="37"/>
      <c r="F4" s="37"/>
      <c r="O4" s="37"/>
      <c r="P4" s="37"/>
      <c r="Y4" s="37"/>
      <c r="Z4" s="37"/>
      <c r="AH4" s="37"/>
      <c r="AI4" s="37"/>
      <c r="AQ4" s="37"/>
      <c r="AR4" s="37"/>
      <c r="AS4" s="38"/>
      <c r="AT4" s="38"/>
      <c r="AU4" s="38"/>
      <c r="AV4" s="38"/>
      <c r="AW4" s="38"/>
      <c r="AX4" s="38"/>
      <c r="BA4" s="37"/>
      <c r="BB4" s="37"/>
    </row>
    <row r="5" spans="2:60" x14ac:dyDescent="0.3">
      <c r="C5" s="36" t="s">
        <v>85</v>
      </c>
      <c r="D5" s="108">
        <v>17746</v>
      </c>
      <c r="F5" s="38">
        <f>VLOOKUP($C5,Segment!$B$4:$G$71,6,0)/1000</f>
        <v>20112.456340000001</v>
      </c>
      <c r="G5" s="38">
        <f>VLOOKUP($C5,Segment!$B$77:$G$146,6,0)/1000</f>
        <v>213712.40599999999</v>
      </c>
      <c r="H5" s="38">
        <f>VLOOKUP($C5,Segment!$B$152:$G$223,6,0)/1000</f>
        <v>320398.20724000002</v>
      </c>
      <c r="I5" s="38">
        <f>VLOOKUP($C5,Segment!$B$229:$G$300,6,0)/1000</f>
        <v>486812.53448999999</v>
      </c>
      <c r="J5" s="38">
        <f>VLOOKUP($C5,Segment!$B$306:$G$377,6,0)/1000</f>
        <v>767103.65547</v>
      </c>
      <c r="K5" s="38">
        <f>VLOOKUP($C5,Segment!$B$383:$G$454,6,0)/1000</f>
        <v>1005772.2510400002</v>
      </c>
      <c r="L5" s="38">
        <f>VLOOKUP($C5,Segment!$B$460:$G$531,6,0)/1000</f>
        <v>839977.15400999994</v>
      </c>
      <c r="M5" s="132">
        <f>L5/K5-1</f>
        <v>-0.1648435785124942</v>
      </c>
      <c r="O5" s="37"/>
      <c r="P5" s="38">
        <f>VLOOKUP($C5,Segment!$B$4:$G$71,2,0)/1000</f>
        <v>20112.456340000001</v>
      </c>
      <c r="Q5" s="38">
        <f>VLOOKUP($C5,Segment!$B$77:$G$146,2,0)/1000</f>
        <v>213712.40599999999</v>
      </c>
      <c r="R5" s="38">
        <f>VLOOKUP($C5,Segment!$B$152:$G$223,2,0)/1000</f>
        <v>320398.20724000002</v>
      </c>
      <c r="S5" s="38">
        <f>VLOOKUP($C5,Segment!$B$229:$G$300,2,0)/1000</f>
        <v>486812.53448999999</v>
      </c>
      <c r="T5" s="38">
        <f>VLOOKUP($C5,Segment!$B$306:$G$377,2,0)/1000</f>
        <v>767103.65547</v>
      </c>
      <c r="U5" s="38">
        <f>VLOOKUP($C5,Segment!$B$383:$G$454,2,0)/1000</f>
        <v>1005772.2510400002</v>
      </c>
      <c r="V5" s="38">
        <f>VLOOKUP($C5,Segment!$B$460:$G$531,2,0)/1000</f>
        <v>839977.15400999994</v>
      </c>
      <c r="W5" s="132">
        <f>V5/U5-1</f>
        <v>-0.1648435785124942</v>
      </c>
      <c r="Y5" s="37"/>
      <c r="Z5" s="38">
        <f>VLOOKUP($C5,Segment!$B$4:$G$71,3,0)/1000</f>
        <v>0</v>
      </c>
      <c r="AA5" s="38">
        <f>VLOOKUP($C5,Segment!$B$77:$G$146,3,0)/1000</f>
        <v>0</v>
      </c>
      <c r="AB5" s="38">
        <f>VLOOKUP($C5,Segment!$B$152:$G$223,3,0)/1000</f>
        <v>0</v>
      </c>
      <c r="AC5" s="38">
        <f>VLOOKUP($C5,Segment!$B$229:$G$300,3,0)/1000</f>
        <v>0</v>
      </c>
      <c r="AD5" s="38">
        <f>VLOOKUP($C5,Segment!$B$306:$G$377,3,0)/1000</f>
        <v>0</v>
      </c>
      <c r="AE5" s="38">
        <f>VLOOKUP($C5,Segment!$B$383:$G$454,3,0)/1000</f>
        <v>0</v>
      </c>
      <c r="AF5" s="38">
        <f>VLOOKUP($C5,Segment!$B$460:$G$531,3,0)/1000</f>
        <v>0</v>
      </c>
      <c r="AH5" s="37"/>
      <c r="AI5" s="38">
        <f>VLOOKUP($C5,Segment!$B$4:$G$71,4,0)/1000</f>
        <v>0</v>
      </c>
      <c r="AJ5" s="38">
        <f>VLOOKUP($C5,Segment!$B$77:$G$146,4,0)/1000</f>
        <v>0</v>
      </c>
      <c r="AK5" s="38">
        <f>VLOOKUP($C5,Segment!$B$152:$G$223,4,0)/1000</f>
        <v>0</v>
      </c>
      <c r="AL5" s="38">
        <f>VLOOKUP($C5,Segment!$B$229:$G$300,4,0)/1000</f>
        <v>0</v>
      </c>
      <c r="AM5" s="38">
        <f>VLOOKUP($C5,Segment!$B$306:$G$377,4,0)/1000</f>
        <v>0</v>
      </c>
      <c r="AN5" s="38">
        <f>VLOOKUP($C5,Segment!$B$383:$G$454,4,0)/1000</f>
        <v>0</v>
      </c>
      <c r="AO5" s="38">
        <f>VLOOKUP($C5,Segment!$B$460:$G$531,4,0)/1000</f>
        <v>0</v>
      </c>
      <c r="AQ5" s="37"/>
      <c r="AR5" s="38">
        <f t="shared" ref="AR5:AX5" si="5">Z5+AI5</f>
        <v>0</v>
      </c>
      <c r="AS5" s="38">
        <f t="shared" si="5"/>
        <v>0</v>
      </c>
      <c r="AT5" s="38">
        <f t="shared" si="5"/>
        <v>0</v>
      </c>
      <c r="AU5" s="38">
        <f t="shared" si="5"/>
        <v>0</v>
      </c>
      <c r="AV5" s="38">
        <f t="shared" si="5"/>
        <v>0</v>
      </c>
      <c r="AW5" s="38">
        <f t="shared" si="5"/>
        <v>0</v>
      </c>
      <c r="AX5" s="38">
        <f t="shared" si="5"/>
        <v>0</v>
      </c>
      <c r="BA5" s="37"/>
      <c r="BB5" s="38">
        <f>VLOOKUP($C5,Segment!$B$4:$G$71,5,0)/1000</f>
        <v>0</v>
      </c>
      <c r="BC5" s="38">
        <f>VLOOKUP($C5,Segment!$B$77:$G$146,5,0)/1000</f>
        <v>0</v>
      </c>
      <c r="BD5" s="38">
        <f>VLOOKUP($C5,Segment!$B$152:$G$223,5,0)/1000</f>
        <v>0</v>
      </c>
      <c r="BE5" s="38">
        <f>VLOOKUP($C5,Segment!$B$229:$G$300,5,0)/1000</f>
        <v>0</v>
      </c>
      <c r="BF5" s="38">
        <f>VLOOKUP($C5,Segment!$B$306:$G$377,5,0)/1000</f>
        <v>0</v>
      </c>
      <c r="BG5" s="38">
        <f>VLOOKUP($C5,Segment!$B$383:$G$454,5,0)/1000</f>
        <v>0</v>
      </c>
      <c r="BH5" s="38">
        <f>VLOOKUP($C5,Segment!$B$460:$G$531,5,0)/1000</f>
        <v>0</v>
      </c>
    </row>
    <row r="6" spans="2:60" x14ac:dyDescent="0.3">
      <c r="C6" s="39" t="s">
        <v>92</v>
      </c>
      <c r="D6" s="109"/>
      <c r="E6" s="39"/>
      <c r="F6" s="40">
        <f t="shared" ref="F6:L6" si="6">F5/F$149</f>
        <v>7.9005359789726896E-3</v>
      </c>
      <c r="G6" s="40">
        <f t="shared" si="6"/>
        <v>0.11168252768838524</v>
      </c>
      <c r="H6" s="40">
        <f t="shared" si="6"/>
        <v>8.1129218393119332E-2</v>
      </c>
      <c r="I6" s="40">
        <f t="shared" si="6"/>
        <v>0.10190873719108401</v>
      </c>
      <c r="J6" s="40">
        <f t="shared" si="6"/>
        <v>0.11464235579509746</v>
      </c>
      <c r="K6" s="40">
        <f t="shared" si="6"/>
        <v>9.8373681306430483E-2</v>
      </c>
      <c r="L6" s="40">
        <f t="shared" si="6"/>
        <v>0.13813618455815985</v>
      </c>
      <c r="M6" s="169"/>
      <c r="O6" s="41"/>
      <c r="P6" s="40">
        <f t="shared" ref="P6:V6" si="7">P5/P$149</f>
        <v>7.9005359789726896E-3</v>
      </c>
      <c r="Q6" s="40">
        <f t="shared" si="7"/>
        <v>0.11168252768838524</v>
      </c>
      <c r="R6" s="40">
        <f t="shared" si="7"/>
        <v>8.1129218393119332E-2</v>
      </c>
      <c r="S6" s="40">
        <f t="shared" si="7"/>
        <v>0.10190873719108401</v>
      </c>
      <c r="T6" s="40">
        <f t="shared" si="7"/>
        <v>0.11464235579509746</v>
      </c>
      <c r="U6" s="40">
        <f t="shared" si="7"/>
        <v>9.8373681306430483E-2</v>
      </c>
      <c r="V6" s="40">
        <f t="shared" si="7"/>
        <v>0.13813618455815985</v>
      </c>
      <c r="W6" s="169"/>
      <c r="Y6" s="41"/>
      <c r="Z6" s="40"/>
      <c r="AA6" s="40"/>
      <c r="AB6" s="40"/>
      <c r="AC6" s="40"/>
      <c r="AD6" s="40"/>
      <c r="AE6" s="40"/>
      <c r="AF6" s="40"/>
      <c r="AH6" s="41"/>
      <c r="AI6" s="40"/>
      <c r="AJ6" s="40"/>
      <c r="AK6" s="40"/>
      <c r="AL6" s="40"/>
      <c r="AM6" s="40"/>
      <c r="AN6" s="40"/>
      <c r="AO6" s="40"/>
      <c r="AQ6" s="41"/>
      <c r="AR6" s="40"/>
      <c r="AS6" s="40"/>
      <c r="AT6" s="40"/>
      <c r="AU6" s="40"/>
      <c r="AV6" s="40"/>
      <c r="AW6" s="40"/>
      <c r="AX6" s="40"/>
      <c r="AY6" s="169"/>
      <c r="BA6" s="41"/>
      <c r="BB6" s="40">
        <f t="shared" ref="BB6:BH6" si="8">BB5/BB$149</f>
        <v>0</v>
      </c>
      <c r="BC6" s="40">
        <f t="shared" si="8"/>
        <v>0</v>
      </c>
      <c r="BD6" s="40">
        <f t="shared" si="8"/>
        <v>0</v>
      </c>
      <c r="BE6" s="40">
        <f t="shared" si="8"/>
        <v>0</v>
      </c>
      <c r="BF6" s="40">
        <f t="shared" si="8"/>
        <v>0</v>
      </c>
      <c r="BG6" s="40">
        <f t="shared" si="8"/>
        <v>0</v>
      </c>
      <c r="BH6" s="40">
        <f t="shared" si="8"/>
        <v>0</v>
      </c>
    </row>
    <row r="7" spans="2:60" x14ac:dyDescent="0.3">
      <c r="C7" s="36" t="s">
        <v>19</v>
      </c>
      <c r="D7" s="110">
        <v>9</v>
      </c>
      <c r="F7" s="38">
        <f>VLOOKUP($C7,Segment!$B$4:$G$71,6,0)/1000</f>
        <v>172546.36248295999</v>
      </c>
      <c r="G7" s="42">
        <f>VLOOKUP($C7,Segment!$B$77:$G$146,6,0)/1000</f>
        <v>107127.05202599999</v>
      </c>
      <c r="H7" s="42">
        <f>VLOOKUP($C7,Segment!$B$152:$G$223,6,0)/1000</f>
        <v>103794.947556</v>
      </c>
      <c r="I7" s="42">
        <f>VLOOKUP($C7,Segment!$B$229:$G$300,6,0)/1000</f>
        <v>156799.43112995999</v>
      </c>
      <c r="J7" s="42">
        <f>VLOOKUP($C7,Segment!$B$306:$G$377,6,0)/1000</f>
        <v>199247.95304187995</v>
      </c>
      <c r="K7" s="42">
        <f>VLOOKUP($C7,Segment!$B$383:$G$454,6,0)/1000</f>
        <v>326240.53633795999</v>
      </c>
      <c r="L7" s="42">
        <f>VLOOKUP($C7,Segment!$B$460:$G$531,6,0)/1000</f>
        <v>394751.81396303995</v>
      </c>
      <c r="M7" s="132">
        <f>L7/K7-1</f>
        <v>0.21000234487754632</v>
      </c>
      <c r="P7" s="38">
        <f>VLOOKUP($C7,Segment!$B$4:$G$71,2,0)/1000</f>
        <v>172546.36248295999</v>
      </c>
      <c r="Q7" s="42">
        <f>VLOOKUP($C7,Segment!$B$77:$G$146,2,0)/1000</f>
        <v>107127.05202599999</v>
      </c>
      <c r="R7" s="42">
        <f>VLOOKUP($C7,Segment!$B$152:$G$223,2,0)/1000</f>
        <v>103794.947556</v>
      </c>
      <c r="S7" s="42">
        <f>VLOOKUP($C7,Segment!$B$229:$G$300,2,0)/1000</f>
        <v>156799.43112995999</v>
      </c>
      <c r="T7" s="42">
        <f>VLOOKUP($C7,Segment!$B$306:$G$377,2,0)/1000</f>
        <v>199247.95304187995</v>
      </c>
      <c r="U7" s="42">
        <f>VLOOKUP($C7,Segment!$B$383:$G$454,2,0)/1000</f>
        <v>326240.53633795999</v>
      </c>
      <c r="V7" s="42">
        <f>VLOOKUP($C7,Segment!$B$460:$G$531,2,0)/1000</f>
        <v>394751.81396303995</v>
      </c>
      <c r="W7" s="132">
        <f>V7/U7-1</f>
        <v>0.21000234487754632</v>
      </c>
      <c r="Z7" s="42">
        <f>VLOOKUP($C7,Segment!$B$4:$G$71,3,0)/1000</f>
        <v>0</v>
      </c>
      <c r="AA7" s="42">
        <f>VLOOKUP($C7,Segment!$B$77:$G$146,3,0)/1000</f>
        <v>0</v>
      </c>
      <c r="AB7" s="42">
        <f>VLOOKUP($C7,Segment!$B$152:$G$223,3,0)/1000</f>
        <v>0</v>
      </c>
      <c r="AC7" s="42">
        <f>VLOOKUP($C7,Segment!$B$229:$G$300,3,0)/1000</f>
        <v>0</v>
      </c>
      <c r="AD7" s="42">
        <f>VLOOKUP($C7,Segment!$B$306:$G$377,3,0)/1000</f>
        <v>0</v>
      </c>
      <c r="AE7" s="42">
        <f>VLOOKUP($C7,Segment!$B$383:$G$454,3,0)/1000</f>
        <v>0</v>
      </c>
      <c r="AF7" s="42">
        <f>VLOOKUP($C7,Segment!$B$460:$G$531,3,0)/1000</f>
        <v>0</v>
      </c>
      <c r="AI7" s="38">
        <f>VLOOKUP($C7,Segment!$B$4:$G$71,4,0)/1000</f>
        <v>0</v>
      </c>
      <c r="AJ7" s="42">
        <f>VLOOKUP($C7,Segment!$B$77:$G$146,4,0)/1000</f>
        <v>0</v>
      </c>
      <c r="AK7" s="42">
        <f>VLOOKUP($C7,Segment!$B$152:$G$223,4,0)/1000</f>
        <v>0</v>
      </c>
      <c r="AL7" s="42">
        <f>VLOOKUP($C7,Segment!$B$229:$G$300,4,0)/1000</f>
        <v>0</v>
      </c>
      <c r="AM7" s="42">
        <f>VLOOKUP($C7,Segment!$B$306:$G$377,4,0)/1000</f>
        <v>0</v>
      </c>
      <c r="AN7" s="42">
        <f>VLOOKUP($C7,Segment!$B$383:$G$454,4,0)/1000</f>
        <v>0</v>
      </c>
      <c r="AO7" s="42">
        <f>VLOOKUP($C7,Segment!$B$460:$G$531,4,0)/1000</f>
        <v>0</v>
      </c>
      <c r="AR7" s="42">
        <f t="shared" ref="AR7:AX7" si="9">Z7+AI7</f>
        <v>0</v>
      </c>
      <c r="AS7" s="42">
        <f t="shared" si="9"/>
        <v>0</v>
      </c>
      <c r="AT7" s="42">
        <f t="shared" si="9"/>
        <v>0</v>
      </c>
      <c r="AU7" s="42">
        <f t="shared" si="9"/>
        <v>0</v>
      </c>
      <c r="AV7" s="42">
        <f t="shared" si="9"/>
        <v>0</v>
      </c>
      <c r="AW7" s="42">
        <f t="shared" si="9"/>
        <v>0</v>
      </c>
      <c r="AX7" s="42">
        <f t="shared" si="9"/>
        <v>0</v>
      </c>
      <c r="BB7" s="42">
        <f>VLOOKUP($C7,Segment!$B$4:$G$71,5,0)/1000</f>
        <v>0</v>
      </c>
      <c r="BC7" s="42">
        <f>VLOOKUP($C7,Segment!$B$77:$G$146,5,0)/1000</f>
        <v>0</v>
      </c>
      <c r="BD7" s="42">
        <f>VLOOKUP($C7,Segment!$B$152:$G$223,5,0)/1000</f>
        <v>0</v>
      </c>
      <c r="BE7" s="42">
        <f>VLOOKUP($C7,Segment!$B$229:$G$300,5,0)/1000</f>
        <v>0</v>
      </c>
      <c r="BF7" s="42">
        <f>VLOOKUP($C7,Segment!$B$306:$G$377,5,0)/1000</f>
        <v>0</v>
      </c>
      <c r="BG7" s="42">
        <f>VLOOKUP($C7,Segment!$B$383:$G$454,5,0)/1000</f>
        <v>0</v>
      </c>
      <c r="BH7" s="42">
        <f>VLOOKUP($C7,Segment!$B$460:$G$531,5,0)/1000</f>
        <v>0</v>
      </c>
    </row>
    <row r="8" spans="2:60" x14ac:dyDescent="0.3">
      <c r="C8" s="39" t="s">
        <v>57</v>
      </c>
      <c r="D8" s="109"/>
      <c r="E8" s="39"/>
      <c r="F8" s="40">
        <f t="shared" ref="F8:L8" si="10">F7/AVERAGE(E125:F125)</f>
        <v>4.5749476700861852E-2</v>
      </c>
      <c r="G8" s="40">
        <f t="shared" si="10"/>
        <v>2.5596741432025196E-2</v>
      </c>
      <c r="H8" s="40">
        <f t="shared" si="10"/>
        <v>2.1797171278439425E-2</v>
      </c>
      <c r="I8" s="207">
        <f t="shared" si="10"/>
        <v>2.4867418008109113E-2</v>
      </c>
      <c r="J8" s="207">
        <f t="shared" si="10"/>
        <v>2.4548019852770504E-2</v>
      </c>
      <c r="K8" s="207">
        <f t="shared" si="10"/>
        <v>2.9867521542265022E-2</v>
      </c>
      <c r="L8" s="207">
        <f t="shared" si="10"/>
        <v>3.1342095339628166E-2</v>
      </c>
      <c r="M8" s="169"/>
      <c r="O8" s="41"/>
      <c r="P8" s="40">
        <f t="shared" ref="P8:V8" si="11">P7/AVERAGE(O125:P125)</f>
        <v>4.5749476700861852E-2</v>
      </c>
      <c r="Q8" s="40">
        <f t="shared" si="11"/>
        <v>2.5596741432025196E-2</v>
      </c>
      <c r="R8" s="40">
        <f t="shared" si="11"/>
        <v>2.1797171278439425E-2</v>
      </c>
      <c r="S8" s="40">
        <f t="shared" si="11"/>
        <v>2.4867418008109113E-2</v>
      </c>
      <c r="T8" s="40">
        <f t="shared" si="11"/>
        <v>2.4548019852770504E-2</v>
      </c>
      <c r="U8" s="40">
        <f t="shared" si="11"/>
        <v>2.9867521542265022E-2</v>
      </c>
      <c r="V8" s="40">
        <f t="shared" si="11"/>
        <v>3.1342095339628166E-2</v>
      </c>
      <c r="W8" s="169"/>
      <c r="Y8" s="41"/>
      <c r="Z8" s="40"/>
      <c r="AA8" s="40"/>
      <c r="AB8" s="40"/>
      <c r="AC8" s="40"/>
      <c r="AD8" s="40"/>
      <c r="AE8" s="40"/>
      <c r="AF8" s="40"/>
      <c r="AH8" s="41"/>
      <c r="AI8" s="40"/>
      <c r="AJ8" s="40"/>
      <c r="AK8" s="40"/>
      <c r="AL8" s="40"/>
      <c r="AM8" s="40"/>
      <c r="AN8" s="40"/>
      <c r="AO8" s="40"/>
      <c r="AQ8" s="41"/>
      <c r="AR8" s="40"/>
      <c r="AS8" s="40"/>
      <c r="AT8" s="40"/>
      <c r="AU8" s="40"/>
      <c r="AV8" s="40"/>
      <c r="AW8" s="40"/>
      <c r="AX8" s="40"/>
      <c r="AY8" s="169"/>
      <c r="BA8" s="41"/>
      <c r="BB8" s="40"/>
      <c r="BC8" s="40"/>
      <c r="BD8" s="40"/>
      <c r="BE8" s="40"/>
      <c r="BF8" s="40"/>
      <c r="BG8" s="40"/>
      <c r="BH8" s="40"/>
    </row>
    <row r="9" spans="2:60" x14ac:dyDescent="0.3">
      <c r="C9" s="36" t="s">
        <v>86</v>
      </c>
      <c r="D9" s="110">
        <v>10</v>
      </c>
      <c r="F9" s="38">
        <f>VLOOKUP($C9,Segment!$B$4:$G$71,6,0)/1000</f>
        <v>132136.98863999985</v>
      </c>
      <c r="G9" s="42">
        <f>VLOOKUP($C9,Segment!$B$77:$G$146,6,0)/1000</f>
        <v>85219.998000000007</v>
      </c>
      <c r="H9" s="42">
        <f>VLOOKUP($C9,Segment!$B$152:$G$223,6,0)/1000</f>
        <v>-9278.7184399998932</v>
      </c>
      <c r="I9" s="42">
        <f>VLOOKUP($C9,Segment!$B$229:$G$300,6,0)/1000</f>
        <v>-12369.870460000016</v>
      </c>
      <c r="J9" s="42">
        <f>VLOOKUP($C9,Segment!$B$306:$G$377,6,0)/1000</f>
        <v>-16758.973619999972</v>
      </c>
      <c r="K9" s="42">
        <f>VLOOKUP($C9,Segment!$B$383:$G$454,6,0)/1000</f>
        <v>8569.4678900000144</v>
      </c>
      <c r="L9" s="42">
        <f>VLOOKUP($C9,Segment!$B$460:$G$531,6,0)/1000</f>
        <v>17789.960580000006</v>
      </c>
      <c r="M9" s="132">
        <f>L9/K9-1</f>
        <v>1.0759702712416579</v>
      </c>
      <c r="P9" s="38">
        <f>VLOOKUP($C9,Segment!$B$4:$G$71,2,0)/1000</f>
        <v>132136.98863999985</v>
      </c>
      <c r="Q9" s="42">
        <f>VLOOKUP($C9,Segment!$B$77:$G$146,2,0)/1000</f>
        <v>85219.998000000007</v>
      </c>
      <c r="R9" s="42">
        <f>VLOOKUP($C9,Segment!$B$152:$G$223,2,0)/1000</f>
        <v>-9278.7184399998932</v>
      </c>
      <c r="S9" s="42">
        <f>VLOOKUP($C9,Segment!$B$229:$G$300,2,0)/1000</f>
        <v>-12369.870460000016</v>
      </c>
      <c r="T9" s="42">
        <f>VLOOKUP($C9,Segment!$B$306:$G$377,2,0)/1000</f>
        <v>-16758.973619999972</v>
      </c>
      <c r="U9" s="42">
        <f>VLOOKUP($C9,Segment!$B$383:$G$454,2,0)/1000</f>
        <v>8569.4678900000144</v>
      </c>
      <c r="V9" s="42">
        <f>VLOOKUP($C9,Segment!$B$460:$G$531,2,0)/1000</f>
        <v>17789.960580000006</v>
      </c>
      <c r="W9" s="132">
        <f>V9/U9-1</f>
        <v>1.0759702712416579</v>
      </c>
      <c r="Z9" s="42">
        <f>VLOOKUP($C9,Segment!$B$4:$G$71,3,0)/1000</f>
        <v>0</v>
      </c>
      <c r="AA9" s="42">
        <f>VLOOKUP($C9,Segment!$B$77:$G$146,3,0)/1000</f>
        <v>0</v>
      </c>
      <c r="AB9" s="42">
        <f>VLOOKUP($C9,Segment!$B$152:$G$223,3,0)/1000</f>
        <v>0</v>
      </c>
      <c r="AC9" s="42">
        <f>VLOOKUP($C9,Segment!$B$229:$G$300,3,0)/1000</f>
        <v>0</v>
      </c>
      <c r="AD9" s="42">
        <f>VLOOKUP($C9,Segment!$B$306:$G$377,3,0)/1000</f>
        <v>0</v>
      </c>
      <c r="AE9" s="42">
        <f>VLOOKUP($C9,Segment!$B$383:$G$454,3,0)/1000</f>
        <v>0</v>
      </c>
      <c r="AF9" s="42">
        <f>VLOOKUP($C9,Segment!$B$460:$G$531,3,0)/1000</f>
        <v>0</v>
      </c>
      <c r="AI9" s="38">
        <f>VLOOKUP($C9,Segment!$B$4:$G$71,4,0)/1000</f>
        <v>0</v>
      </c>
      <c r="AJ9" s="42">
        <f>VLOOKUP($C9,Segment!$B$77:$G$146,4,0)/1000</f>
        <v>0</v>
      </c>
      <c r="AK9" s="42">
        <f>VLOOKUP($C9,Segment!$B$152:$G$223,4,0)/1000</f>
        <v>0</v>
      </c>
      <c r="AL9" s="42">
        <f>VLOOKUP($C9,Segment!$B$229:$G$300,4,0)/1000</f>
        <v>0</v>
      </c>
      <c r="AM9" s="42">
        <f>VLOOKUP($C9,Segment!$B$306:$G$377,4,0)/1000</f>
        <v>0</v>
      </c>
      <c r="AN9" s="42">
        <f>VLOOKUP($C9,Segment!$B$383:$G$454,4,0)/1000</f>
        <v>0</v>
      </c>
      <c r="AO9" s="42">
        <f>VLOOKUP($C9,Segment!$B$460:$G$531,4,0)/1000</f>
        <v>0</v>
      </c>
      <c r="AR9" s="42">
        <f t="shared" ref="AR9:AX10" si="12">Z9+AI9</f>
        <v>0</v>
      </c>
      <c r="AS9" s="42">
        <f t="shared" si="12"/>
        <v>0</v>
      </c>
      <c r="AT9" s="42">
        <f t="shared" si="12"/>
        <v>0</v>
      </c>
      <c r="AU9" s="42">
        <f t="shared" si="12"/>
        <v>0</v>
      </c>
      <c r="AV9" s="42">
        <f t="shared" si="12"/>
        <v>0</v>
      </c>
      <c r="AW9" s="42">
        <f t="shared" si="12"/>
        <v>0</v>
      </c>
      <c r="AX9" s="42">
        <f t="shared" si="12"/>
        <v>0</v>
      </c>
      <c r="BB9" s="42">
        <f>VLOOKUP($C9,Segment!$B$4:$G$71,5,0)/1000</f>
        <v>0</v>
      </c>
      <c r="BC9" s="42">
        <f>VLOOKUP($C9,Segment!$B$77:$G$146,5,0)/1000</f>
        <v>0</v>
      </c>
      <c r="BD9" s="42">
        <f>VLOOKUP($C9,Segment!$B$152:$G$223,5,0)/1000</f>
        <v>0</v>
      </c>
      <c r="BE9" s="42">
        <f>VLOOKUP($C9,Segment!$B$229:$G$300,5,0)/1000</f>
        <v>0</v>
      </c>
      <c r="BF9" s="42">
        <f>VLOOKUP($C9,Segment!$B$306:$G$377,5,0)/1000</f>
        <v>0</v>
      </c>
      <c r="BG9" s="42">
        <f>VLOOKUP($C9,Segment!$B$383:$G$454,5,0)/1000</f>
        <v>0</v>
      </c>
      <c r="BH9" s="42">
        <f>VLOOKUP($C9,Segment!$B$460:$G$531,5,0)/1000</f>
        <v>0</v>
      </c>
    </row>
    <row r="10" spans="2:60" x14ac:dyDescent="0.3">
      <c r="C10" s="36" t="s">
        <v>87</v>
      </c>
      <c r="F10" s="38">
        <f>VLOOKUP($C10,Segment!$B$4:$G$71,6,0)/1000</f>
        <v>-280.27479000000005</v>
      </c>
      <c r="G10" s="42">
        <f>VLOOKUP($C10,Segment!$B$77:$G$146,6,0)/1000</f>
        <v>-74.317999999999998</v>
      </c>
      <c r="H10" s="42">
        <f>VLOOKUP($C10,Segment!$B$152:$G$223,6,0)/1000</f>
        <v>-51.753</v>
      </c>
      <c r="I10" s="42">
        <f>VLOOKUP($C10,Segment!$B$229:$G$300,6,0)/1000</f>
        <v>-32621.420729999998</v>
      </c>
      <c r="J10" s="42">
        <f>VLOOKUP($C10,Segment!$B$306:$G$377,6,0)/1000</f>
        <v>-152474.00962999999</v>
      </c>
      <c r="K10" s="42">
        <f>VLOOKUP($C10,Segment!$B$383:$G$454,6,0)/1000</f>
        <v>-331235.78084000002</v>
      </c>
      <c r="L10" s="42">
        <f>VLOOKUP($C10,Segment!$B$460:$G$531,6,0)/1000</f>
        <v>-261669.26326999997</v>
      </c>
      <c r="M10" s="132">
        <f>L10/K10-1</f>
        <v>-0.21002114383169079</v>
      </c>
      <c r="P10" s="38">
        <f>VLOOKUP($C10,Segment!$B$4:$G$71,2,0)/1000</f>
        <v>-280.27479000000005</v>
      </c>
      <c r="Q10" s="42">
        <f>VLOOKUP($C10,Segment!$B$77:$G$146,2,0)/1000</f>
        <v>-74.317999999999998</v>
      </c>
      <c r="R10" s="42">
        <f>VLOOKUP($C10,Segment!$B$152:$G$223,2,0)/1000</f>
        <v>-51.753</v>
      </c>
      <c r="S10" s="42">
        <f>VLOOKUP($C10,Segment!$B$229:$G$300,2,0)/1000</f>
        <v>-32621.420729999998</v>
      </c>
      <c r="T10" s="42">
        <f>VLOOKUP($C10,Segment!$B$306:$G$377,2,0)/1000</f>
        <v>-152474.00962999999</v>
      </c>
      <c r="U10" s="42">
        <f>VLOOKUP($C10,Segment!$B$383:$G$454,2,0)/1000</f>
        <v>-331235.78084000002</v>
      </c>
      <c r="V10" s="42">
        <f>VLOOKUP($C10,Segment!$B$460:$G$531,2,0)/1000</f>
        <v>-261669.26326999997</v>
      </c>
      <c r="W10" s="132">
        <f>V10/U10-1</f>
        <v>-0.21002114383169079</v>
      </c>
      <c r="Z10" s="42">
        <f>VLOOKUP($C10,Segment!$B$4:$G$71,3,0)/1000</f>
        <v>0</v>
      </c>
      <c r="AA10" s="42">
        <f>VLOOKUP($C10,Segment!$B$77:$G$146,3,0)/1000</f>
        <v>0</v>
      </c>
      <c r="AB10" s="42">
        <f>VLOOKUP($C10,Segment!$B$152:$G$223,3,0)/1000</f>
        <v>0</v>
      </c>
      <c r="AC10" s="42">
        <f>VLOOKUP($C10,Segment!$B$229:$G$300,3,0)/1000</f>
        <v>0</v>
      </c>
      <c r="AD10" s="42">
        <f>VLOOKUP($C10,Segment!$B$306:$G$377,3,0)/1000</f>
        <v>0</v>
      </c>
      <c r="AE10" s="42">
        <f>VLOOKUP($C10,Segment!$B$383:$G$454,3,0)/1000</f>
        <v>0</v>
      </c>
      <c r="AF10" s="42">
        <f>VLOOKUP($C10,Segment!$B$460:$G$531,3,0)/1000</f>
        <v>0</v>
      </c>
      <c r="AI10" s="38">
        <f>VLOOKUP($C10,Segment!$B$4:$G$71,4,0)/1000</f>
        <v>0</v>
      </c>
      <c r="AJ10" s="42">
        <f>VLOOKUP($C10,Segment!$B$77:$G$146,4,0)/1000</f>
        <v>0</v>
      </c>
      <c r="AK10" s="42">
        <f>VLOOKUP($C10,Segment!$B$152:$G$223,4,0)/1000</f>
        <v>0</v>
      </c>
      <c r="AL10" s="42">
        <f>VLOOKUP($C10,Segment!$B$229:$G$300,4,0)/1000</f>
        <v>0</v>
      </c>
      <c r="AM10" s="42">
        <f>VLOOKUP($C10,Segment!$B$306:$G$377,4,0)/1000</f>
        <v>0</v>
      </c>
      <c r="AN10" s="42">
        <f>VLOOKUP($C10,Segment!$B$383:$G$454,4,0)/1000</f>
        <v>0</v>
      </c>
      <c r="AO10" s="42">
        <f>VLOOKUP($C10,Segment!$B$460:$G$531,4,0)/1000</f>
        <v>0</v>
      </c>
      <c r="AR10" s="42">
        <f t="shared" si="12"/>
        <v>0</v>
      </c>
      <c r="AS10" s="42">
        <f t="shared" si="12"/>
        <v>0</v>
      </c>
      <c r="AT10" s="42">
        <f t="shared" si="12"/>
        <v>0</v>
      </c>
      <c r="AU10" s="42">
        <f t="shared" si="12"/>
        <v>0</v>
      </c>
      <c r="AV10" s="42">
        <f t="shared" si="12"/>
        <v>0</v>
      </c>
      <c r="AW10" s="42">
        <f t="shared" si="12"/>
        <v>0</v>
      </c>
      <c r="AX10" s="42">
        <f t="shared" si="12"/>
        <v>0</v>
      </c>
      <c r="BB10" s="42">
        <f>VLOOKUP($C10,Segment!$B$4:$G$71,5,0)/1000</f>
        <v>0</v>
      </c>
      <c r="BC10" s="42">
        <f>VLOOKUP($C10,Segment!$B$77:$G$146,5,0)/1000</f>
        <v>0</v>
      </c>
      <c r="BD10" s="42">
        <f>VLOOKUP($C10,Segment!$B$152:$G$223,5,0)/1000</f>
        <v>0</v>
      </c>
      <c r="BE10" s="42">
        <f>VLOOKUP($C10,Segment!$B$229:$G$300,5,0)/1000</f>
        <v>0</v>
      </c>
      <c r="BF10" s="42">
        <f>VLOOKUP($C10,Segment!$B$306:$G$377,5,0)/1000</f>
        <v>0</v>
      </c>
      <c r="BG10" s="42">
        <f>VLOOKUP($C10,Segment!$B$383:$G$454,5,0)/1000</f>
        <v>0</v>
      </c>
      <c r="BH10" s="42">
        <f>VLOOKUP($C10,Segment!$B$460:$G$531,5,0)/1000</f>
        <v>0</v>
      </c>
    </row>
    <row r="11" spans="2:60" x14ac:dyDescent="0.3">
      <c r="C11" s="43" t="s">
        <v>18</v>
      </c>
      <c r="D11" s="111"/>
      <c r="E11" s="43"/>
      <c r="F11" s="44">
        <f t="shared" ref="F11:K11" si="13">F5+F7+F9+F10</f>
        <v>324515.53267295985</v>
      </c>
      <c r="G11" s="44">
        <f t="shared" si="13"/>
        <v>405985.13802599994</v>
      </c>
      <c r="H11" s="44">
        <f t="shared" si="13"/>
        <v>414862.68335600005</v>
      </c>
      <c r="I11" s="44">
        <f t="shared" si="13"/>
        <v>598620.67442995997</v>
      </c>
      <c r="J11" s="44">
        <f t="shared" si="13"/>
        <v>797118.62526187999</v>
      </c>
      <c r="K11" s="44">
        <f t="shared" si="13"/>
        <v>1009346.4744279602</v>
      </c>
      <c r="L11" s="44">
        <f>L5+L7+L9+L10</f>
        <v>990849.66528303991</v>
      </c>
      <c r="M11" s="170">
        <f>L11/K11-1</f>
        <v>-1.8325530046957583E-2</v>
      </c>
      <c r="O11" s="43"/>
      <c r="P11" s="44">
        <f t="shared" ref="P11:U11" si="14">P5+P7+P9+P10</f>
        <v>324515.53267295985</v>
      </c>
      <c r="Q11" s="44">
        <f t="shared" si="14"/>
        <v>405985.13802599994</v>
      </c>
      <c r="R11" s="44">
        <f t="shared" si="14"/>
        <v>414862.68335600005</v>
      </c>
      <c r="S11" s="44">
        <f t="shared" si="14"/>
        <v>598620.67442995997</v>
      </c>
      <c r="T11" s="44">
        <f t="shared" si="14"/>
        <v>797118.62526187999</v>
      </c>
      <c r="U11" s="44">
        <f t="shared" si="14"/>
        <v>1009346.4744279602</v>
      </c>
      <c r="V11" s="44">
        <f>V5+V7+V9+V10</f>
        <v>990849.66528303991</v>
      </c>
      <c r="W11" s="170">
        <f>V11/U11-1</f>
        <v>-1.8325530046957583E-2</v>
      </c>
      <c r="Y11" s="43"/>
      <c r="Z11" s="44">
        <f t="shared" ref="Z11:AE11" si="15">Z5+Z7+Z9+Z10</f>
        <v>0</v>
      </c>
      <c r="AA11" s="44">
        <f t="shared" si="15"/>
        <v>0</v>
      </c>
      <c r="AB11" s="44">
        <f t="shared" si="15"/>
        <v>0</v>
      </c>
      <c r="AC11" s="44">
        <f t="shared" si="15"/>
        <v>0</v>
      </c>
      <c r="AD11" s="44">
        <f t="shared" si="15"/>
        <v>0</v>
      </c>
      <c r="AE11" s="44">
        <f t="shared" si="15"/>
        <v>0</v>
      </c>
      <c r="AF11" s="44">
        <f>AF5+AF7+AF9+AF10</f>
        <v>0</v>
      </c>
      <c r="AH11" s="43"/>
      <c r="AI11" s="44">
        <f t="shared" ref="AI11:AN11" si="16">AI5+AI7+AI9+AI10</f>
        <v>0</v>
      </c>
      <c r="AJ11" s="44">
        <f t="shared" si="16"/>
        <v>0</v>
      </c>
      <c r="AK11" s="44">
        <f t="shared" si="16"/>
        <v>0</v>
      </c>
      <c r="AL11" s="44">
        <f t="shared" si="16"/>
        <v>0</v>
      </c>
      <c r="AM11" s="44">
        <f t="shared" si="16"/>
        <v>0</v>
      </c>
      <c r="AN11" s="44">
        <f t="shared" si="16"/>
        <v>0</v>
      </c>
      <c r="AO11" s="44">
        <f>AO5+AO7+AO9+AO10</f>
        <v>0</v>
      </c>
      <c r="AQ11" s="43"/>
      <c r="AR11" s="44">
        <f t="shared" ref="AR11:AW11" si="17">AR5+AR7+AR9+AR10</f>
        <v>0</v>
      </c>
      <c r="AS11" s="44">
        <f t="shared" si="17"/>
        <v>0</v>
      </c>
      <c r="AT11" s="44">
        <f t="shared" si="17"/>
        <v>0</v>
      </c>
      <c r="AU11" s="44">
        <f t="shared" si="17"/>
        <v>0</v>
      </c>
      <c r="AV11" s="44">
        <f t="shared" si="17"/>
        <v>0</v>
      </c>
      <c r="AW11" s="44">
        <f t="shared" si="17"/>
        <v>0</v>
      </c>
      <c r="AX11" s="44">
        <f>AX5+AX7+AX9+AX10</f>
        <v>0</v>
      </c>
      <c r="AY11" s="170"/>
      <c r="BA11" s="43"/>
      <c r="BB11" s="44">
        <f t="shared" ref="BB11:BG11" si="18">BB5+BB7+BB9+BB10</f>
        <v>0</v>
      </c>
      <c r="BC11" s="44">
        <f t="shared" si="18"/>
        <v>0</v>
      </c>
      <c r="BD11" s="44">
        <f t="shared" si="18"/>
        <v>0</v>
      </c>
      <c r="BE11" s="44">
        <f t="shared" si="18"/>
        <v>0</v>
      </c>
      <c r="BF11" s="44">
        <f t="shared" si="18"/>
        <v>0</v>
      </c>
      <c r="BG11" s="44">
        <f t="shared" si="18"/>
        <v>0</v>
      </c>
      <c r="BH11" s="44">
        <f>BH5+BH7+BH9+BH10</f>
        <v>0</v>
      </c>
    </row>
    <row r="12" spans="2:60" x14ac:dyDescent="0.3">
      <c r="C12" s="39" t="s">
        <v>56</v>
      </c>
      <c r="D12" s="109"/>
      <c r="E12" s="39"/>
      <c r="F12" s="40">
        <f t="shared" ref="F12:L12" si="19">F11/F$149</f>
        <v>0.12747556033318438</v>
      </c>
      <c r="G12" s="40">
        <f t="shared" si="19"/>
        <v>0.2121610404716591</v>
      </c>
      <c r="H12" s="40">
        <f t="shared" si="19"/>
        <v>0.10504891875357061</v>
      </c>
      <c r="I12" s="40">
        <f t="shared" si="19"/>
        <v>0.12531451568218691</v>
      </c>
      <c r="J12" s="207">
        <f t="shared" si="19"/>
        <v>0.11912804273130628</v>
      </c>
      <c r="K12" s="207">
        <f t="shared" si="19"/>
        <v>9.8723272888542227E-2</v>
      </c>
      <c r="L12" s="207">
        <f t="shared" si="19"/>
        <v>0.16294751777415539</v>
      </c>
      <c r="M12" s="169"/>
      <c r="O12" s="41"/>
      <c r="P12" s="40">
        <f t="shared" ref="P12:V12" si="20">P11/P$149</f>
        <v>0.12747556033318438</v>
      </c>
      <c r="Q12" s="40">
        <f t="shared" si="20"/>
        <v>0.2121610404716591</v>
      </c>
      <c r="R12" s="40">
        <f t="shared" si="20"/>
        <v>0.10504891875357061</v>
      </c>
      <c r="S12" s="40">
        <f t="shared" si="20"/>
        <v>0.12531451568218691</v>
      </c>
      <c r="T12" s="40">
        <f t="shared" si="20"/>
        <v>0.11912804273130628</v>
      </c>
      <c r="U12" s="40">
        <f t="shared" si="20"/>
        <v>9.8723272888542227E-2</v>
      </c>
      <c r="V12" s="40">
        <f t="shared" si="20"/>
        <v>0.16294751777415539</v>
      </c>
      <c r="W12" s="169"/>
      <c r="Y12" s="41"/>
      <c r="Z12" s="40"/>
      <c r="AA12" s="40"/>
      <c r="AB12" s="40"/>
      <c r="AC12" s="40"/>
      <c r="AD12" s="40"/>
      <c r="AE12" s="40"/>
      <c r="AF12" s="40"/>
      <c r="AH12" s="41"/>
      <c r="AI12" s="40"/>
      <c r="AJ12" s="40"/>
      <c r="AK12" s="40"/>
      <c r="AL12" s="40"/>
      <c r="AM12" s="40"/>
      <c r="AN12" s="40"/>
      <c r="AO12" s="40"/>
      <c r="AQ12" s="41"/>
      <c r="AR12" s="40"/>
      <c r="AS12" s="40"/>
      <c r="AT12" s="40"/>
      <c r="AU12" s="40"/>
      <c r="AV12" s="40"/>
      <c r="AW12" s="40"/>
      <c r="AX12" s="40"/>
      <c r="AY12" s="169"/>
      <c r="BA12" s="41"/>
      <c r="BB12" s="40">
        <f t="shared" ref="BB12:BH12" si="21">BB11/BB$149</f>
        <v>0</v>
      </c>
      <c r="BC12" s="40">
        <f t="shared" si="21"/>
        <v>0</v>
      </c>
      <c r="BD12" s="40">
        <f t="shared" si="21"/>
        <v>0</v>
      </c>
      <c r="BE12" s="40">
        <f t="shared" si="21"/>
        <v>0</v>
      </c>
      <c r="BF12" s="40">
        <f t="shared" si="21"/>
        <v>0</v>
      </c>
      <c r="BG12" s="40">
        <f t="shared" si="21"/>
        <v>0</v>
      </c>
      <c r="BH12" s="40">
        <f t="shared" si="21"/>
        <v>0</v>
      </c>
    </row>
    <row r="13" spans="2:60" x14ac:dyDescent="0.3">
      <c r="C13" s="37"/>
      <c r="D13" s="107"/>
      <c r="E13" s="37"/>
      <c r="F13" s="37"/>
      <c r="G13" s="37"/>
      <c r="H13" s="37"/>
      <c r="I13" s="37"/>
      <c r="J13" s="37"/>
      <c r="K13" s="37"/>
      <c r="L13" s="37"/>
      <c r="M13" s="171"/>
      <c r="O13" s="37"/>
      <c r="P13" s="37"/>
      <c r="Q13" s="37"/>
      <c r="R13" s="37"/>
      <c r="S13" s="37"/>
      <c r="T13" s="37"/>
      <c r="U13" s="37"/>
      <c r="V13" s="37"/>
      <c r="W13" s="171"/>
      <c r="Y13" s="37"/>
      <c r="Z13" s="37"/>
      <c r="AA13" s="37"/>
      <c r="AB13" s="37"/>
      <c r="AC13" s="37"/>
      <c r="AD13" s="37"/>
      <c r="AE13" s="37"/>
      <c r="AF13" s="37"/>
      <c r="AH13" s="37"/>
      <c r="AI13" s="37"/>
      <c r="AJ13" s="37"/>
      <c r="AK13" s="37"/>
      <c r="AL13" s="37"/>
      <c r="AM13" s="37"/>
      <c r="AN13" s="37"/>
      <c r="AO13" s="37"/>
      <c r="AQ13" s="37"/>
      <c r="AR13" s="37"/>
      <c r="AS13" s="37"/>
      <c r="AT13" s="37"/>
      <c r="AU13" s="37"/>
      <c r="AV13" s="37"/>
      <c r="AW13" s="37"/>
      <c r="AX13" s="37"/>
      <c r="AY13" s="171"/>
      <c r="BA13" s="37"/>
      <c r="BB13" s="37"/>
      <c r="BC13" s="37"/>
      <c r="BD13" s="37"/>
      <c r="BE13" s="37"/>
      <c r="BF13" s="37"/>
      <c r="BG13" s="37"/>
      <c r="BH13" s="37"/>
    </row>
    <row r="14" spans="2:60" x14ac:dyDescent="0.3">
      <c r="C14" s="36" t="s">
        <v>12</v>
      </c>
      <c r="D14" s="110">
        <v>11</v>
      </c>
      <c r="F14" s="38">
        <f>VLOOKUP($C14,Segment!$B$4:$G$71,6,0)/1000</f>
        <v>394995.95607999997</v>
      </c>
      <c r="G14" s="42">
        <f>VLOOKUP($C14,Segment!$B$77:$G$146,6,0)/1000</f>
        <v>373115.63500000001</v>
      </c>
      <c r="H14" s="42">
        <f>VLOOKUP($C14,Segment!$B$152:$G$223,6,0)/1000</f>
        <v>475836.30160000001</v>
      </c>
      <c r="I14" s="42">
        <f>VLOOKUP($C14,Segment!$B$229:$G$300,6,0)/1000</f>
        <v>465594.91821000009</v>
      </c>
      <c r="J14" s="42">
        <f>VLOOKUP($C14,Segment!$B$306:$G$377,6,0)/1000</f>
        <v>801931.53403999971</v>
      </c>
      <c r="K14" s="42">
        <f>VLOOKUP($C14,Segment!$B$383:$G$454,6,0)/1000</f>
        <v>1388051.1420000002</v>
      </c>
      <c r="L14" s="42">
        <f>VLOOKUP($C14,Segment!$B$460:$G$531,6,0)/1000</f>
        <v>2302151.1121499995</v>
      </c>
      <c r="M14" s="132">
        <f>L14/K14-1</f>
        <v>0.65854920073975132</v>
      </c>
      <c r="P14" s="42">
        <f>VLOOKUP($C14,Segment!$B$4:$G$71,2,0)/1000</f>
        <v>394995.95607999997</v>
      </c>
      <c r="Q14" s="42">
        <f>VLOOKUP($C14,Segment!$B$77:$G$146,2,0)/1000</f>
        <v>373115.63500000001</v>
      </c>
      <c r="R14" s="42">
        <f>VLOOKUP($C14,Segment!$B$152:$G$223,2,0)/1000</f>
        <v>475836.30160000001</v>
      </c>
      <c r="S14" s="42">
        <f>VLOOKUP($C14,Segment!$B$229:$G$300,2,0)/1000</f>
        <v>465594.91821000009</v>
      </c>
      <c r="T14" s="42">
        <f>VLOOKUP($C14,Segment!$B$306:$G$377,2,0)/1000</f>
        <v>801931.53403999971</v>
      </c>
      <c r="U14" s="42">
        <f>VLOOKUP($C14,Segment!$B$383:$G$454,2,0)/1000</f>
        <v>1388051.1420000002</v>
      </c>
      <c r="V14" s="42">
        <f>VLOOKUP($C14,Segment!$B$460:$G$531,2,0)/1000</f>
        <v>2302151.1121499995</v>
      </c>
      <c r="W14" s="132">
        <f>V14/U14-1</f>
        <v>0.65854920073975132</v>
      </c>
      <c r="Z14" s="42">
        <f>VLOOKUP($C14,Segment!$B$4:$G$71,3,0)/1000</f>
        <v>0</v>
      </c>
      <c r="AA14" s="42">
        <f>VLOOKUP($C14,Segment!$B$77:$G$146,3,0)/1000</f>
        <v>0</v>
      </c>
      <c r="AB14" s="42">
        <f>VLOOKUP($C14,Segment!$B$152:$G$223,3,0)/1000</f>
        <v>0</v>
      </c>
      <c r="AC14" s="42">
        <f>VLOOKUP($C14,Segment!$B$229:$G$300,3,0)/1000</f>
        <v>0</v>
      </c>
      <c r="AD14" s="42">
        <f>VLOOKUP($C14,Segment!$B$306:$G$377,3,0)/1000</f>
        <v>0</v>
      </c>
      <c r="AE14" s="42">
        <f>VLOOKUP($C14,Segment!$B$383:$G$454,3,0)/1000</f>
        <v>0</v>
      </c>
      <c r="AF14" s="42">
        <f>VLOOKUP($C14,Segment!$B$460:$G$531,3,0)/1000</f>
        <v>0</v>
      </c>
      <c r="AI14" s="42">
        <f>VLOOKUP($C14,Segment!$B$4:$G$71,4,0)/1000</f>
        <v>0</v>
      </c>
      <c r="AJ14" s="42">
        <f>VLOOKUP($C14,Segment!$B$77:$G$146,4,0)/1000</f>
        <v>0</v>
      </c>
      <c r="AK14" s="42">
        <f>VLOOKUP($C14,Segment!$B$152:$G$223,4,0)/1000</f>
        <v>0</v>
      </c>
      <c r="AL14" s="42">
        <f>VLOOKUP($C14,Segment!$B$229:$G$300,4,0)/1000</f>
        <v>0</v>
      </c>
      <c r="AM14" s="42">
        <f>VLOOKUP($C14,Segment!$B$306:$G$377,4,0)/1000</f>
        <v>0</v>
      </c>
      <c r="AN14" s="42">
        <f>VLOOKUP($C14,Segment!$B$383:$G$454,4,0)/1000</f>
        <v>0</v>
      </c>
      <c r="AO14" s="42">
        <f>VLOOKUP($C14,Segment!$B$460:$G$531,4,0)/1000</f>
        <v>0</v>
      </c>
      <c r="AR14" s="42">
        <f t="shared" ref="AR14:AX17" si="22">Z14+AI14</f>
        <v>0</v>
      </c>
      <c r="AS14" s="42">
        <f t="shared" si="22"/>
        <v>0</v>
      </c>
      <c r="AT14" s="42">
        <f t="shared" si="22"/>
        <v>0</v>
      </c>
      <c r="AU14" s="42">
        <f t="shared" si="22"/>
        <v>0</v>
      </c>
      <c r="AV14" s="42">
        <f t="shared" si="22"/>
        <v>0</v>
      </c>
      <c r="AW14" s="42">
        <f t="shared" si="22"/>
        <v>0</v>
      </c>
      <c r="AX14" s="42">
        <f t="shared" si="22"/>
        <v>0</v>
      </c>
      <c r="BB14" s="42">
        <f>VLOOKUP($C14,Segment!$B$4:$G$71,5,0)/1000</f>
        <v>0</v>
      </c>
      <c r="BC14" s="42">
        <f>VLOOKUP($C14,Segment!$B$77:$G$146,5,0)/1000</f>
        <v>0</v>
      </c>
      <c r="BD14" s="42">
        <f>VLOOKUP($C14,Segment!$B$152:$G$223,5,0)/1000</f>
        <v>0</v>
      </c>
      <c r="BE14" s="42">
        <f>VLOOKUP($C14,Segment!$B$229:$G$300,5,0)/1000</f>
        <v>0</v>
      </c>
      <c r="BF14" s="42">
        <f>VLOOKUP($C14,Segment!$B$306:$G$377,5,0)/1000</f>
        <v>0</v>
      </c>
      <c r="BG14" s="42">
        <f>VLOOKUP($C14,Segment!$B$383:$G$454,5,0)/1000</f>
        <v>0</v>
      </c>
      <c r="BH14" s="42">
        <f>VLOOKUP($C14,Segment!$B$460:$G$531,5,0)/1000</f>
        <v>0</v>
      </c>
    </row>
    <row r="15" spans="2:60" x14ac:dyDescent="0.3">
      <c r="C15" s="36" t="s">
        <v>3</v>
      </c>
      <c r="F15" s="38">
        <f>VLOOKUP($C15,Segment!$B$4:$G$71,6,0)/1000</f>
        <v>-280150.99266000005</v>
      </c>
      <c r="G15" s="42">
        <f>VLOOKUP($C15,Segment!$B$77:$G$146,6,0)/1000</f>
        <v>-212985.52832000001</v>
      </c>
      <c r="H15" s="42">
        <f>VLOOKUP($C15,Segment!$B$152:$G$223,6,0)/1000</f>
        <v>-201022.23971000005</v>
      </c>
      <c r="I15" s="42">
        <f>VLOOKUP($C15,Segment!$B$229:$G$300,6,0)/1000</f>
        <v>-161072.95791999996</v>
      </c>
      <c r="J15" s="42">
        <f>VLOOKUP($C15,Segment!$B$306:$G$377,6,0)/1000</f>
        <v>-395152.17026999994</v>
      </c>
      <c r="K15" s="42">
        <f>VLOOKUP($C15,Segment!$B$383:$G$454,6,0)/1000</f>
        <v>-880296.16928999987</v>
      </c>
      <c r="L15" s="42">
        <f>VLOOKUP($C15,Segment!$B$460:$G$531,6,0)/1000</f>
        <v>-1490314.0028859726</v>
      </c>
      <c r="M15" s="132">
        <f>L15/K15-1</f>
        <v>0.69296886079599851</v>
      </c>
      <c r="P15" s="42">
        <f>VLOOKUP($C15,Segment!$B$4:$G$71,2,0)/1000</f>
        <v>-280150.99266000005</v>
      </c>
      <c r="Q15" s="42">
        <f>VLOOKUP($C15,Segment!$B$77:$G$146,2,0)/1000</f>
        <v>-212985.52832000001</v>
      </c>
      <c r="R15" s="42">
        <f>VLOOKUP($C15,Segment!$B$152:$G$223,2,0)/1000</f>
        <v>-201022.23971000005</v>
      </c>
      <c r="S15" s="42">
        <f>VLOOKUP($C15,Segment!$B$229:$G$300,2,0)/1000</f>
        <v>-161070.60856999995</v>
      </c>
      <c r="T15" s="42">
        <f>VLOOKUP($C15,Segment!$B$306:$G$377,2,0)/1000</f>
        <v>-395099.12889999989</v>
      </c>
      <c r="U15" s="42">
        <f>VLOOKUP($C15,Segment!$B$383:$G$454,2,0)/1000</f>
        <v>-880203.23387999984</v>
      </c>
      <c r="V15" s="42">
        <f>VLOOKUP($C15,Segment!$B$460:$G$531,2,0)/1000</f>
        <v>-1490234.3975959725</v>
      </c>
      <c r="W15" s="132">
        <f>V15/U15-1</f>
        <v>0.69305717161127767</v>
      </c>
      <c r="Z15" s="42">
        <f>VLOOKUP($C15,Segment!$B$4:$G$71,3,0)/1000</f>
        <v>0</v>
      </c>
      <c r="AA15" s="42">
        <f>VLOOKUP($C15,Segment!$B$77:$G$146,3,0)/1000</f>
        <v>0</v>
      </c>
      <c r="AB15" s="42">
        <f>VLOOKUP($C15,Segment!$B$152:$G$223,3,0)/1000</f>
        <v>0</v>
      </c>
      <c r="AC15" s="42">
        <f>VLOOKUP($C15,Segment!$B$229:$G$300,3,0)/1000</f>
        <v>0</v>
      </c>
      <c r="AD15" s="42">
        <f>VLOOKUP($C15,Segment!$B$306:$G$377,3,0)/1000</f>
        <v>0</v>
      </c>
      <c r="AE15" s="42">
        <f>VLOOKUP($C15,Segment!$B$383:$G$454,3,0)/1000</f>
        <v>0</v>
      </c>
      <c r="AF15" s="42">
        <f>VLOOKUP($C15,Segment!$B$460:$G$531,3,0)/1000</f>
        <v>0</v>
      </c>
      <c r="AI15" s="42">
        <f>VLOOKUP($C15,Segment!$B$4:$G$71,4,0)/1000</f>
        <v>0</v>
      </c>
      <c r="AJ15" s="42">
        <f>VLOOKUP($C15,Segment!$B$77:$G$146,4,0)/1000</f>
        <v>0</v>
      </c>
      <c r="AK15" s="42">
        <f>VLOOKUP($C15,Segment!$B$152:$G$223,4,0)/1000</f>
        <v>0</v>
      </c>
      <c r="AL15" s="42">
        <f>VLOOKUP($C15,Segment!$B$229:$G$300,4,0)/1000</f>
        <v>0</v>
      </c>
      <c r="AM15" s="42">
        <f>VLOOKUP($C15,Segment!$B$306:$G$377,4,0)/1000</f>
        <v>0</v>
      </c>
      <c r="AN15" s="42">
        <f>VLOOKUP($C15,Segment!$B$383:$G$454,4,0)/1000</f>
        <v>0</v>
      </c>
      <c r="AO15" s="42">
        <f>VLOOKUP($C15,Segment!$B$460:$G$531,4,0)/1000</f>
        <v>0</v>
      </c>
      <c r="AR15" s="42">
        <f t="shared" si="22"/>
        <v>0</v>
      </c>
      <c r="AS15" s="42">
        <f t="shared" si="22"/>
        <v>0</v>
      </c>
      <c r="AT15" s="42">
        <f t="shared" si="22"/>
        <v>0</v>
      </c>
      <c r="AU15" s="42">
        <f t="shared" si="22"/>
        <v>0</v>
      </c>
      <c r="AV15" s="42">
        <f t="shared" si="22"/>
        <v>0</v>
      </c>
      <c r="AW15" s="42">
        <f t="shared" si="22"/>
        <v>0</v>
      </c>
      <c r="AX15" s="42">
        <f t="shared" si="22"/>
        <v>0</v>
      </c>
      <c r="BB15" s="42">
        <f>VLOOKUP($C15,Segment!$B$4:$G$71,5,0)/1000</f>
        <v>0</v>
      </c>
      <c r="BC15" s="42">
        <f>VLOOKUP($C15,Segment!$B$77:$G$146,5,0)/1000</f>
        <v>0</v>
      </c>
      <c r="BD15" s="42">
        <f>VLOOKUP($C15,Segment!$B$152:$G$223,5,0)/1000</f>
        <v>0</v>
      </c>
      <c r="BE15" s="42">
        <f>VLOOKUP($C15,Segment!$B$229:$G$300,5,0)/1000</f>
        <v>-2.3493499999999998</v>
      </c>
      <c r="BF15" s="42">
        <f>VLOOKUP($C15,Segment!$B$306:$G$377,5,0)/1000</f>
        <v>-53.041369999999993</v>
      </c>
      <c r="BG15" s="42">
        <f>VLOOKUP($C15,Segment!$B$383:$G$454,5,0)/1000</f>
        <v>-92.935410000000005</v>
      </c>
      <c r="BH15" s="42">
        <f>VLOOKUP($C15,Segment!$B$460:$G$531,5,0)/1000</f>
        <v>-79.605289999999997</v>
      </c>
    </row>
    <row r="16" spans="2:60" x14ac:dyDescent="0.3">
      <c r="C16" s="36" t="s">
        <v>88</v>
      </c>
      <c r="F16" s="38">
        <f>VLOOKUP($C16,Segment!$B$4:$G$71,6,0)/1000</f>
        <v>58547.587309999995</v>
      </c>
      <c r="G16" s="42">
        <f>VLOOKUP($C16,Segment!$B$77:$G$146,6,0)/1000</f>
        <v>120578.48154000001</v>
      </c>
      <c r="H16" s="42">
        <f>VLOOKUP($C16,Segment!$B$152:$G$223,6,0)/1000</f>
        <v>96463.867040000012</v>
      </c>
      <c r="I16" s="42">
        <f>VLOOKUP($C16,Segment!$B$229:$G$300,6,0)/1000</f>
        <v>93288.836089999953</v>
      </c>
      <c r="J16" s="42">
        <f>VLOOKUP($C16,Segment!$B$306:$G$377,6,0)/1000</f>
        <v>91040.108720000004</v>
      </c>
      <c r="K16" s="42">
        <f>VLOOKUP($C16,Segment!$B$383:$G$454,6,0)/1000</f>
        <v>70494.975309999994</v>
      </c>
      <c r="L16" s="42">
        <f>VLOOKUP($C16,Segment!$B$460:$G$531,6,0)/1000</f>
        <v>124362.27235037956</v>
      </c>
      <c r="M16" s="132">
        <f>L16/K16-1</f>
        <v>0.76412959652087808</v>
      </c>
      <c r="P16" s="42">
        <f>VLOOKUP($C16,Segment!$B$4:$G$71,2,0)/1000</f>
        <v>58547.587309999995</v>
      </c>
      <c r="Q16" s="42">
        <f>VLOOKUP($C16,Segment!$B$77:$G$146,2,0)/1000</f>
        <v>120578.48154000001</v>
      </c>
      <c r="R16" s="42">
        <f>VLOOKUP($C16,Segment!$B$152:$G$223,2,0)/1000</f>
        <v>96463.867040000012</v>
      </c>
      <c r="S16" s="42">
        <f>VLOOKUP($C16,Segment!$B$229:$G$300,2,0)/1000</f>
        <v>92718.443899999955</v>
      </c>
      <c r="T16" s="42">
        <f>VLOOKUP($C16,Segment!$B$306:$G$377,2,0)/1000</f>
        <v>90530.377999999997</v>
      </c>
      <c r="U16" s="42">
        <f>VLOOKUP($C16,Segment!$B$383:$G$454,2,0)/1000</f>
        <v>70476.765049999987</v>
      </c>
      <c r="V16" s="42">
        <f>VLOOKUP($C16,Segment!$B$460:$G$531,2,0)/1000</f>
        <v>121227.68231037955</v>
      </c>
      <c r="W16" s="132">
        <f>V16/U16-1</f>
        <v>0.72010849567760582</v>
      </c>
      <c r="Z16" s="42">
        <f>VLOOKUP($C16,Segment!$B$4:$G$71,3,0)/1000</f>
        <v>0</v>
      </c>
      <c r="AA16" s="42">
        <f>VLOOKUP($C16,Segment!$B$77:$G$146,3,0)/1000</f>
        <v>0</v>
      </c>
      <c r="AB16" s="42">
        <f>VLOOKUP($C16,Segment!$B$152:$G$223,3,0)/1000</f>
        <v>0</v>
      </c>
      <c r="AC16" s="42">
        <f>VLOOKUP($C16,Segment!$B$229:$G$300,3,0)/1000</f>
        <v>0</v>
      </c>
      <c r="AD16" s="42">
        <f>VLOOKUP($C16,Segment!$B$306:$G$377,3,0)/1000</f>
        <v>0</v>
      </c>
      <c r="AE16" s="42">
        <f>VLOOKUP($C16,Segment!$B$383:$G$454,3,0)/1000</f>
        <v>0</v>
      </c>
      <c r="AF16" s="42">
        <f>VLOOKUP($C16,Segment!$B$460:$G$531,3,0)/1000</f>
        <v>0</v>
      </c>
      <c r="AI16" s="42">
        <f>VLOOKUP($C16,Segment!$B$4:$G$71,4,0)/1000</f>
        <v>0</v>
      </c>
      <c r="AJ16" s="42">
        <f>VLOOKUP($C16,Segment!$B$77:$G$146,4,0)/1000</f>
        <v>0</v>
      </c>
      <c r="AK16" s="42">
        <f>VLOOKUP($C16,Segment!$B$152:$G$223,4,0)/1000</f>
        <v>0</v>
      </c>
      <c r="AL16" s="42">
        <f>VLOOKUP($C16,Segment!$B$229:$G$300,4,0)/1000</f>
        <v>0</v>
      </c>
      <c r="AM16" s="42">
        <f>VLOOKUP($C16,Segment!$B$306:$G$377,4,0)/1000</f>
        <v>0</v>
      </c>
      <c r="AN16" s="42">
        <f>VLOOKUP($C16,Segment!$B$383:$G$454,4,0)/1000</f>
        <v>0</v>
      </c>
      <c r="AO16" s="42">
        <f>VLOOKUP($C16,Segment!$B$460:$G$531,4,0)/1000</f>
        <v>0</v>
      </c>
      <c r="AR16" s="42">
        <f t="shared" si="22"/>
        <v>0</v>
      </c>
      <c r="AS16" s="42">
        <f t="shared" si="22"/>
        <v>0</v>
      </c>
      <c r="AT16" s="42">
        <f t="shared" si="22"/>
        <v>0</v>
      </c>
      <c r="AU16" s="42">
        <f t="shared" si="22"/>
        <v>0</v>
      </c>
      <c r="AV16" s="42">
        <f t="shared" si="22"/>
        <v>0</v>
      </c>
      <c r="AW16" s="42">
        <f t="shared" si="22"/>
        <v>0</v>
      </c>
      <c r="AX16" s="42">
        <f t="shared" si="22"/>
        <v>0</v>
      </c>
      <c r="BB16" s="42">
        <f>VLOOKUP($C16,Segment!$B$4:$G$71,5,0)/1000</f>
        <v>0</v>
      </c>
      <c r="BC16" s="42">
        <f>VLOOKUP($C16,Segment!$B$77:$G$146,5,0)/1000</f>
        <v>0</v>
      </c>
      <c r="BD16" s="42">
        <f>VLOOKUP($C16,Segment!$B$152:$G$223,5,0)/1000</f>
        <v>0</v>
      </c>
      <c r="BE16" s="42">
        <f>VLOOKUP($C16,Segment!$B$229:$G$300,5,0)/1000</f>
        <v>570.39218999999991</v>
      </c>
      <c r="BF16" s="42">
        <f>VLOOKUP($C16,Segment!$B$306:$G$377,5,0)/1000</f>
        <v>509.73072000000002</v>
      </c>
      <c r="BG16" s="42">
        <f>VLOOKUP($C16,Segment!$B$383:$G$454,5,0)/1000</f>
        <v>18.210260000000002</v>
      </c>
      <c r="BH16" s="42">
        <f>VLOOKUP($C16,Segment!$B$460:$G$531,5,0)/1000</f>
        <v>3134.59004</v>
      </c>
    </row>
    <row r="17" spans="3:60" x14ac:dyDescent="0.3">
      <c r="C17" s="36" t="s">
        <v>13</v>
      </c>
      <c r="F17" s="38">
        <f>VLOOKUP($C17,Segment!$B$4:$G$71,6,0)/1000</f>
        <v>-18636.346579999998</v>
      </c>
      <c r="G17" s="42">
        <f>VLOOKUP($C17,Segment!$B$77:$G$146,6,0)/1000</f>
        <v>-3112.0540000000001</v>
      </c>
      <c r="H17" s="42">
        <f>VLOOKUP($C17,Segment!$B$152:$G$223,6,0)/1000</f>
        <v>-5676.9316099999996</v>
      </c>
      <c r="I17" s="42">
        <f>VLOOKUP($C17,Segment!$B$229:$G$300,6,0)/1000</f>
        <v>-5853.4210800000001</v>
      </c>
      <c r="J17" s="42">
        <f>VLOOKUP($C17,Segment!$B$306:$G$377,6,0)/1000</f>
        <v>-10148.613370000001</v>
      </c>
      <c r="K17" s="42">
        <f>VLOOKUP($C17,Segment!$B$383:$G$454,6,0)/1000</f>
        <v>-14094.944939999999</v>
      </c>
      <c r="L17" s="42">
        <f>VLOOKUP($C17,Segment!$B$460:$G$531,6,0)/1000</f>
        <v>-15913.55636</v>
      </c>
      <c r="M17" s="132">
        <f>L17/K17-1</f>
        <v>0.12902579100106792</v>
      </c>
      <c r="P17" s="42">
        <f>VLOOKUP($C17,Segment!$B$4:$G$71,2,0)/1000</f>
        <v>-18636.346579999998</v>
      </c>
      <c r="Q17" s="42">
        <f>VLOOKUP($C17,Segment!$B$77:$G$146,2,0)/1000</f>
        <v>-3112.0540000000001</v>
      </c>
      <c r="R17" s="42">
        <f>VLOOKUP($C17,Segment!$B$152:$G$223,2,0)/1000</f>
        <v>-5676.9316099999996</v>
      </c>
      <c r="S17" s="42">
        <f>VLOOKUP($C17,Segment!$B$229:$G$300,2,0)/1000</f>
        <v>-5853.4210800000001</v>
      </c>
      <c r="T17" s="42">
        <f>VLOOKUP($C17,Segment!$B$306:$G$377,2,0)/1000</f>
        <v>-10148.613370000001</v>
      </c>
      <c r="U17" s="42">
        <f>VLOOKUP($C17,Segment!$B$383:$G$454,2,0)/1000</f>
        <v>-14094.944939999999</v>
      </c>
      <c r="V17" s="42">
        <f>VLOOKUP($C17,Segment!$B$460:$G$531,2,0)/1000</f>
        <v>-15913.55636</v>
      </c>
      <c r="W17" s="132">
        <f>V17/U17-1</f>
        <v>0.12902579100106792</v>
      </c>
      <c r="Z17" s="42">
        <f>VLOOKUP($C17,Segment!$B$4:$G$71,3,0)/1000</f>
        <v>0</v>
      </c>
      <c r="AA17" s="42">
        <f>VLOOKUP($C17,Segment!$B$77:$G$146,3,0)/1000</f>
        <v>0</v>
      </c>
      <c r="AB17" s="42">
        <f>VLOOKUP($C17,Segment!$B$152:$G$223,3,0)/1000</f>
        <v>0</v>
      </c>
      <c r="AC17" s="42">
        <f>VLOOKUP($C17,Segment!$B$229:$G$300,3,0)/1000</f>
        <v>0</v>
      </c>
      <c r="AD17" s="42">
        <f>VLOOKUP($C17,Segment!$B$306:$G$377,3,0)/1000</f>
        <v>0</v>
      </c>
      <c r="AE17" s="42">
        <f>VLOOKUP($C17,Segment!$B$383:$G$454,3,0)/1000</f>
        <v>0</v>
      </c>
      <c r="AF17" s="42">
        <f>VLOOKUP($C17,Segment!$B$460:$G$531,3,0)/1000</f>
        <v>0</v>
      </c>
      <c r="AI17" s="42">
        <f>VLOOKUP($C17,Segment!$B$4:$G$71,4,0)/1000</f>
        <v>0</v>
      </c>
      <c r="AJ17" s="42">
        <f>VLOOKUP($C17,Segment!$B$77:$G$146,4,0)/1000</f>
        <v>0</v>
      </c>
      <c r="AK17" s="42">
        <f>VLOOKUP($C17,Segment!$B$152:$G$223,4,0)/1000</f>
        <v>0</v>
      </c>
      <c r="AL17" s="42">
        <f>VLOOKUP($C17,Segment!$B$229:$G$300,4,0)/1000</f>
        <v>0</v>
      </c>
      <c r="AM17" s="42">
        <f>VLOOKUP($C17,Segment!$B$306:$G$377,4,0)/1000</f>
        <v>0</v>
      </c>
      <c r="AN17" s="42">
        <f>VLOOKUP($C17,Segment!$B$383:$G$454,4,0)/1000</f>
        <v>0</v>
      </c>
      <c r="AO17" s="42">
        <f>VLOOKUP($C17,Segment!$B$460:$G$531,4,0)/1000</f>
        <v>0</v>
      </c>
      <c r="AR17" s="42">
        <f t="shared" si="22"/>
        <v>0</v>
      </c>
      <c r="AS17" s="42">
        <f t="shared" si="22"/>
        <v>0</v>
      </c>
      <c r="AT17" s="42">
        <f t="shared" si="22"/>
        <v>0</v>
      </c>
      <c r="AU17" s="42">
        <f t="shared" si="22"/>
        <v>0</v>
      </c>
      <c r="AV17" s="42">
        <f t="shared" si="22"/>
        <v>0</v>
      </c>
      <c r="AW17" s="42">
        <f t="shared" si="22"/>
        <v>0</v>
      </c>
      <c r="AX17" s="42">
        <f t="shared" si="22"/>
        <v>0</v>
      </c>
      <c r="BB17" s="42">
        <f>VLOOKUP($C17,Segment!$B$4:$G$71,5,0)/1000</f>
        <v>0</v>
      </c>
      <c r="BC17" s="42">
        <f>VLOOKUP($C17,Segment!$B$77:$G$146,5,0)/1000</f>
        <v>0</v>
      </c>
      <c r="BD17" s="42">
        <f>VLOOKUP($C17,Segment!$B$152:$G$223,5,0)/1000</f>
        <v>0</v>
      </c>
      <c r="BE17" s="42">
        <f>VLOOKUP($C17,Segment!$B$229:$G$300,5,0)/1000</f>
        <v>0</v>
      </c>
      <c r="BF17" s="42">
        <f>VLOOKUP($C17,Segment!$B$306:$G$377,5,0)/1000</f>
        <v>0</v>
      </c>
      <c r="BG17" s="42">
        <f>VLOOKUP($C17,Segment!$B$383:$G$454,5,0)/1000</f>
        <v>0</v>
      </c>
      <c r="BH17" s="42">
        <f>VLOOKUP($C17,Segment!$B$460:$G$531,5,0)/1000</f>
        <v>0</v>
      </c>
    </row>
    <row r="18" spans="3:60" x14ac:dyDescent="0.3">
      <c r="C18" s="43" t="s">
        <v>14</v>
      </c>
      <c r="D18" s="111"/>
      <c r="E18" s="43"/>
      <c r="F18" s="44">
        <f t="shared" ref="F18:L18" si="23">F14+F15+F16+F17</f>
        <v>154756.20414999995</v>
      </c>
      <c r="G18" s="44">
        <f t="shared" si="23"/>
        <v>277596.53422000003</v>
      </c>
      <c r="H18" s="44">
        <f t="shared" si="23"/>
        <v>365600.99731999997</v>
      </c>
      <c r="I18" s="44">
        <f t="shared" si="23"/>
        <v>391957.37530000007</v>
      </c>
      <c r="J18" s="44">
        <f t="shared" si="23"/>
        <v>487670.8591199998</v>
      </c>
      <c r="K18" s="44">
        <f t="shared" si="23"/>
        <v>564155.0030800004</v>
      </c>
      <c r="L18" s="44">
        <f t="shared" si="23"/>
        <v>920285.82525440631</v>
      </c>
      <c r="M18" s="170">
        <f>L18/K18-1</f>
        <v>0.63126413880956855</v>
      </c>
      <c r="O18" s="43"/>
      <c r="P18" s="44">
        <f t="shared" ref="P18:V18" si="24">P14+P15+P16+P17</f>
        <v>154756.20414999995</v>
      </c>
      <c r="Q18" s="44">
        <f t="shared" si="24"/>
        <v>277596.53422000003</v>
      </c>
      <c r="R18" s="44">
        <f t="shared" si="24"/>
        <v>365600.99731999997</v>
      </c>
      <c r="S18" s="44">
        <f t="shared" si="24"/>
        <v>391389.33246000006</v>
      </c>
      <c r="T18" s="44">
        <f t="shared" si="24"/>
        <v>487214.16976999986</v>
      </c>
      <c r="U18" s="44">
        <f t="shared" si="24"/>
        <v>564229.72823000036</v>
      </c>
      <c r="V18" s="44">
        <f t="shared" si="24"/>
        <v>917230.84050440649</v>
      </c>
      <c r="W18" s="170">
        <f>V18/U18-1</f>
        <v>0.62563366411368904</v>
      </c>
      <c r="Y18" s="43"/>
      <c r="Z18" s="44">
        <f t="shared" ref="Z18:AF18" si="25">Z14+Z15+Z16+Z17</f>
        <v>0</v>
      </c>
      <c r="AA18" s="44">
        <f t="shared" si="25"/>
        <v>0</v>
      </c>
      <c r="AB18" s="44">
        <f t="shared" si="25"/>
        <v>0</v>
      </c>
      <c r="AC18" s="44">
        <f t="shared" si="25"/>
        <v>0</v>
      </c>
      <c r="AD18" s="44">
        <f t="shared" si="25"/>
        <v>0</v>
      </c>
      <c r="AE18" s="44">
        <f t="shared" si="25"/>
        <v>0</v>
      </c>
      <c r="AF18" s="44">
        <f t="shared" si="25"/>
        <v>0</v>
      </c>
      <c r="AH18" s="43"/>
      <c r="AI18" s="44">
        <f t="shared" ref="AI18:AO18" si="26">AI14+AI15+AI16+AI17</f>
        <v>0</v>
      </c>
      <c r="AJ18" s="44">
        <f t="shared" si="26"/>
        <v>0</v>
      </c>
      <c r="AK18" s="44">
        <f t="shared" si="26"/>
        <v>0</v>
      </c>
      <c r="AL18" s="44">
        <f t="shared" si="26"/>
        <v>0</v>
      </c>
      <c r="AM18" s="44">
        <f t="shared" si="26"/>
        <v>0</v>
      </c>
      <c r="AN18" s="44">
        <f t="shared" si="26"/>
        <v>0</v>
      </c>
      <c r="AO18" s="44">
        <f t="shared" si="26"/>
        <v>0</v>
      </c>
      <c r="AQ18" s="43"/>
      <c r="AR18" s="44">
        <f t="shared" ref="AR18:AX18" si="27">AR14+AR15+AR16+AR17</f>
        <v>0</v>
      </c>
      <c r="AS18" s="44">
        <f t="shared" si="27"/>
        <v>0</v>
      </c>
      <c r="AT18" s="44">
        <f t="shared" si="27"/>
        <v>0</v>
      </c>
      <c r="AU18" s="44">
        <f t="shared" si="27"/>
        <v>0</v>
      </c>
      <c r="AV18" s="44">
        <f t="shared" si="27"/>
        <v>0</v>
      </c>
      <c r="AW18" s="44">
        <f t="shared" si="27"/>
        <v>0</v>
      </c>
      <c r="AX18" s="44">
        <f t="shared" si="27"/>
        <v>0</v>
      </c>
      <c r="AY18" s="170"/>
      <c r="BA18" s="43"/>
      <c r="BB18" s="44">
        <f t="shared" ref="BB18:BH18" si="28">BB14+BB15+BB16+BB17</f>
        <v>0</v>
      </c>
      <c r="BC18" s="44">
        <f t="shared" si="28"/>
        <v>0</v>
      </c>
      <c r="BD18" s="44">
        <f t="shared" si="28"/>
        <v>0</v>
      </c>
      <c r="BE18" s="44">
        <f t="shared" si="28"/>
        <v>568.04283999999996</v>
      </c>
      <c r="BF18" s="44">
        <f t="shared" si="28"/>
        <v>456.68935000000005</v>
      </c>
      <c r="BG18" s="44">
        <f t="shared" si="28"/>
        <v>-74.725149999999999</v>
      </c>
      <c r="BH18" s="44">
        <f t="shared" si="28"/>
        <v>3054.9847500000001</v>
      </c>
    </row>
    <row r="19" spans="3:60" x14ac:dyDescent="0.3">
      <c r="C19" s="39" t="s">
        <v>54</v>
      </c>
      <c r="D19" s="109"/>
      <c r="E19" s="39"/>
      <c r="F19" s="40">
        <f t="shared" ref="F19:L19" si="29">F18/AVERAGE(E122:F122)</f>
        <v>8.6205679442892577E-2</v>
      </c>
      <c r="G19" s="40">
        <f t="shared" si="29"/>
        <v>0.12547826760339897</v>
      </c>
      <c r="H19" s="40">
        <f t="shared" si="29"/>
        <v>0.15149693498420044</v>
      </c>
      <c r="I19" s="40">
        <f t="shared" si="29"/>
        <v>0.14445727767809088</v>
      </c>
      <c r="J19" s="207">
        <f t="shared" si="29"/>
        <v>0.10936332806144405</v>
      </c>
      <c r="K19" s="207">
        <f t="shared" si="29"/>
        <v>7.9758387610207038E-2</v>
      </c>
      <c r="L19" s="207">
        <f t="shared" si="29"/>
        <v>0.10776008177010424</v>
      </c>
      <c r="M19" s="169"/>
      <c r="O19" s="41"/>
      <c r="P19" s="40">
        <f t="shared" ref="P19:V19" si="30">P18/AVERAGE(O122:P122)</f>
        <v>8.6205679442892577E-2</v>
      </c>
      <c r="Q19" s="40">
        <f t="shared" si="30"/>
        <v>0.12547826760339897</v>
      </c>
      <c r="R19" s="40">
        <f t="shared" si="30"/>
        <v>0.15149693498420044</v>
      </c>
      <c r="S19" s="40">
        <f t="shared" si="30"/>
        <v>0.14424792347928769</v>
      </c>
      <c r="T19" s="207">
        <f t="shared" si="30"/>
        <v>0.10926091253615239</v>
      </c>
      <c r="U19" s="207">
        <f t="shared" si="30"/>
        <v>7.9768952007306049E-2</v>
      </c>
      <c r="V19" s="207">
        <f t="shared" si="30"/>
        <v>0.10740236094312595</v>
      </c>
      <c r="W19" s="169"/>
      <c r="Y19" s="41"/>
      <c r="Z19" s="40"/>
      <c r="AA19" s="40"/>
      <c r="AB19" s="40"/>
      <c r="AC19" s="40"/>
      <c r="AD19" s="40"/>
      <c r="AE19" s="40"/>
      <c r="AF19" s="40"/>
      <c r="AH19" s="41"/>
      <c r="AI19" s="40"/>
      <c r="AJ19" s="40"/>
      <c r="AK19" s="40"/>
      <c r="AL19" s="40"/>
      <c r="AM19" s="40"/>
      <c r="AN19" s="40"/>
      <c r="AO19" s="40"/>
      <c r="AQ19" s="41"/>
      <c r="AR19" s="40"/>
      <c r="AS19" s="40"/>
      <c r="AT19" s="40"/>
      <c r="AU19" s="40"/>
      <c r="AV19" s="40"/>
      <c r="AW19" s="40"/>
      <c r="AX19" s="40"/>
      <c r="AY19" s="169"/>
      <c r="BA19" s="41"/>
      <c r="BB19" s="40"/>
      <c r="BC19" s="40"/>
      <c r="BD19" s="40"/>
      <c r="BE19" s="40"/>
      <c r="BF19" s="40"/>
      <c r="BG19" s="40"/>
      <c r="BH19" s="40"/>
    </row>
    <row r="20" spans="3:60" x14ac:dyDescent="0.3">
      <c r="C20" s="45"/>
      <c r="D20" s="112"/>
      <c r="E20" s="45"/>
      <c r="F20" s="45"/>
      <c r="G20" s="45"/>
      <c r="H20" s="45"/>
      <c r="I20" s="45"/>
      <c r="J20" s="45"/>
      <c r="K20" s="45"/>
      <c r="L20" s="45"/>
      <c r="M20" s="172"/>
      <c r="O20" s="45"/>
      <c r="P20" s="45"/>
      <c r="Q20" s="45"/>
      <c r="R20" s="45"/>
      <c r="S20" s="45"/>
      <c r="T20" s="45"/>
      <c r="U20" s="45"/>
      <c r="V20" s="45"/>
      <c r="W20" s="172"/>
      <c r="Y20" s="45"/>
      <c r="Z20" s="45"/>
      <c r="AA20" s="45"/>
      <c r="AB20" s="45"/>
      <c r="AC20" s="45"/>
      <c r="AD20" s="45"/>
      <c r="AE20" s="45"/>
      <c r="AF20" s="45"/>
      <c r="AH20" s="45"/>
      <c r="AI20" s="45"/>
      <c r="AJ20" s="45"/>
      <c r="AK20" s="45"/>
      <c r="AL20" s="45"/>
      <c r="AM20" s="45"/>
      <c r="AN20" s="45"/>
      <c r="AO20" s="45"/>
      <c r="AQ20" s="45"/>
      <c r="AR20" s="45"/>
      <c r="AS20" s="45"/>
      <c r="AT20" s="45"/>
      <c r="AU20" s="45"/>
      <c r="AV20" s="45"/>
      <c r="AW20" s="45"/>
      <c r="AX20" s="45"/>
      <c r="AY20" s="172"/>
      <c r="BA20" s="45"/>
      <c r="BB20" s="45"/>
      <c r="BC20" s="45"/>
      <c r="BD20" s="45"/>
      <c r="BE20" s="45"/>
      <c r="BF20" s="45"/>
      <c r="BG20" s="45"/>
      <c r="BH20" s="45"/>
    </row>
    <row r="21" spans="3:60" x14ac:dyDescent="0.3">
      <c r="C21" s="36" t="s">
        <v>15</v>
      </c>
      <c r="D21" s="110">
        <v>12</v>
      </c>
      <c r="F21" s="38">
        <f>VLOOKUP($C21,Segment!$B$4:$G$71,6,0)/1000</f>
        <v>59725.768449999996</v>
      </c>
      <c r="G21" s="42">
        <f>VLOOKUP($C21,Segment!$B$77:$G$146,6,0)/1000</f>
        <v>80069.782749999998</v>
      </c>
      <c r="H21" s="42">
        <f>VLOOKUP($C21,Segment!$B$152:$G$223,6,0)/1000</f>
        <v>108182.99397</v>
      </c>
      <c r="I21" s="42">
        <f>VLOOKUP($C21,Segment!$B$229:$G$300,6,0)/1000</f>
        <v>132525.21821000002</v>
      </c>
      <c r="J21" s="42">
        <f>VLOOKUP($C21,Segment!$B$306:$G$377,6,0)/1000</f>
        <v>248447.03735999999</v>
      </c>
      <c r="K21" s="42">
        <f>VLOOKUP($C21,Segment!$B$383:$G$454,6,0)/1000</f>
        <v>327129.06857999996</v>
      </c>
      <c r="L21" s="42">
        <f>VLOOKUP($C21,Segment!$B$460:$G$531,6,0)/1000</f>
        <v>218654.67965330815</v>
      </c>
      <c r="M21" s="132">
        <f>L21/K21-1</f>
        <v>-0.33159507773967267</v>
      </c>
      <c r="P21" s="42">
        <f>VLOOKUP($C21,Segment!$B$4:$G$71,2,0)/1000</f>
        <v>59725.768449999996</v>
      </c>
      <c r="Q21" s="42">
        <f>VLOOKUP($C21,Segment!$B$77:$G$146,2,0)/1000</f>
        <v>80069.782749999998</v>
      </c>
      <c r="R21" s="42">
        <f>VLOOKUP($C21,Segment!$B$152:$G$223,2,0)/1000</f>
        <v>108182.99397</v>
      </c>
      <c r="S21" s="42">
        <f>VLOOKUP($C21,Segment!$B$229:$G$300,2,0)/1000</f>
        <v>132518.02545000002</v>
      </c>
      <c r="T21" s="42">
        <f>VLOOKUP($C21,Segment!$B$306:$G$377,2,0)/1000</f>
        <v>234183.19245999999</v>
      </c>
      <c r="U21" s="42">
        <f>VLOOKUP($C21,Segment!$B$383:$G$454,2,0)/1000</f>
        <v>310765.24540999997</v>
      </c>
      <c r="V21" s="42">
        <f>VLOOKUP($C21,Segment!$B$460:$G$531,2,0)/1000</f>
        <v>203864.51470330817</v>
      </c>
      <c r="W21" s="132">
        <f>V21/U21-1</f>
        <v>-0.3439919112114842</v>
      </c>
      <c r="Z21" s="42">
        <f>VLOOKUP($C21,Segment!$B$4:$G$71,3,0)/1000</f>
        <v>0</v>
      </c>
      <c r="AA21" s="42">
        <f>VLOOKUP($C21,Segment!$B$77:$G$146,3,0)/1000</f>
        <v>0</v>
      </c>
      <c r="AB21" s="42">
        <f>VLOOKUP($C21,Segment!$B$152:$G$223,3,0)/1000</f>
        <v>0</v>
      </c>
      <c r="AC21" s="42">
        <f>VLOOKUP($C21,Segment!$B$229:$G$300,3,0)/1000</f>
        <v>0</v>
      </c>
      <c r="AD21" s="42">
        <f>VLOOKUP($C21,Segment!$B$306:$G$377,3,0)/1000</f>
        <v>0</v>
      </c>
      <c r="AE21" s="42">
        <f>VLOOKUP($C21,Segment!$B$383:$G$454,3,0)/1000</f>
        <v>0</v>
      </c>
      <c r="AF21" s="42">
        <f>VLOOKUP($C21,Segment!$B$460:$G$531,3,0)/1000</f>
        <v>0</v>
      </c>
      <c r="AI21" s="42">
        <f>VLOOKUP($C21,Segment!$B$4:$G$71,4,0)/1000</f>
        <v>0</v>
      </c>
      <c r="AJ21" s="42">
        <f>VLOOKUP($C21,Segment!$B$77:$G$146,4,0)/1000</f>
        <v>0</v>
      </c>
      <c r="AK21" s="42">
        <f>VLOOKUP($C21,Segment!$B$152:$G$223,4,0)/1000</f>
        <v>0</v>
      </c>
      <c r="AL21" s="42">
        <f>VLOOKUP($C21,Segment!$B$229:$G$300,4,0)/1000</f>
        <v>0</v>
      </c>
      <c r="AM21" s="42">
        <f>VLOOKUP($C21,Segment!$B$306:$G$377,4,0)/1000</f>
        <v>0</v>
      </c>
      <c r="AN21" s="42">
        <f>VLOOKUP($C21,Segment!$B$383:$G$454,4,0)/1000</f>
        <v>0</v>
      </c>
      <c r="AO21" s="42">
        <f>VLOOKUP($C21,Segment!$B$460:$G$531,4,0)/1000</f>
        <v>0</v>
      </c>
      <c r="AR21" s="42">
        <f t="shared" ref="AR21:AX21" si="31">Z21+AI21</f>
        <v>0</v>
      </c>
      <c r="AS21" s="42">
        <f t="shared" si="31"/>
        <v>0</v>
      </c>
      <c r="AT21" s="42">
        <f t="shared" si="31"/>
        <v>0</v>
      </c>
      <c r="AU21" s="42">
        <f t="shared" si="31"/>
        <v>0</v>
      </c>
      <c r="AV21" s="42">
        <f t="shared" si="31"/>
        <v>0</v>
      </c>
      <c r="AW21" s="42">
        <f t="shared" si="31"/>
        <v>0</v>
      </c>
      <c r="AX21" s="42">
        <f t="shared" si="31"/>
        <v>0</v>
      </c>
      <c r="BB21" s="42">
        <f>VLOOKUP($C21,Segment!$B$4:$G$71,5,0)/1000</f>
        <v>0</v>
      </c>
      <c r="BC21" s="42">
        <f>VLOOKUP($C21,Segment!$B$77:$G$146,5,0)/1000</f>
        <v>0</v>
      </c>
      <c r="BD21" s="42">
        <f>VLOOKUP($C21,Segment!$B$152:$G$223,5,0)/1000</f>
        <v>0</v>
      </c>
      <c r="BE21" s="42">
        <f>VLOOKUP($C21,Segment!$B$229:$G$300,5,0)/1000</f>
        <v>7.1927599999999998</v>
      </c>
      <c r="BF21" s="42">
        <f>VLOOKUP($C21,Segment!$B$306:$G$377,5,0)/1000</f>
        <v>14263.844899999998</v>
      </c>
      <c r="BG21" s="42">
        <f>VLOOKUP($C21,Segment!$B$383:$G$454,5,0)/1000</f>
        <v>16363.82317</v>
      </c>
      <c r="BH21" s="42">
        <f>VLOOKUP($C21,Segment!$B$460:$G$531,5,0)/1000</f>
        <v>14790.164949999998</v>
      </c>
    </row>
    <row r="22" spans="3:60" x14ac:dyDescent="0.3">
      <c r="C22" s="39" t="s">
        <v>55</v>
      </c>
      <c r="D22" s="109"/>
      <c r="E22" s="39"/>
      <c r="F22" s="40">
        <f t="shared" ref="F22:L22" si="32">F21/F$135</f>
        <v>2.719180692016375E-2</v>
      </c>
      <c r="G22" s="40">
        <f t="shared" si="32"/>
        <v>2.8860719447455489E-2</v>
      </c>
      <c r="H22" s="40">
        <f t="shared" si="32"/>
        <v>2.7869823389685831E-2</v>
      </c>
      <c r="I22" s="40">
        <f t="shared" si="32"/>
        <v>2.1193829553587173E-2</v>
      </c>
      <c r="J22" s="40">
        <f t="shared" si="32"/>
        <v>2.2185187289028383E-2</v>
      </c>
      <c r="K22" s="40">
        <f t="shared" si="32"/>
        <v>1.9898215428591621E-2</v>
      </c>
      <c r="L22" s="40">
        <f t="shared" si="32"/>
        <v>1.908413168604893E-2</v>
      </c>
      <c r="M22" s="169"/>
      <c r="O22" s="41"/>
      <c r="P22" s="40">
        <f t="shared" ref="P22:V22" si="33">P21/P$135</f>
        <v>2.719180692016375E-2</v>
      </c>
      <c r="Q22" s="40">
        <f t="shared" si="33"/>
        <v>2.8860719447455489E-2</v>
      </c>
      <c r="R22" s="40">
        <f t="shared" si="33"/>
        <v>2.7869823389685831E-2</v>
      </c>
      <c r="S22" s="40">
        <f t="shared" si="33"/>
        <v>2.1192679265879529E-2</v>
      </c>
      <c r="T22" s="40">
        <f t="shared" si="33"/>
        <v>2.0911490995722933E-2</v>
      </c>
      <c r="U22" s="40">
        <f t="shared" si="33"/>
        <v>1.8902856379377657E-2</v>
      </c>
      <c r="V22" s="40">
        <f t="shared" si="33"/>
        <v>1.779324938702051E-2</v>
      </c>
      <c r="W22" s="169"/>
      <c r="Y22" s="41"/>
      <c r="Z22" s="40"/>
      <c r="AA22" s="40"/>
      <c r="AB22" s="40"/>
      <c r="AC22" s="40"/>
      <c r="AD22" s="40"/>
      <c r="AE22" s="40"/>
      <c r="AF22" s="40"/>
      <c r="AH22" s="41"/>
      <c r="AI22" s="40"/>
      <c r="AJ22" s="40"/>
      <c r="AK22" s="40"/>
      <c r="AL22" s="40"/>
      <c r="AM22" s="40"/>
      <c r="AN22" s="40"/>
      <c r="AO22" s="40"/>
      <c r="AQ22" s="41"/>
      <c r="AR22" s="40"/>
      <c r="AS22" s="40"/>
      <c r="AT22" s="40"/>
      <c r="AU22" s="40"/>
      <c r="AV22" s="40"/>
      <c r="AW22" s="40"/>
      <c r="AX22" s="40"/>
      <c r="AY22" s="169"/>
      <c r="BA22" s="41"/>
      <c r="BB22" s="40">
        <f t="shared" ref="BB22:BH22" si="34">BB21/BB$135</f>
        <v>0</v>
      </c>
      <c r="BC22" s="40">
        <f t="shared" si="34"/>
        <v>0</v>
      </c>
      <c r="BD22" s="40">
        <f t="shared" si="34"/>
        <v>0</v>
      </c>
      <c r="BE22" s="40">
        <f t="shared" si="34"/>
        <v>1.1502877076444366E-6</v>
      </c>
      <c r="BF22" s="40">
        <f t="shared" si="34"/>
        <v>1.2736962933054484E-3</v>
      </c>
      <c r="BG22" s="40">
        <f t="shared" si="34"/>
        <v>9.9535904921396593E-4</v>
      </c>
      <c r="BH22" s="40">
        <f t="shared" si="34"/>
        <v>1.2908822990284207E-3</v>
      </c>
    </row>
    <row r="23" spans="3:60" x14ac:dyDescent="0.3">
      <c r="C23" s="39" t="s">
        <v>99</v>
      </c>
      <c r="D23" s="109"/>
      <c r="E23" s="39"/>
      <c r="F23" s="40">
        <f t="shared" ref="F23:L23" si="35">F190/F$135</f>
        <v>1.7149634190450101E-2</v>
      </c>
      <c r="G23" s="40">
        <f t="shared" si="35"/>
        <v>1.6861879726782637E-2</v>
      </c>
      <c r="H23" s="40">
        <f t="shared" si="35"/>
        <v>1.809453052974809E-2</v>
      </c>
      <c r="I23" s="40">
        <f t="shared" si="35"/>
        <v>1.7203750876455072E-2</v>
      </c>
      <c r="J23" s="40">
        <f t="shared" si="35"/>
        <v>1.623253008140027E-2</v>
      </c>
      <c r="K23" s="40">
        <f t="shared" si="35"/>
        <v>1.50746499462064E-2</v>
      </c>
      <c r="L23" s="40">
        <f t="shared" si="35"/>
        <v>1.7119987583833519E-2</v>
      </c>
      <c r="M23" s="169"/>
      <c r="O23" s="41"/>
      <c r="P23" s="40">
        <f t="shared" ref="P23:V23" si="36">P190/P$135</f>
        <v>1.7149634190450101E-2</v>
      </c>
      <c r="Q23" s="40">
        <f t="shared" si="36"/>
        <v>1.6861879726782637E-2</v>
      </c>
      <c r="R23" s="40">
        <f t="shared" si="36"/>
        <v>1.809453052974809E-2</v>
      </c>
      <c r="S23" s="40">
        <f t="shared" si="36"/>
        <v>1.7202600588747428E-2</v>
      </c>
      <c r="T23" s="40">
        <f t="shared" si="36"/>
        <v>1.4958833788094822E-2</v>
      </c>
      <c r="U23" s="40">
        <f t="shared" si="36"/>
        <v>1.4079290896992435E-2</v>
      </c>
      <c r="V23" s="40">
        <f t="shared" si="36"/>
        <v>1.5829105284805099E-2</v>
      </c>
      <c r="W23" s="169"/>
      <c r="Y23" s="41"/>
      <c r="Z23" s="40"/>
      <c r="AA23" s="40"/>
      <c r="AB23" s="40"/>
      <c r="AC23" s="40"/>
      <c r="AD23" s="40"/>
      <c r="AE23" s="40"/>
      <c r="AF23" s="40"/>
      <c r="AH23" s="41"/>
      <c r="AI23" s="40"/>
      <c r="AJ23" s="40"/>
      <c r="AK23" s="40"/>
      <c r="AL23" s="40"/>
      <c r="AM23" s="40"/>
      <c r="AN23" s="40"/>
      <c r="AO23" s="40"/>
      <c r="AQ23" s="41"/>
      <c r="AR23" s="40"/>
      <c r="AS23" s="40"/>
      <c r="AT23" s="40"/>
      <c r="AU23" s="40"/>
      <c r="AV23" s="40"/>
      <c r="AW23" s="40"/>
      <c r="AX23" s="40"/>
      <c r="AY23" s="169"/>
      <c r="BA23" s="41"/>
      <c r="BB23" s="40"/>
      <c r="BC23" s="40"/>
      <c r="BD23" s="40"/>
      <c r="BE23" s="40"/>
      <c r="BF23" s="40"/>
      <c r="BG23" s="40"/>
      <c r="BH23" s="40"/>
    </row>
    <row r="24" spans="3:60" x14ac:dyDescent="0.3">
      <c r="C24" s="36" t="s">
        <v>16</v>
      </c>
      <c r="D24" s="110">
        <v>13</v>
      </c>
      <c r="F24" s="38">
        <f>VLOOKUP($C24,Segment!$B$4:$G$71,6,0)/1000</f>
        <v>-37584.866149999994</v>
      </c>
      <c r="G24" s="42">
        <f>VLOOKUP($C24,Segment!$B$77:$G$146,6,0)/1000</f>
        <v>-32776.743999999999</v>
      </c>
      <c r="H24" s="42">
        <f>VLOOKUP($C24,Segment!$B$152:$G$223,6,0)/1000</f>
        <v>-46137.948710000004</v>
      </c>
      <c r="I24" s="42">
        <f>VLOOKUP($C24,Segment!$B$229:$G$300,6,0)/1000</f>
        <v>-56649.270799999998</v>
      </c>
      <c r="J24" s="42">
        <f>VLOOKUP($C24,Segment!$B$306:$G$377,6,0)/1000</f>
        <v>-83437.473309999987</v>
      </c>
      <c r="K24" s="42">
        <f>VLOOKUP($C24,Segment!$B$383:$G$454,6,0)/1000</f>
        <v>-163538.94128</v>
      </c>
      <c r="L24" s="42">
        <f>VLOOKUP($C24,Segment!$B$460:$G$531,6,0)/1000</f>
        <v>-110908.27507647724</v>
      </c>
      <c r="M24" s="132">
        <f>L24/K24-1</f>
        <v>-0.32182344945851271</v>
      </c>
      <c r="P24" s="42">
        <f>VLOOKUP($C24,Segment!$B$4:$G$71,2,0)/1000</f>
        <v>-37584.866149999994</v>
      </c>
      <c r="Q24" s="42">
        <f>VLOOKUP($C24,Segment!$B$77:$G$146,2,0)/1000</f>
        <v>-32776.743999999999</v>
      </c>
      <c r="R24" s="42">
        <f>VLOOKUP($C24,Segment!$B$152:$G$223,2,0)/1000</f>
        <v>-46137.948710000004</v>
      </c>
      <c r="S24" s="42">
        <f>VLOOKUP($C24,Segment!$B$229:$G$300,2,0)/1000</f>
        <v>-56649.270799999998</v>
      </c>
      <c r="T24" s="42">
        <f>VLOOKUP($C24,Segment!$B$306:$G$377,2,0)/1000</f>
        <v>-83437.473309999987</v>
      </c>
      <c r="U24" s="42">
        <f>VLOOKUP($C24,Segment!$B$383:$G$454,2,0)/1000</f>
        <v>-163538.94128</v>
      </c>
      <c r="V24" s="42">
        <f>VLOOKUP($C24,Segment!$B$460:$G$531,2,0)/1000</f>
        <v>-110908.27507647724</v>
      </c>
      <c r="W24" s="132">
        <f>V24/U24-1</f>
        <v>-0.32182344945851271</v>
      </c>
      <c r="Z24" s="42">
        <f>VLOOKUP($C24,Segment!$B$4:$G$71,3,0)/1000</f>
        <v>0</v>
      </c>
      <c r="AA24" s="42">
        <f>VLOOKUP($C24,Segment!$B$77:$G$146,3,0)/1000</f>
        <v>0</v>
      </c>
      <c r="AB24" s="42">
        <f>VLOOKUP($C24,Segment!$B$152:$G$223,3,0)/1000</f>
        <v>0</v>
      </c>
      <c r="AC24" s="42">
        <f>VLOOKUP($C24,Segment!$B$229:$G$300,3,0)/1000</f>
        <v>0</v>
      </c>
      <c r="AD24" s="42">
        <f>VLOOKUP($C24,Segment!$B$306:$G$377,3,0)/1000</f>
        <v>0</v>
      </c>
      <c r="AE24" s="42">
        <f>VLOOKUP($C24,Segment!$B$383:$G$454,3,0)/1000</f>
        <v>0</v>
      </c>
      <c r="AF24" s="42">
        <f>VLOOKUP($C24,Segment!$B$460:$G$531,3,0)/1000</f>
        <v>0</v>
      </c>
      <c r="AI24" s="42">
        <f>VLOOKUP($C24,Segment!$B$4:$G$71,4,0)/1000</f>
        <v>0</v>
      </c>
      <c r="AJ24" s="42">
        <f>VLOOKUP($C24,Segment!$B$77:$G$146,4,0)/1000</f>
        <v>0</v>
      </c>
      <c r="AK24" s="42">
        <f>VLOOKUP($C24,Segment!$B$152:$G$223,4,0)/1000</f>
        <v>0</v>
      </c>
      <c r="AL24" s="42">
        <f>VLOOKUP($C24,Segment!$B$229:$G$300,4,0)/1000</f>
        <v>0</v>
      </c>
      <c r="AM24" s="42">
        <f>VLOOKUP($C24,Segment!$B$306:$G$377,4,0)/1000</f>
        <v>0</v>
      </c>
      <c r="AN24" s="42">
        <f>VLOOKUP($C24,Segment!$B$383:$G$454,4,0)/1000</f>
        <v>0</v>
      </c>
      <c r="AO24" s="42">
        <f>VLOOKUP($C24,Segment!$B$460:$G$531,4,0)/1000</f>
        <v>0</v>
      </c>
      <c r="AR24" s="42">
        <f t="shared" ref="AR24:AX24" si="37">Z24+AI24</f>
        <v>0</v>
      </c>
      <c r="AS24" s="42">
        <f t="shared" si="37"/>
        <v>0</v>
      </c>
      <c r="AT24" s="42">
        <f t="shared" si="37"/>
        <v>0</v>
      </c>
      <c r="AU24" s="42">
        <f t="shared" si="37"/>
        <v>0</v>
      </c>
      <c r="AV24" s="42">
        <f t="shared" si="37"/>
        <v>0</v>
      </c>
      <c r="AW24" s="42">
        <f t="shared" si="37"/>
        <v>0</v>
      </c>
      <c r="AX24" s="42">
        <f t="shared" si="37"/>
        <v>0</v>
      </c>
      <c r="BB24" s="42">
        <f>VLOOKUP($C24,Segment!$B$4:$G$71,5,0)/1000</f>
        <v>0</v>
      </c>
      <c r="BC24" s="42">
        <f>VLOOKUP($C24,Segment!$B$77:$G$146,5,0)/1000</f>
        <v>0</v>
      </c>
      <c r="BD24" s="42">
        <f>VLOOKUP($C24,Segment!$B$152:$G$223,5,0)/1000</f>
        <v>0</v>
      </c>
      <c r="BE24" s="42">
        <f>VLOOKUP($C24,Segment!$B$229:$G$300,5,0)/1000</f>
        <v>0</v>
      </c>
      <c r="BF24" s="42">
        <f>VLOOKUP($C24,Segment!$B$306:$G$377,5,0)/1000</f>
        <v>0</v>
      </c>
      <c r="BG24" s="42">
        <f>VLOOKUP($C24,Segment!$B$383:$G$454,5,0)/1000</f>
        <v>0</v>
      </c>
      <c r="BH24" s="42">
        <f>VLOOKUP($C24,Segment!$B$460:$G$531,5,0)/1000</f>
        <v>0</v>
      </c>
    </row>
    <row r="25" spans="3:60" x14ac:dyDescent="0.3">
      <c r="C25" s="39" t="s">
        <v>126</v>
      </c>
      <c r="D25" s="109"/>
      <c r="E25" s="39"/>
      <c r="F25" s="40">
        <f t="shared" ref="F25:L25" si="38">-F24/F$135</f>
        <v>1.7111549168707232E-2</v>
      </c>
      <c r="G25" s="40">
        <f t="shared" si="38"/>
        <v>1.1814199820406907E-2</v>
      </c>
      <c r="H25" s="40">
        <f t="shared" si="38"/>
        <v>1.188593913814829E-2</v>
      </c>
      <c r="I25" s="40">
        <f t="shared" si="38"/>
        <v>9.0595209416497874E-3</v>
      </c>
      <c r="J25" s="40">
        <f t="shared" si="38"/>
        <v>7.4505858148891744E-3</v>
      </c>
      <c r="K25" s="40">
        <f t="shared" si="38"/>
        <v>9.9475509733169178E-3</v>
      </c>
      <c r="L25" s="40">
        <f t="shared" si="38"/>
        <v>9.6800495191231416E-3</v>
      </c>
      <c r="M25" s="169"/>
      <c r="O25" s="41"/>
      <c r="P25" s="40">
        <f t="shared" ref="P25:V25" si="39">-P24/P$135</f>
        <v>1.7111549168707232E-2</v>
      </c>
      <c r="Q25" s="40">
        <f t="shared" si="39"/>
        <v>1.1814199820406907E-2</v>
      </c>
      <c r="R25" s="40">
        <f t="shared" si="39"/>
        <v>1.188593913814829E-2</v>
      </c>
      <c r="S25" s="40">
        <f t="shared" si="39"/>
        <v>9.0595209416497874E-3</v>
      </c>
      <c r="T25" s="40">
        <f t="shared" si="39"/>
        <v>7.4505858148891744E-3</v>
      </c>
      <c r="U25" s="40">
        <f t="shared" si="39"/>
        <v>9.9475509733169178E-3</v>
      </c>
      <c r="V25" s="40">
        <f t="shared" si="39"/>
        <v>9.6800495191231416E-3</v>
      </c>
      <c r="W25" s="169"/>
      <c r="Y25" s="41"/>
      <c r="Z25" s="40"/>
      <c r="AA25" s="40"/>
      <c r="AB25" s="40"/>
      <c r="AC25" s="40"/>
      <c r="AD25" s="40"/>
      <c r="AE25" s="40"/>
      <c r="AF25" s="40"/>
      <c r="AH25" s="41"/>
      <c r="AI25" s="40"/>
      <c r="AJ25" s="40"/>
      <c r="AK25" s="40"/>
      <c r="AL25" s="40"/>
      <c r="AM25" s="40"/>
      <c r="AN25" s="40"/>
      <c r="AO25" s="40"/>
      <c r="AQ25" s="41"/>
      <c r="AR25" s="40"/>
      <c r="AS25" s="40"/>
      <c r="AT25" s="40"/>
      <c r="AU25" s="40"/>
      <c r="AV25" s="40"/>
      <c r="AW25" s="40"/>
      <c r="AX25" s="40"/>
      <c r="AY25" s="169"/>
      <c r="BA25" s="41"/>
      <c r="BB25" s="40">
        <f t="shared" ref="BB25:BH25" si="40">-BB24/BB$135</f>
        <v>0</v>
      </c>
      <c r="BC25" s="40">
        <f t="shared" si="40"/>
        <v>0</v>
      </c>
      <c r="BD25" s="40">
        <f t="shared" si="40"/>
        <v>0</v>
      </c>
      <c r="BE25" s="40">
        <f t="shared" si="40"/>
        <v>0</v>
      </c>
      <c r="BF25" s="40">
        <f t="shared" si="40"/>
        <v>0</v>
      </c>
      <c r="BG25" s="40">
        <f t="shared" si="40"/>
        <v>0</v>
      </c>
      <c r="BH25" s="40">
        <f t="shared" si="40"/>
        <v>0</v>
      </c>
    </row>
    <row r="26" spans="3:60" x14ac:dyDescent="0.3">
      <c r="C26" s="39" t="s">
        <v>127</v>
      </c>
      <c r="D26" s="109"/>
      <c r="E26" s="39"/>
      <c r="F26" s="40">
        <f t="shared" ref="F26:L26" si="41">-F194/F$135</f>
        <v>9.4745854483868994E-3</v>
      </c>
      <c r="G26" s="40">
        <f t="shared" si="41"/>
        <v>5.959138015528124E-3</v>
      </c>
      <c r="H26" s="40">
        <f t="shared" si="41"/>
        <v>7.5541022837576416E-3</v>
      </c>
      <c r="I26" s="40">
        <f t="shared" si="41"/>
        <v>7.0933401869524544E-3</v>
      </c>
      <c r="J26" s="40">
        <f t="shared" si="41"/>
        <v>6.3333212811281696E-3</v>
      </c>
      <c r="K26" s="40">
        <f t="shared" si="41"/>
        <v>8.3354886253104322E-3</v>
      </c>
      <c r="L26" s="40">
        <f t="shared" si="41"/>
        <v>8.6791790335572581E-3</v>
      </c>
      <c r="M26" s="169"/>
      <c r="O26" s="41"/>
      <c r="P26" s="40">
        <f t="shared" ref="P26:V26" si="42">-P194/P$135</f>
        <v>9.4745854483868994E-3</v>
      </c>
      <c r="Q26" s="40">
        <f t="shared" si="42"/>
        <v>5.959138015528124E-3</v>
      </c>
      <c r="R26" s="40">
        <f t="shared" si="42"/>
        <v>7.5541022837576416E-3</v>
      </c>
      <c r="S26" s="40">
        <f t="shared" si="42"/>
        <v>7.0933401869524544E-3</v>
      </c>
      <c r="T26" s="40">
        <f t="shared" si="42"/>
        <v>6.3333212811281696E-3</v>
      </c>
      <c r="U26" s="40">
        <f t="shared" si="42"/>
        <v>8.3354886253104322E-3</v>
      </c>
      <c r="V26" s="40">
        <f t="shared" si="42"/>
        <v>8.6791790335572581E-3</v>
      </c>
      <c r="W26" s="169"/>
      <c r="Y26" s="41"/>
      <c r="Z26" s="40"/>
      <c r="AA26" s="40"/>
      <c r="AB26" s="40"/>
      <c r="AC26" s="40"/>
      <c r="AD26" s="40"/>
      <c r="AE26" s="40"/>
      <c r="AF26" s="40"/>
      <c r="AH26" s="41"/>
      <c r="AI26" s="40"/>
      <c r="AJ26" s="40"/>
      <c r="AK26" s="40"/>
      <c r="AL26" s="40"/>
      <c r="AM26" s="40"/>
      <c r="AN26" s="40"/>
      <c r="AO26" s="40"/>
      <c r="AQ26" s="41"/>
      <c r="AR26" s="40"/>
      <c r="AS26" s="40"/>
      <c r="AT26" s="40"/>
      <c r="AU26" s="40"/>
      <c r="AV26" s="40"/>
      <c r="AW26" s="40"/>
      <c r="AX26" s="40"/>
      <c r="AY26" s="169"/>
      <c r="BA26" s="41"/>
      <c r="BB26" s="40"/>
      <c r="BC26" s="40"/>
      <c r="BD26" s="40"/>
      <c r="BE26" s="40"/>
      <c r="BF26" s="40"/>
      <c r="BG26" s="40"/>
      <c r="BH26" s="40"/>
    </row>
    <row r="27" spans="3:60" x14ac:dyDescent="0.3">
      <c r="C27" s="43" t="s">
        <v>17</v>
      </c>
      <c r="D27" s="111"/>
      <c r="E27" s="43"/>
      <c r="F27" s="44">
        <f t="shared" ref="F27:K27" si="43">F21+F24</f>
        <v>22140.902300000002</v>
      </c>
      <c r="G27" s="44">
        <f t="shared" si="43"/>
        <v>47293.03875</v>
      </c>
      <c r="H27" s="44">
        <f t="shared" si="43"/>
        <v>62045.045259999992</v>
      </c>
      <c r="I27" s="44">
        <f t="shared" si="43"/>
        <v>75875.947410000023</v>
      </c>
      <c r="J27" s="44">
        <f t="shared" si="43"/>
        <v>165009.56404999999</v>
      </c>
      <c r="K27" s="44">
        <f t="shared" si="43"/>
        <v>163590.12729999996</v>
      </c>
      <c r="L27" s="44">
        <f>L21+L24</f>
        <v>107746.40457683092</v>
      </c>
      <c r="M27" s="170">
        <f>L27/K27-1</f>
        <v>-0.3413636485578373</v>
      </c>
      <c r="O27" s="43"/>
      <c r="P27" s="44">
        <f t="shared" ref="P27:U27" si="44">P21+P24</f>
        <v>22140.902300000002</v>
      </c>
      <c r="Q27" s="44">
        <f t="shared" si="44"/>
        <v>47293.03875</v>
      </c>
      <c r="R27" s="44">
        <f t="shared" si="44"/>
        <v>62045.045259999992</v>
      </c>
      <c r="S27" s="44">
        <f t="shared" si="44"/>
        <v>75868.754650000017</v>
      </c>
      <c r="T27" s="44">
        <f t="shared" si="44"/>
        <v>150745.71915000002</v>
      </c>
      <c r="U27" s="44">
        <f t="shared" si="44"/>
        <v>147226.30412999997</v>
      </c>
      <c r="V27" s="44">
        <f>V21+V24</f>
        <v>92956.239626830939</v>
      </c>
      <c r="W27" s="170">
        <f>V27/U27-1</f>
        <v>-0.36861663290310465</v>
      </c>
      <c r="Y27" s="44"/>
      <c r="Z27" s="44">
        <f t="shared" ref="Z27:AE27" si="45">Z21+Z24</f>
        <v>0</v>
      </c>
      <c r="AA27" s="44">
        <f t="shared" si="45"/>
        <v>0</v>
      </c>
      <c r="AB27" s="44">
        <f t="shared" si="45"/>
        <v>0</v>
      </c>
      <c r="AC27" s="44">
        <f t="shared" si="45"/>
        <v>0</v>
      </c>
      <c r="AD27" s="44">
        <f t="shared" si="45"/>
        <v>0</v>
      </c>
      <c r="AE27" s="44">
        <f t="shared" si="45"/>
        <v>0</v>
      </c>
      <c r="AF27" s="44">
        <f>AF21+AF24</f>
        <v>0</v>
      </c>
      <c r="AG27" s="44"/>
      <c r="AH27" s="44"/>
      <c r="AI27" s="44">
        <f t="shared" ref="AI27:AN27" si="46">AI21+AI24</f>
        <v>0</v>
      </c>
      <c r="AJ27" s="44">
        <f t="shared" si="46"/>
        <v>0</v>
      </c>
      <c r="AK27" s="44">
        <f t="shared" si="46"/>
        <v>0</v>
      </c>
      <c r="AL27" s="44">
        <f t="shared" si="46"/>
        <v>0</v>
      </c>
      <c r="AM27" s="44">
        <f t="shared" si="46"/>
        <v>0</v>
      </c>
      <c r="AN27" s="44">
        <f t="shared" si="46"/>
        <v>0</v>
      </c>
      <c r="AO27" s="44">
        <f>AO21+AO24</f>
        <v>0</v>
      </c>
      <c r="AP27" s="44"/>
      <c r="AQ27" s="44"/>
      <c r="AR27" s="44">
        <f t="shared" ref="AR27:AW27" si="47">AR21+AR24</f>
        <v>0</v>
      </c>
      <c r="AS27" s="44">
        <f t="shared" si="47"/>
        <v>0</v>
      </c>
      <c r="AT27" s="44">
        <f t="shared" si="47"/>
        <v>0</v>
      </c>
      <c r="AU27" s="44">
        <f t="shared" si="47"/>
        <v>0</v>
      </c>
      <c r="AV27" s="44">
        <f t="shared" si="47"/>
        <v>0</v>
      </c>
      <c r="AW27" s="44">
        <f t="shared" si="47"/>
        <v>0</v>
      </c>
      <c r="AX27" s="44">
        <f>AX21+AX24</f>
        <v>0</v>
      </c>
      <c r="AY27" s="170"/>
      <c r="AZ27" s="49"/>
      <c r="BA27" s="44"/>
      <c r="BB27" s="44">
        <f t="shared" ref="BB27:BG27" si="48">BB21+BB24</f>
        <v>0</v>
      </c>
      <c r="BC27" s="44">
        <f t="shared" si="48"/>
        <v>0</v>
      </c>
      <c r="BD27" s="44">
        <f t="shared" si="48"/>
        <v>0</v>
      </c>
      <c r="BE27" s="44">
        <f t="shared" si="48"/>
        <v>7.1927599999999998</v>
      </c>
      <c r="BF27" s="44">
        <f t="shared" si="48"/>
        <v>14263.844899999998</v>
      </c>
      <c r="BG27" s="44">
        <f t="shared" si="48"/>
        <v>16363.82317</v>
      </c>
      <c r="BH27" s="44">
        <f>BH21+BH24</f>
        <v>14790.164949999998</v>
      </c>
    </row>
    <row r="28" spans="3:60" x14ac:dyDescent="0.3">
      <c r="C28" s="39" t="s">
        <v>91</v>
      </c>
      <c r="D28" s="109"/>
      <c r="E28" s="39"/>
      <c r="F28" s="40">
        <f t="shared" ref="F28:L28" si="49">F27/F$135</f>
        <v>1.0080257751456517E-2</v>
      </c>
      <c r="G28" s="40">
        <f t="shared" si="49"/>
        <v>1.7046519627048583E-2</v>
      </c>
      <c r="H28" s="40">
        <f t="shared" si="49"/>
        <v>1.5983884251537541E-2</v>
      </c>
      <c r="I28" s="40">
        <f t="shared" si="49"/>
        <v>1.2134308611937388E-2</v>
      </c>
      <c r="J28" s="40">
        <f t="shared" si="49"/>
        <v>1.4734601474139207E-2</v>
      </c>
      <c r="K28" s="40">
        <f t="shared" si="49"/>
        <v>9.9506644552747048E-3</v>
      </c>
      <c r="L28" s="40">
        <f t="shared" si="49"/>
        <v>9.4040821669257885E-3</v>
      </c>
      <c r="M28" s="169"/>
      <c r="O28" s="41"/>
      <c r="P28" s="40">
        <f t="shared" ref="P28:V28" si="50">P27/P$135</f>
        <v>1.0080257751456517E-2</v>
      </c>
      <c r="Q28" s="40">
        <f t="shared" si="50"/>
        <v>1.7046519627048583E-2</v>
      </c>
      <c r="R28" s="40">
        <f t="shared" si="50"/>
        <v>1.5983884251537541E-2</v>
      </c>
      <c r="S28" s="40">
        <f t="shared" si="50"/>
        <v>1.2133158324229742E-2</v>
      </c>
      <c r="T28" s="40">
        <f t="shared" si="50"/>
        <v>1.346090518083376E-2</v>
      </c>
      <c r="U28" s="40">
        <f t="shared" si="50"/>
        <v>8.9553054060607391E-3</v>
      </c>
      <c r="V28" s="40">
        <f t="shared" si="50"/>
        <v>8.11319986789737E-3</v>
      </c>
      <c r="W28" s="169"/>
      <c r="Y28" s="41"/>
      <c r="Z28" s="40"/>
      <c r="AA28" s="40"/>
      <c r="AB28" s="40"/>
      <c r="AC28" s="40"/>
      <c r="AD28" s="40"/>
      <c r="AE28" s="40"/>
      <c r="AF28" s="40"/>
      <c r="AH28" s="41"/>
      <c r="AI28" s="40"/>
      <c r="AJ28" s="40"/>
      <c r="AK28" s="40"/>
      <c r="AL28" s="40"/>
      <c r="AM28" s="40"/>
      <c r="AN28" s="40"/>
      <c r="AO28" s="40"/>
      <c r="AQ28" s="41"/>
      <c r="AR28" s="40"/>
      <c r="AS28" s="40"/>
      <c r="AT28" s="40"/>
      <c r="AU28" s="40"/>
      <c r="AV28" s="40"/>
      <c r="AW28" s="40"/>
      <c r="AX28" s="40"/>
      <c r="AY28" s="169"/>
      <c r="BA28" s="41"/>
      <c r="BB28" s="40">
        <f t="shared" ref="BB28:BH28" si="51">BB27/BB$135</f>
        <v>0</v>
      </c>
      <c r="BC28" s="40">
        <f t="shared" si="51"/>
        <v>0</v>
      </c>
      <c r="BD28" s="40">
        <f t="shared" si="51"/>
        <v>0</v>
      </c>
      <c r="BE28" s="40">
        <f t="shared" si="51"/>
        <v>1.1502877076444366E-6</v>
      </c>
      <c r="BF28" s="40">
        <f t="shared" si="51"/>
        <v>1.2736962933054484E-3</v>
      </c>
      <c r="BG28" s="40">
        <f t="shared" si="51"/>
        <v>9.9535904921396593E-4</v>
      </c>
      <c r="BH28" s="40">
        <f t="shared" si="51"/>
        <v>1.2908822990284207E-3</v>
      </c>
    </row>
    <row r="29" spans="3:60" x14ac:dyDescent="0.3">
      <c r="F29" s="104"/>
      <c r="G29" s="104"/>
      <c r="H29" s="104"/>
      <c r="I29" s="104"/>
      <c r="J29" s="104"/>
      <c r="K29" s="104"/>
      <c r="L29" s="104"/>
    </row>
    <row r="30" spans="3:60" x14ac:dyDescent="0.3">
      <c r="C30" s="46" t="s">
        <v>20</v>
      </c>
      <c r="D30" s="113"/>
      <c r="E30" s="46"/>
      <c r="F30" s="47">
        <f>VLOOKUP($C30,Segment!$B$4:$G$71,6,0)/1000</f>
        <v>51526.217909040002</v>
      </c>
      <c r="G30" s="47">
        <f>VLOOKUP($C30,Segment!$B$77:$G$146,6,0)/1000</f>
        <v>53683.307986999993</v>
      </c>
      <c r="H30" s="47">
        <f>VLOOKUP($C30,Segment!$B$152:$G$223,6,0)/1000</f>
        <v>29041.02526070004</v>
      </c>
      <c r="I30" s="47">
        <f>VLOOKUP($C30,Segment!$B$229:$G$300,6,0)/1000</f>
        <v>22221.534382499984</v>
      </c>
      <c r="J30" s="47">
        <f>VLOOKUP($C30,Segment!$B$306:$G$377,6,0)/1000</f>
        <v>2372.6736052154097</v>
      </c>
      <c r="K30" s="47">
        <f>VLOOKUP($C30,Segment!$B$383:$G$454,6,0)/1000</f>
        <v>3561.4276548356788</v>
      </c>
      <c r="L30" s="47">
        <f>VLOOKUP($C30,Segment!$B$460:$G$531,6,0)/1000</f>
        <v>-39603.531091287499</v>
      </c>
      <c r="M30" s="173">
        <f>L30/K30-1</f>
        <v>-12.120127917666426</v>
      </c>
      <c r="O30" s="46"/>
      <c r="P30" s="47">
        <f>VLOOKUP($C30,Segment!$B$4:$G$71,2,0)/1000</f>
        <v>51526.217909040002</v>
      </c>
      <c r="Q30" s="47">
        <f>VLOOKUP($C30,Segment!$B$77:$G$146,2,0)/1000</f>
        <v>53683.307986999993</v>
      </c>
      <c r="R30" s="47">
        <f>VLOOKUP($C30,Segment!$B$152:$G$223,2,0)/1000</f>
        <v>29041.02526070004</v>
      </c>
      <c r="S30" s="47">
        <f>VLOOKUP($C30,Segment!$B$229:$G$300,2,0)/1000</f>
        <v>22221.534382499984</v>
      </c>
      <c r="T30" s="47">
        <f>VLOOKUP($C30,Segment!$B$306:$G$377,2,0)/1000</f>
        <v>10385.698217857383</v>
      </c>
      <c r="U30" s="47">
        <f>VLOOKUP($C30,Segment!$B$383:$G$454,2,0)/1000</f>
        <v>20376.877520894421</v>
      </c>
      <c r="V30" s="47">
        <f>VLOOKUP($C30,Segment!$B$460:$G$531,2,0)/1000</f>
        <v>-14226.626895275222</v>
      </c>
      <c r="W30" s="173">
        <f>V30/U30-1</f>
        <v>-1.6981750212066231</v>
      </c>
      <c r="Y30" s="46"/>
      <c r="Z30" s="47">
        <f>VLOOKUP($C30,Segment!$B$4:$G$71,3,0)/1000</f>
        <v>0</v>
      </c>
      <c r="AA30" s="47">
        <f>VLOOKUP($C30,Segment!$B$77:$G$146,3,0)/1000</f>
        <v>0</v>
      </c>
      <c r="AB30" s="47">
        <f>VLOOKUP($C30,Segment!$B$152:$G$223,3,0)/1000</f>
        <v>0</v>
      </c>
      <c r="AC30" s="47">
        <f>VLOOKUP($C30,Segment!$B$229:$G$300,3,0)/1000</f>
        <v>0</v>
      </c>
      <c r="AD30" s="47">
        <f>VLOOKUP($C30,Segment!$B$306:$G$377,3,0)/1000</f>
        <v>0</v>
      </c>
      <c r="AE30" s="47">
        <f>VLOOKUP($C30,Segment!$B$383:$G$454,3,0)/1000</f>
        <v>0</v>
      </c>
      <c r="AF30" s="47">
        <f>VLOOKUP($C30,Segment!$B$460:$G$531,3,0)/1000</f>
        <v>0</v>
      </c>
      <c r="AH30" s="46"/>
      <c r="AI30" s="47">
        <f>VLOOKUP($C30,Segment!$B$4:$G$71,4,0)/1000</f>
        <v>0</v>
      </c>
      <c r="AJ30" s="47">
        <f>VLOOKUP($C30,Segment!$B$77:$G$146,4,0)/1000</f>
        <v>0</v>
      </c>
      <c r="AK30" s="47">
        <f>VLOOKUP($C30,Segment!$B$152:$G$223,4,0)/1000</f>
        <v>0</v>
      </c>
      <c r="AL30" s="47">
        <f>VLOOKUP($C30,Segment!$B$229:$G$300,4,0)/1000</f>
        <v>0</v>
      </c>
      <c r="AM30" s="47">
        <f>VLOOKUP($C30,Segment!$B$306:$G$377,4,0)/1000</f>
        <v>0</v>
      </c>
      <c r="AN30" s="47">
        <f>VLOOKUP($C30,Segment!$B$383:$G$454,4,0)/1000</f>
        <v>0</v>
      </c>
      <c r="AO30" s="47">
        <f>VLOOKUP($C30,Segment!$B$460:$G$531,4,0)/1000</f>
        <v>0</v>
      </c>
      <c r="AQ30" s="46"/>
      <c r="AR30" s="47">
        <f t="shared" ref="AR30:AX30" si="52">Z30+AI30</f>
        <v>0</v>
      </c>
      <c r="AS30" s="47">
        <f t="shared" si="52"/>
        <v>0</v>
      </c>
      <c r="AT30" s="47">
        <f t="shared" si="52"/>
        <v>0</v>
      </c>
      <c r="AU30" s="47">
        <f t="shared" si="52"/>
        <v>0</v>
      </c>
      <c r="AV30" s="47">
        <f t="shared" si="52"/>
        <v>0</v>
      </c>
      <c r="AW30" s="47">
        <f t="shared" si="52"/>
        <v>0</v>
      </c>
      <c r="AX30" s="47">
        <f t="shared" si="52"/>
        <v>0</v>
      </c>
      <c r="AY30" s="173"/>
      <c r="BA30" s="46"/>
      <c r="BB30" s="47">
        <f>VLOOKUP($C30,Segment!$B$4:$G$71,5,0)/1000</f>
        <v>0</v>
      </c>
      <c r="BC30" s="47">
        <f>VLOOKUP($C30,Segment!$B$77:$G$146,5,0)/1000</f>
        <v>0</v>
      </c>
      <c r="BD30" s="47">
        <f>VLOOKUP($C30,Segment!$B$152:$G$223,5,0)/1000</f>
        <v>0</v>
      </c>
      <c r="BE30" s="47">
        <f>VLOOKUP($C30,Segment!$B$229:$G$300,5,0)/1000</f>
        <v>0</v>
      </c>
      <c r="BF30" s="47">
        <f>VLOOKUP($C30,Segment!$B$306:$G$377,5,0)/1000</f>
        <v>-8013.0246126419734</v>
      </c>
      <c r="BG30" s="47">
        <f>VLOOKUP($C30,Segment!$B$383:$G$454,5,0)/1000</f>
        <v>-16815.449866058741</v>
      </c>
      <c r="BH30" s="47">
        <f>VLOOKUP($C30,Segment!$B$460:$G$531,5,0)/1000</f>
        <v>-25376.904196012278</v>
      </c>
    </row>
    <row r="32" spans="3:60" x14ac:dyDescent="0.3">
      <c r="C32" s="36" t="s">
        <v>0</v>
      </c>
      <c r="F32" s="42">
        <f>VLOOKUP($C32,Segment!$B$4:$G$71,6,0)/1000</f>
        <v>2369588.1238599997</v>
      </c>
      <c r="G32" s="42">
        <f>VLOOKUP($C32,Segment!$B$77:$G$146,6,0)/1000</f>
        <v>2867065.7749999999</v>
      </c>
      <c r="H32" s="42">
        <f>VLOOKUP($C32,Segment!$B$152:$G$223,6,0)/1000</f>
        <v>2102289.9799100002</v>
      </c>
      <c r="I32" s="42">
        <f>VLOOKUP($C32,Segment!$B$229:$G$300,6,0)/1000</f>
        <v>117435.58031000002</v>
      </c>
      <c r="J32" s="42">
        <f>VLOOKUP($C32,Segment!$B$306:$G$377,6,0)/1000</f>
        <v>105959.04891999999</v>
      </c>
      <c r="K32" s="42">
        <f>VLOOKUP($C32,Segment!$B$383:$G$454,6,0)/1000</f>
        <v>0</v>
      </c>
      <c r="L32" s="42">
        <f>VLOOKUP($C32,Segment!$B$460:$G$531,6,0)/1000</f>
        <v>5.0000000000000002E-5</v>
      </c>
      <c r="M32" s="132" t="e">
        <f>L32/K32-1</f>
        <v>#DIV/0!</v>
      </c>
      <c r="P32" s="42">
        <f>VLOOKUP($C32,Segment!$B$4:$G$71,2,0)/1000</f>
        <v>2369588.1238599997</v>
      </c>
      <c r="Q32" s="42">
        <f>VLOOKUP($C32,Segment!$B$77:$G$146,2,0)/1000</f>
        <v>2867065.7749999999</v>
      </c>
      <c r="R32" s="42">
        <f>VLOOKUP($C32,Segment!$B$152:$G$223,2,0)/1000</f>
        <v>2102289.9799100002</v>
      </c>
      <c r="S32" s="42">
        <f>VLOOKUP($C32,Segment!$B$229:$G$300,2,0)/1000</f>
        <v>117435.58031000002</v>
      </c>
      <c r="T32" s="42">
        <f>VLOOKUP($C32,Segment!$B$306:$G$377,2,0)/1000</f>
        <v>105959.04891999999</v>
      </c>
      <c r="U32" s="42">
        <f>VLOOKUP($C32,Segment!$B$383:$G$454,2,0)/1000</f>
        <v>0</v>
      </c>
      <c r="V32" s="42">
        <f>VLOOKUP($C32,Segment!$B$460:$G$531,2,0)/1000</f>
        <v>5.0000000000000002E-5</v>
      </c>
      <c r="W32" s="132" t="e">
        <f>V32/U32-1</f>
        <v>#DIV/0!</v>
      </c>
      <c r="Z32" s="42">
        <f>VLOOKUP($C32,Segment!$B$4:$G$71,3,0)/1000</f>
        <v>0</v>
      </c>
      <c r="AA32" s="42">
        <f>VLOOKUP($C32,Segment!$B$77:$G$146,3,0)/1000</f>
        <v>0</v>
      </c>
      <c r="AB32" s="42">
        <f>VLOOKUP($C32,Segment!$B$152:$G$223,3,0)/1000</f>
        <v>0</v>
      </c>
      <c r="AC32" s="42">
        <f>VLOOKUP($C32,Segment!$B$229:$G$300,3,0)/1000</f>
        <v>0</v>
      </c>
      <c r="AD32" s="42">
        <f>VLOOKUP($C32,Segment!$B$306:$G$377,3,0)/1000</f>
        <v>0</v>
      </c>
      <c r="AE32" s="42">
        <f>VLOOKUP($C32,Segment!$B$383:$G$454,3,0)/1000</f>
        <v>0</v>
      </c>
      <c r="AF32" s="42">
        <f>VLOOKUP($C32,Segment!$B$460:$G$531,3,0)/1000</f>
        <v>0</v>
      </c>
      <c r="AI32" s="42">
        <f>VLOOKUP($C32,Segment!$B$4:$G$71,4,0)/1000</f>
        <v>0</v>
      </c>
      <c r="AJ32" s="42">
        <f>VLOOKUP($C32,Segment!$B$77:$G$146,4,0)/1000</f>
        <v>0</v>
      </c>
      <c r="AK32" s="42">
        <f>VLOOKUP($C32,Segment!$B$152:$G$223,4,0)/1000</f>
        <v>0</v>
      </c>
      <c r="AL32" s="42">
        <f>VLOOKUP($C32,Segment!$B$229:$G$300,4,0)/1000</f>
        <v>0</v>
      </c>
      <c r="AM32" s="42">
        <f>VLOOKUP($C32,Segment!$B$306:$G$377,4,0)/1000</f>
        <v>0</v>
      </c>
      <c r="AN32" s="42">
        <f>VLOOKUP($C32,Segment!$B$383:$G$454,4,0)/1000</f>
        <v>0</v>
      </c>
      <c r="AO32" s="42">
        <f>VLOOKUP($C32,Segment!$B$460:$G$531,4,0)/1000</f>
        <v>0</v>
      </c>
      <c r="AR32" s="42">
        <f t="shared" ref="AR32:AX33" si="53">Z32+AI32</f>
        <v>0</v>
      </c>
      <c r="AS32" s="42">
        <f t="shared" si="53"/>
        <v>0</v>
      </c>
      <c r="AT32" s="42">
        <f t="shared" si="53"/>
        <v>0</v>
      </c>
      <c r="AU32" s="42">
        <f t="shared" si="53"/>
        <v>0</v>
      </c>
      <c r="AV32" s="42">
        <f t="shared" si="53"/>
        <v>0</v>
      </c>
      <c r="AW32" s="42">
        <f t="shared" si="53"/>
        <v>0</v>
      </c>
      <c r="AX32" s="42">
        <f t="shared" si="53"/>
        <v>0</v>
      </c>
      <c r="BB32" s="42">
        <f>VLOOKUP($C32,Segment!$B$4:$G$71,5,0)/1000</f>
        <v>0</v>
      </c>
      <c r="BC32" s="42">
        <f>VLOOKUP($C32,Segment!$B$77:$G$146,5,0)/1000</f>
        <v>0</v>
      </c>
      <c r="BD32" s="42">
        <f>VLOOKUP($C32,Segment!$B$152:$G$223,5,0)/1000</f>
        <v>0</v>
      </c>
      <c r="BE32" s="42">
        <f>VLOOKUP($C32,Segment!$B$229:$G$300,5,0)/1000</f>
        <v>0</v>
      </c>
      <c r="BF32" s="42">
        <f>VLOOKUP($C32,Segment!$B$306:$G$377,5,0)/1000</f>
        <v>0</v>
      </c>
      <c r="BG32" s="42">
        <f>VLOOKUP($C32,Segment!$B$383:$G$454,5,0)/1000</f>
        <v>0</v>
      </c>
      <c r="BH32" s="42">
        <f>VLOOKUP($C32,Segment!$B$460:$G$531,5,0)/1000</f>
        <v>0</v>
      </c>
    </row>
    <row r="33" spans="3:60" x14ac:dyDescent="0.3">
      <c r="C33" s="36" t="s">
        <v>2</v>
      </c>
      <c r="F33" s="42">
        <f>VLOOKUP($C33,Segment!$B$4:$G$71,6,0)/1000</f>
        <v>-2369587.0380099998</v>
      </c>
      <c r="G33" s="42">
        <f>VLOOKUP($C33,Segment!$B$77:$G$146,6,0)/1000</f>
        <v>-2867065.7749999999</v>
      </c>
      <c r="H33" s="42">
        <f>VLOOKUP($C33,Segment!$B$152:$G$223,6,0)/1000</f>
        <v>-2102289.9799100002</v>
      </c>
      <c r="I33" s="42">
        <f>VLOOKUP($C33,Segment!$B$229:$G$300,6,0)/1000</f>
        <v>-117435.57972000002</v>
      </c>
      <c r="J33" s="42">
        <f>VLOOKUP($C33,Segment!$B$306:$G$377,6,0)/1000</f>
        <v>-105959.04886</v>
      </c>
      <c r="K33" s="42">
        <f>VLOOKUP($C33,Segment!$B$383:$G$454,6,0)/1000</f>
        <v>-4.6999999999999999E-4</v>
      </c>
      <c r="L33" s="42">
        <f>VLOOKUP($C33,Segment!$B$460:$G$531,6,0)/1000</f>
        <v>-5.2000000000000006E-4</v>
      </c>
      <c r="M33" s="132">
        <f>L33/K33-1</f>
        <v>0.10638297872340452</v>
      </c>
      <c r="P33" s="42">
        <f>VLOOKUP($C33,Segment!$B$4:$G$71,2,0)/1000</f>
        <v>-2369587.0380099998</v>
      </c>
      <c r="Q33" s="42">
        <f>VLOOKUP($C33,Segment!$B$77:$G$146,2,0)/1000</f>
        <v>-2867065.7749999999</v>
      </c>
      <c r="R33" s="42">
        <f>VLOOKUP($C33,Segment!$B$152:$G$223,2,0)/1000</f>
        <v>-2102289.9799100002</v>
      </c>
      <c r="S33" s="42">
        <f>VLOOKUP($C33,Segment!$B$229:$G$300,2,0)/1000</f>
        <v>-117435.57972000002</v>
      </c>
      <c r="T33" s="42">
        <f>VLOOKUP($C33,Segment!$B$306:$G$377,2,0)/1000</f>
        <v>-105959.04886</v>
      </c>
      <c r="U33" s="42">
        <f>VLOOKUP($C33,Segment!$B$383:$G$454,2,0)/1000</f>
        <v>-4.6999999999999999E-4</v>
      </c>
      <c r="V33" s="42">
        <f>VLOOKUP($C33,Segment!$B$460:$G$531,2,0)/1000</f>
        <v>-5.2000000000000006E-4</v>
      </c>
      <c r="W33" s="132">
        <f>V33/U33-1</f>
        <v>0.10638297872340452</v>
      </c>
      <c r="Z33" s="42">
        <f>VLOOKUP($C33,Segment!$B$4:$G$71,3,0)/1000</f>
        <v>0</v>
      </c>
      <c r="AA33" s="42">
        <f>VLOOKUP($C33,Segment!$B$77:$G$146,3,0)/1000</f>
        <v>0</v>
      </c>
      <c r="AB33" s="42">
        <f>VLOOKUP($C33,Segment!$B$152:$G$223,3,0)/1000</f>
        <v>0</v>
      </c>
      <c r="AC33" s="42">
        <f>VLOOKUP($C33,Segment!$B$229:$G$300,3,0)/1000</f>
        <v>0</v>
      </c>
      <c r="AD33" s="42">
        <f>VLOOKUP($C33,Segment!$B$306:$G$377,3,0)/1000</f>
        <v>0</v>
      </c>
      <c r="AE33" s="42">
        <f>VLOOKUP($C33,Segment!$B$383:$G$454,3,0)/1000</f>
        <v>0</v>
      </c>
      <c r="AF33" s="42">
        <f>VLOOKUP($C33,Segment!$B$460:$G$531,3,0)/1000</f>
        <v>0</v>
      </c>
      <c r="AI33" s="42">
        <f>VLOOKUP($C33,Segment!$B$4:$G$71,4,0)/1000</f>
        <v>0</v>
      </c>
      <c r="AJ33" s="42">
        <f>VLOOKUP($C33,Segment!$B$77:$G$146,4,0)/1000</f>
        <v>0</v>
      </c>
      <c r="AK33" s="42">
        <f>VLOOKUP($C33,Segment!$B$152:$G$223,4,0)/1000</f>
        <v>0</v>
      </c>
      <c r="AL33" s="42">
        <f>VLOOKUP($C33,Segment!$B$229:$G$300,4,0)/1000</f>
        <v>0</v>
      </c>
      <c r="AM33" s="42">
        <f>VLOOKUP($C33,Segment!$B$306:$G$377,4,0)/1000</f>
        <v>0</v>
      </c>
      <c r="AN33" s="42">
        <f>VLOOKUP($C33,Segment!$B$383:$G$454,4,0)/1000</f>
        <v>0</v>
      </c>
      <c r="AO33" s="42">
        <f>VLOOKUP($C33,Segment!$B$460:$G$531,4,0)/1000</f>
        <v>0</v>
      </c>
      <c r="AR33" s="42">
        <f t="shared" si="53"/>
        <v>0</v>
      </c>
      <c r="AS33" s="42">
        <f t="shared" si="53"/>
        <v>0</v>
      </c>
      <c r="AT33" s="42">
        <f t="shared" si="53"/>
        <v>0</v>
      </c>
      <c r="AU33" s="42">
        <f t="shared" si="53"/>
        <v>0</v>
      </c>
      <c r="AV33" s="42">
        <f t="shared" si="53"/>
        <v>0</v>
      </c>
      <c r="AW33" s="42">
        <f t="shared" si="53"/>
        <v>0</v>
      </c>
      <c r="AX33" s="42">
        <f t="shared" si="53"/>
        <v>0</v>
      </c>
      <c r="BB33" s="42">
        <f>VLOOKUP($C33,Segment!$B$4:$G$71,5,0)/1000</f>
        <v>0</v>
      </c>
      <c r="BC33" s="42">
        <f>VLOOKUP($C33,Segment!$B$77:$G$146,5,0)/1000</f>
        <v>0</v>
      </c>
      <c r="BD33" s="42">
        <f>VLOOKUP($C33,Segment!$B$152:$G$223,5,0)/1000</f>
        <v>0</v>
      </c>
      <c r="BE33" s="42">
        <f>VLOOKUP($C33,Segment!$B$229:$G$300,5,0)/1000</f>
        <v>0</v>
      </c>
      <c r="BF33" s="42">
        <f>VLOOKUP($C33,Segment!$B$306:$G$377,5,0)/1000</f>
        <v>0</v>
      </c>
      <c r="BG33" s="42">
        <f>VLOOKUP($C33,Segment!$B$383:$G$454,5,0)/1000</f>
        <v>0</v>
      </c>
      <c r="BH33" s="42">
        <f>VLOOKUP($C33,Segment!$B$460:$G$531,5,0)/1000</f>
        <v>0</v>
      </c>
    </row>
    <row r="34" spans="3:60" x14ac:dyDescent="0.3">
      <c r="C34" s="43" t="s">
        <v>21</v>
      </c>
      <c r="D34" s="111"/>
      <c r="E34" s="43"/>
      <c r="F34" s="44">
        <f t="shared" ref="F34:K34" si="54">SUM(F32:F33)</f>
        <v>1.0858499999158084</v>
      </c>
      <c r="G34" s="44">
        <f t="shared" si="54"/>
        <v>0</v>
      </c>
      <c r="H34" s="44">
        <f t="shared" si="54"/>
        <v>0</v>
      </c>
      <c r="I34" s="44">
        <f t="shared" si="54"/>
        <v>5.8999999600928277E-4</v>
      </c>
      <c r="J34" s="44">
        <f t="shared" si="54"/>
        <v>5.9999991208314896E-5</v>
      </c>
      <c r="K34" s="44">
        <f t="shared" si="54"/>
        <v>-4.6999999999999999E-4</v>
      </c>
      <c r="L34" s="44">
        <f>SUM(L32:L33)</f>
        <v>-4.7000000000000004E-4</v>
      </c>
      <c r="M34" s="170"/>
      <c r="O34" s="43"/>
      <c r="P34" s="44">
        <f t="shared" ref="P34:U34" si="55">SUM(P32:P33)</f>
        <v>1.0858499999158084</v>
      </c>
      <c r="Q34" s="44">
        <f t="shared" si="55"/>
        <v>0</v>
      </c>
      <c r="R34" s="44">
        <f t="shared" si="55"/>
        <v>0</v>
      </c>
      <c r="S34" s="44">
        <f t="shared" si="55"/>
        <v>5.8999999600928277E-4</v>
      </c>
      <c r="T34" s="44">
        <f t="shared" si="55"/>
        <v>5.9999991208314896E-5</v>
      </c>
      <c r="U34" s="44">
        <f t="shared" si="55"/>
        <v>-4.6999999999999999E-4</v>
      </c>
      <c r="V34" s="44">
        <f>SUM(V32:V33)</f>
        <v>-4.7000000000000004E-4</v>
      </c>
      <c r="W34" s="170"/>
      <c r="X34" s="44"/>
      <c r="Y34" s="44"/>
      <c r="Z34" s="44">
        <f t="shared" ref="Z34:AE34" si="56">SUM(Z32:Z33)</f>
        <v>0</v>
      </c>
      <c r="AA34" s="44">
        <f t="shared" si="56"/>
        <v>0</v>
      </c>
      <c r="AB34" s="44">
        <f t="shared" si="56"/>
        <v>0</v>
      </c>
      <c r="AC34" s="44">
        <f t="shared" si="56"/>
        <v>0</v>
      </c>
      <c r="AD34" s="44">
        <f t="shared" si="56"/>
        <v>0</v>
      </c>
      <c r="AE34" s="44">
        <f t="shared" si="56"/>
        <v>0</v>
      </c>
      <c r="AF34" s="44">
        <f>SUM(AF32:AF33)</f>
        <v>0</v>
      </c>
      <c r="AG34" s="44"/>
      <c r="AH34" s="44"/>
      <c r="AI34" s="44">
        <f t="shared" ref="AI34:AN34" si="57">SUM(AI32:AI33)</f>
        <v>0</v>
      </c>
      <c r="AJ34" s="44">
        <f t="shared" si="57"/>
        <v>0</v>
      </c>
      <c r="AK34" s="44">
        <f t="shared" si="57"/>
        <v>0</v>
      </c>
      <c r="AL34" s="44">
        <f t="shared" si="57"/>
        <v>0</v>
      </c>
      <c r="AM34" s="44">
        <f t="shared" si="57"/>
        <v>0</v>
      </c>
      <c r="AN34" s="44">
        <f t="shared" si="57"/>
        <v>0</v>
      </c>
      <c r="AO34" s="44">
        <f>SUM(AO32:AO33)</f>
        <v>0</v>
      </c>
      <c r="AP34" s="44"/>
      <c r="AQ34" s="44"/>
      <c r="AR34" s="44">
        <f t="shared" ref="AR34:AW34" si="58">SUM(AR32:AR33)</f>
        <v>0</v>
      </c>
      <c r="AS34" s="44">
        <f t="shared" si="58"/>
        <v>0</v>
      </c>
      <c r="AT34" s="44">
        <f t="shared" si="58"/>
        <v>0</v>
      </c>
      <c r="AU34" s="44">
        <f t="shared" si="58"/>
        <v>0</v>
      </c>
      <c r="AV34" s="44">
        <f t="shared" si="58"/>
        <v>0</v>
      </c>
      <c r="AW34" s="44">
        <f t="shared" si="58"/>
        <v>0</v>
      </c>
      <c r="AX34" s="44">
        <f>SUM(AX32:AX33)</f>
        <v>0</v>
      </c>
      <c r="AY34" s="170"/>
      <c r="AZ34" s="49"/>
      <c r="BA34" s="44"/>
      <c r="BB34" s="44">
        <f t="shared" ref="BB34:BG34" si="59">SUM(BB32:BB33)</f>
        <v>0</v>
      </c>
      <c r="BC34" s="44">
        <f t="shared" si="59"/>
        <v>0</v>
      </c>
      <c r="BD34" s="44">
        <f t="shared" si="59"/>
        <v>0</v>
      </c>
      <c r="BE34" s="44">
        <f t="shared" si="59"/>
        <v>0</v>
      </c>
      <c r="BF34" s="44">
        <f t="shared" si="59"/>
        <v>0</v>
      </c>
      <c r="BG34" s="44">
        <f t="shared" si="59"/>
        <v>0</v>
      </c>
      <c r="BH34" s="44">
        <f>SUM(BH32:BH33)</f>
        <v>0</v>
      </c>
    </row>
    <row r="35" spans="3:60" ht="13.5" thickBot="1" x14ac:dyDescent="0.35">
      <c r="C35" s="50" t="s">
        <v>22</v>
      </c>
      <c r="D35" s="114"/>
      <c r="E35" s="50"/>
      <c r="F35" s="51">
        <f t="shared" ref="F35:L35" si="60">ROUND(F18+F27+F11+F30+F34,0)</f>
        <v>552940</v>
      </c>
      <c r="G35" s="51">
        <f t="shared" si="60"/>
        <v>784558</v>
      </c>
      <c r="H35" s="51">
        <f t="shared" si="60"/>
        <v>871550</v>
      </c>
      <c r="I35" s="51">
        <f t="shared" si="60"/>
        <v>1088676</v>
      </c>
      <c r="J35" s="51">
        <f t="shared" si="60"/>
        <v>1452172</v>
      </c>
      <c r="K35" s="51">
        <f t="shared" si="60"/>
        <v>1740653</v>
      </c>
      <c r="L35" s="51">
        <f t="shared" si="60"/>
        <v>1979278</v>
      </c>
      <c r="M35" s="174">
        <f>L35/K35-1</f>
        <v>0.13708935669544697</v>
      </c>
      <c r="N35" s="133">
        <f>L35/L$69</f>
        <v>0.80348293026099304</v>
      </c>
      <c r="O35" s="50"/>
      <c r="P35" s="51">
        <f t="shared" ref="P35:V35" si="61">ROUND(P18+P27+P11+P30+P34,0)</f>
        <v>552940</v>
      </c>
      <c r="Q35" s="51">
        <f t="shared" si="61"/>
        <v>784558</v>
      </c>
      <c r="R35" s="51">
        <f t="shared" si="61"/>
        <v>871550</v>
      </c>
      <c r="S35" s="51">
        <f t="shared" si="61"/>
        <v>1088100</v>
      </c>
      <c r="T35" s="51">
        <f t="shared" si="61"/>
        <v>1445464</v>
      </c>
      <c r="U35" s="51">
        <f t="shared" si="61"/>
        <v>1741179</v>
      </c>
      <c r="V35" s="51">
        <f t="shared" si="61"/>
        <v>1986810</v>
      </c>
      <c r="W35" s="174">
        <f>V35/U35-1</f>
        <v>0.14107165317293635</v>
      </c>
      <c r="X35" s="52"/>
      <c r="Y35" s="51"/>
      <c r="Z35" s="51">
        <f t="shared" ref="Z35:AF35" si="62">ROUND(Z18+Z27+Z11+Z30+Z34,0)</f>
        <v>0</v>
      </c>
      <c r="AA35" s="51">
        <f t="shared" si="62"/>
        <v>0</v>
      </c>
      <c r="AB35" s="51">
        <f t="shared" si="62"/>
        <v>0</v>
      </c>
      <c r="AC35" s="51">
        <f t="shared" si="62"/>
        <v>0</v>
      </c>
      <c r="AD35" s="51">
        <f t="shared" si="62"/>
        <v>0</v>
      </c>
      <c r="AE35" s="51">
        <f t="shared" si="62"/>
        <v>0</v>
      </c>
      <c r="AF35" s="51">
        <f t="shared" si="62"/>
        <v>0</v>
      </c>
      <c r="AG35" s="52"/>
      <c r="AH35" s="51"/>
      <c r="AI35" s="51">
        <f t="shared" ref="AI35:AO35" si="63">ROUND(AI18+AI27+AI11+AI30+AI34,0)</f>
        <v>0</v>
      </c>
      <c r="AJ35" s="51">
        <f t="shared" si="63"/>
        <v>0</v>
      </c>
      <c r="AK35" s="51">
        <f t="shared" si="63"/>
        <v>0</v>
      </c>
      <c r="AL35" s="51">
        <f t="shared" si="63"/>
        <v>0</v>
      </c>
      <c r="AM35" s="51">
        <f t="shared" si="63"/>
        <v>0</v>
      </c>
      <c r="AN35" s="51">
        <f t="shared" si="63"/>
        <v>0</v>
      </c>
      <c r="AO35" s="51">
        <f t="shared" si="63"/>
        <v>0</v>
      </c>
      <c r="AP35" s="52"/>
      <c r="AQ35" s="51"/>
      <c r="AR35" s="51">
        <f t="shared" ref="AR35:AX35" si="64">ROUND(AR18+AR27+AR11+AR30+AR34,0)</f>
        <v>0</v>
      </c>
      <c r="AS35" s="51">
        <f t="shared" si="64"/>
        <v>0</v>
      </c>
      <c r="AT35" s="51">
        <f t="shared" si="64"/>
        <v>0</v>
      </c>
      <c r="AU35" s="51">
        <f t="shared" si="64"/>
        <v>0</v>
      </c>
      <c r="AV35" s="51">
        <f t="shared" si="64"/>
        <v>0</v>
      </c>
      <c r="AW35" s="51">
        <f t="shared" si="64"/>
        <v>0</v>
      </c>
      <c r="AX35" s="51">
        <f t="shared" si="64"/>
        <v>0</v>
      </c>
      <c r="AY35" s="174"/>
      <c r="AZ35" s="53"/>
      <c r="BA35" s="51"/>
      <c r="BB35" s="51">
        <f t="shared" ref="BB35:BH35" si="65">ROUND(BB18+BB27+BB11+BB30+BB34,0)</f>
        <v>0</v>
      </c>
      <c r="BC35" s="51">
        <f t="shared" si="65"/>
        <v>0</v>
      </c>
      <c r="BD35" s="51">
        <f t="shared" si="65"/>
        <v>0</v>
      </c>
      <c r="BE35" s="51">
        <f t="shared" si="65"/>
        <v>575</v>
      </c>
      <c r="BF35" s="51">
        <f t="shared" si="65"/>
        <v>6708</v>
      </c>
      <c r="BG35" s="51">
        <f t="shared" si="65"/>
        <v>-526</v>
      </c>
      <c r="BH35" s="51">
        <f t="shared" si="65"/>
        <v>-7532</v>
      </c>
    </row>
    <row r="36" spans="3:60" ht="13.5" thickTop="1" x14ac:dyDescent="0.3">
      <c r="C36" s="39" t="s">
        <v>58</v>
      </c>
      <c r="D36" s="109"/>
      <c r="E36" s="39"/>
      <c r="F36" s="41">
        <f t="shared" ref="F36:L36" si="66">(F35-F24-F17-F15-F10)/1000</f>
        <v>889.59248018000005</v>
      </c>
      <c r="G36" s="41">
        <f t="shared" si="66"/>
        <v>1033.5066443199999</v>
      </c>
      <c r="H36" s="41">
        <f t="shared" si="66"/>
        <v>1124.4388730300002</v>
      </c>
      <c r="I36" s="41">
        <f t="shared" si="66"/>
        <v>1344.8730705299999</v>
      </c>
      <c r="J36" s="41">
        <f t="shared" si="66"/>
        <v>2093.3842665799998</v>
      </c>
      <c r="K36" s="41">
        <f t="shared" si="66"/>
        <v>3129.8188363499999</v>
      </c>
      <c r="L36" s="41">
        <f t="shared" si="66"/>
        <v>3858.0830975924496</v>
      </c>
      <c r="M36" s="169">
        <f>L36/K36-1</f>
        <v>0.23268575573267136</v>
      </c>
      <c r="N36" s="104"/>
      <c r="O36" s="41"/>
      <c r="P36" s="41">
        <f t="shared" ref="P36:V36" si="67">(P35-P24-P17-P15-P10)/1000</f>
        <v>889.59248018000005</v>
      </c>
      <c r="Q36" s="41">
        <f t="shared" si="67"/>
        <v>1033.5066443199999</v>
      </c>
      <c r="R36" s="41">
        <f t="shared" si="67"/>
        <v>1124.4388730300002</v>
      </c>
      <c r="S36" s="41">
        <f t="shared" si="67"/>
        <v>1344.2947211799999</v>
      </c>
      <c r="T36" s="41">
        <f t="shared" si="67"/>
        <v>2086.6232252099999</v>
      </c>
      <c r="U36" s="41">
        <f t="shared" si="67"/>
        <v>3130.2519009400003</v>
      </c>
      <c r="V36" s="41">
        <f t="shared" si="67"/>
        <v>3865.5354923024493</v>
      </c>
      <c r="W36" s="169">
        <f>V36/U36-1</f>
        <v>0.23489598110032195</v>
      </c>
      <c r="Y36" s="41"/>
      <c r="Z36" s="41"/>
      <c r="AA36" s="41"/>
      <c r="AB36" s="41"/>
      <c r="AC36" s="41"/>
      <c r="AD36" s="41"/>
      <c r="AE36" s="41"/>
      <c r="AF36" s="41"/>
      <c r="AH36" s="41"/>
      <c r="AI36" s="41"/>
      <c r="AJ36" s="41"/>
      <c r="AK36" s="41"/>
      <c r="AL36" s="41"/>
      <c r="AM36" s="41"/>
      <c r="AN36" s="41"/>
      <c r="AO36" s="41"/>
      <c r="AQ36" s="41"/>
      <c r="AR36" s="41"/>
      <c r="AS36" s="41"/>
      <c r="AT36" s="41"/>
      <c r="AU36" s="41"/>
      <c r="AV36" s="41"/>
      <c r="AW36" s="41"/>
      <c r="AX36" s="41"/>
      <c r="AY36" s="169"/>
      <c r="BA36" s="41"/>
      <c r="BB36" s="41">
        <f t="shared" ref="BB36:BH36" si="68">(BB35-BB24-BB17-BB15-BB10)/1000</f>
        <v>0</v>
      </c>
      <c r="BC36" s="41">
        <f t="shared" si="68"/>
        <v>0</v>
      </c>
      <c r="BD36" s="41">
        <f t="shared" si="68"/>
        <v>0</v>
      </c>
      <c r="BE36" s="41">
        <f t="shared" si="68"/>
        <v>0.57734934999999998</v>
      </c>
      <c r="BF36" s="41">
        <f t="shared" si="68"/>
        <v>6.7610413700000001</v>
      </c>
      <c r="BG36" s="41">
        <f t="shared" si="68"/>
        <v>-0.43306459000000003</v>
      </c>
      <c r="BH36" s="41">
        <f t="shared" si="68"/>
        <v>-7.4523947099999992</v>
      </c>
    </row>
    <row r="37" spans="3:60" x14ac:dyDescent="0.3">
      <c r="C37" s="39" t="s">
        <v>59</v>
      </c>
      <c r="D37" s="109"/>
      <c r="E37" s="39"/>
      <c r="F37" s="40">
        <f t="shared" ref="F37:L37" si="69">(F36*1000)/F146</f>
        <v>0.21128755876108943</v>
      </c>
      <c r="G37" s="40">
        <f t="shared" si="69"/>
        <v>0.27101896781706492</v>
      </c>
      <c r="H37" s="40">
        <f t="shared" si="69"/>
        <v>0.24396934412621366</v>
      </c>
      <c r="I37" s="40">
        <f t="shared" si="69"/>
        <v>0.19756687359306907</v>
      </c>
      <c r="J37" s="40">
        <f t="shared" si="69"/>
        <v>0.18369251667561695</v>
      </c>
      <c r="K37" s="40">
        <f t="shared" si="69"/>
        <v>0.18847631275572529</v>
      </c>
      <c r="L37" s="40">
        <f t="shared" si="69"/>
        <v>0.33172480350790473</v>
      </c>
      <c r="M37" s="169"/>
      <c r="N37" s="104"/>
      <c r="O37" s="41"/>
      <c r="P37" s="40">
        <f t="shared" ref="P37:V37" si="70">(P36*1000)/P146</f>
        <v>0.21128755876108943</v>
      </c>
      <c r="Q37" s="40">
        <f t="shared" si="70"/>
        <v>0.27101896781706492</v>
      </c>
      <c r="R37" s="40">
        <f t="shared" si="70"/>
        <v>0.24396934412621366</v>
      </c>
      <c r="S37" s="40">
        <f t="shared" si="70"/>
        <v>0.19748191191495393</v>
      </c>
      <c r="T37" s="40">
        <f t="shared" si="70"/>
        <v>0.18309924160212446</v>
      </c>
      <c r="U37" s="40">
        <f t="shared" si="70"/>
        <v>0.18850239171472455</v>
      </c>
      <c r="V37" s="40">
        <f t="shared" si="70"/>
        <v>0.33236557357643454</v>
      </c>
      <c r="W37" s="169"/>
      <c r="Y37" s="41"/>
      <c r="Z37" s="40"/>
      <c r="AA37" s="40"/>
      <c r="AB37" s="40"/>
      <c r="AC37" s="40"/>
      <c r="AD37" s="40"/>
      <c r="AE37" s="40"/>
      <c r="AF37" s="40"/>
      <c r="AH37" s="41"/>
      <c r="AI37" s="40"/>
      <c r="AJ37" s="40"/>
      <c r="AK37" s="40"/>
      <c r="AL37" s="40"/>
      <c r="AM37" s="40"/>
      <c r="AN37" s="40"/>
      <c r="AO37" s="40"/>
      <c r="AQ37" s="41"/>
      <c r="AR37" s="40"/>
      <c r="AS37" s="40"/>
      <c r="AT37" s="40"/>
      <c r="AU37" s="40"/>
      <c r="AV37" s="40"/>
      <c r="AW37" s="40"/>
      <c r="AX37" s="40"/>
      <c r="AY37" s="169"/>
      <c r="BA37" s="41"/>
      <c r="BB37" s="40">
        <f t="shared" ref="BB37:BH37" si="71">(BB36*1000)/BB146</f>
        <v>0</v>
      </c>
      <c r="BC37" s="40">
        <f t="shared" si="71"/>
        <v>0</v>
      </c>
      <c r="BD37" s="40">
        <f t="shared" si="71"/>
        <v>0</v>
      </c>
      <c r="BE37" s="40">
        <f t="shared" si="71"/>
        <v>8.4814774382788977E-5</v>
      </c>
      <c r="BF37" s="40">
        <f t="shared" si="71"/>
        <v>5.9327507349248487E-4</v>
      </c>
      <c r="BG37" s="40">
        <f t="shared" si="71"/>
        <v>-2.6078958999255736E-5</v>
      </c>
      <c r="BH37" s="40">
        <f t="shared" si="71"/>
        <v>-6.4077006852983147E-4</v>
      </c>
    </row>
    <row r="38" spans="3:60" x14ac:dyDescent="0.3">
      <c r="C38" s="39" t="s">
        <v>60</v>
      </c>
      <c r="D38" s="109"/>
      <c r="E38" s="39"/>
      <c r="F38" s="40">
        <f t="shared" ref="F38:L38" si="72">(F36*1000)/AVERAGE(E130:F130)</f>
        <v>0.1598047651218559</v>
      </c>
      <c r="G38" s="40">
        <f t="shared" si="72"/>
        <v>0.16154874872479533</v>
      </c>
      <c r="H38" s="40">
        <f t="shared" si="72"/>
        <v>0.15671380048381911</v>
      </c>
      <c r="I38" s="40">
        <f t="shared" si="72"/>
        <v>0.14912006163046473</v>
      </c>
      <c r="J38" s="40">
        <f t="shared" si="72"/>
        <v>0.1664607670711476</v>
      </c>
      <c r="K38" s="40">
        <f t="shared" si="72"/>
        <v>0.17391535036907418</v>
      </c>
      <c r="L38" s="40">
        <f t="shared" si="72"/>
        <v>0.18254407766930325</v>
      </c>
      <c r="M38" s="169"/>
      <c r="N38" s="104"/>
      <c r="O38" s="41"/>
      <c r="P38" s="40">
        <f t="shared" ref="P38:V38" si="73">(P36*1000)/AVERAGE(O130:P130)</f>
        <v>0.1598047651218559</v>
      </c>
      <c r="Q38" s="40">
        <f t="shared" si="73"/>
        <v>0.16154874872479533</v>
      </c>
      <c r="R38" s="40">
        <f t="shared" si="73"/>
        <v>0.15671380048381911</v>
      </c>
      <c r="S38" s="40">
        <f t="shared" si="73"/>
        <v>0.14905593402422013</v>
      </c>
      <c r="T38" s="40">
        <f t="shared" si="73"/>
        <v>0.16592314569383179</v>
      </c>
      <c r="U38" s="40">
        <f t="shared" si="73"/>
        <v>0.17393941456698481</v>
      </c>
      <c r="V38" s="40">
        <f t="shared" si="73"/>
        <v>0.18289668555367292</v>
      </c>
      <c r="W38" s="169"/>
      <c r="Y38" s="41"/>
      <c r="Z38" s="40"/>
      <c r="AA38" s="40"/>
      <c r="AB38" s="40"/>
      <c r="AC38" s="40"/>
      <c r="AD38" s="40"/>
      <c r="AE38" s="40"/>
      <c r="AF38" s="40"/>
      <c r="AH38" s="41"/>
      <c r="AI38" s="40"/>
      <c r="AJ38" s="40"/>
      <c r="AK38" s="40"/>
      <c r="AL38" s="40"/>
      <c r="AM38" s="40"/>
      <c r="AN38" s="40"/>
      <c r="AO38" s="40"/>
      <c r="AQ38" s="41"/>
      <c r="AR38" s="40"/>
      <c r="AS38" s="40"/>
      <c r="AT38" s="40"/>
      <c r="AU38" s="40"/>
      <c r="AV38" s="40"/>
      <c r="AW38" s="40"/>
      <c r="AX38" s="40"/>
      <c r="AY38" s="169"/>
      <c r="BA38" s="41"/>
      <c r="BB38" s="40">
        <f t="shared" ref="BB38:BH38" si="74">(BB36*1000)/AVERAGE(BA130:BB130)</f>
        <v>0</v>
      </c>
      <c r="BC38" s="40">
        <f t="shared" si="74"/>
        <v>0</v>
      </c>
      <c r="BD38" s="40">
        <f t="shared" si="74"/>
        <v>0</v>
      </c>
      <c r="BE38" s="40">
        <f t="shared" si="74"/>
        <v>6.4016725846387788E-5</v>
      </c>
      <c r="BF38" s="40">
        <f t="shared" si="74"/>
        <v>5.3762137731579868E-4</v>
      </c>
      <c r="BG38" s="40">
        <f t="shared" si="74"/>
        <v>-2.4064197910612549E-5</v>
      </c>
      <c r="BH38" s="40">
        <f t="shared" si="74"/>
        <v>-3.5260788436969277E-4</v>
      </c>
    </row>
    <row r="39" spans="3:60" x14ac:dyDescent="0.3">
      <c r="C39" s="45"/>
      <c r="D39" s="112"/>
      <c r="E39" s="45"/>
      <c r="F39" s="45"/>
      <c r="G39" s="45"/>
      <c r="H39" s="45"/>
      <c r="I39" s="45"/>
      <c r="J39" s="45"/>
      <c r="K39" s="45"/>
      <c r="L39" s="45"/>
      <c r="M39" s="172"/>
      <c r="N39" s="104"/>
      <c r="O39" s="45"/>
      <c r="P39" s="45"/>
      <c r="Q39" s="45"/>
      <c r="R39" s="45"/>
      <c r="S39" s="45"/>
      <c r="T39" s="45"/>
      <c r="U39" s="45"/>
      <c r="V39" s="45"/>
      <c r="W39" s="172"/>
      <c r="Y39" s="45"/>
      <c r="Z39" s="45"/>
      <c r="AA39" s="45"/>
      <c r="AB39" s="45"/>
      <c r="AC39" s="45"/>
      <c r="AD39" s="45"/>
      <c r="AE39" s="45"/>
      <c r="AF39" s="45"/>
      <c r="AH39" s="45"/>
      <c r="AI39" s="45"/>
      <c r="AJ39" s="45"/>
      <c r="AK39" s="45"/>
      <c r="AL39" s="45"/>
      <c r="AM39" s="45"/>
      <c r="AN39" s="45"/>
      <c r="AO39" s="45"/>
      <c r="AQ39" s="45"/>
      <c r="AR39" s="45"/>
      <c r="AS39" s="45"/>
      <c r="AT39" s="45"/>
      <c r="AU39" s="45"/>
      <c r="AV39" s="45"/>
      <c r="AW39" s="45"/>
      <c r="AX39" s="45"/>
      <c r="AY39" s="172"/>
      <c r="BA39" s="45"/>
      <c r="BB39" s="45"/>
      <c r="BC39" s="45"/>
      <c r="BD39" s="45"/>
      <c r="BE39" s="45"/>
      <c r="BF39" s="45"/>
      <c r="BG39" s="45"/>
      <c r="BH39" s="45"/>
    </row>
    <row r="40" spans="3:60" x14ac:dyDescent="0.3">
      <c r="C40" s="37" t="s">
        <v>23</v>
      </c>
      <c r="D40" s="107"/>
      <c r="E40" s="37"/>
      <c r="F40" s="37"/>
      <c r="G40" s="37"/>
      <c r="H40" s="37"/>
      <c r="I40" s="37"/>
      <c r="J40" s="37"/>
      <c r="K40" s="37"/>
      <c r="L40" s="37"/>
      <c r="M40" s="171"/>
      <c r="N40" s="104"/>
      <c r="O40" s="37"/>
      <c r="P40" s="37"/>
      <c r="Q40" s="37"/>
      <c r="R40" s="37"/>
      <c r="S40" s="37"/>
      <c r="T40" s="37"/>
      <c r="U40" s="37"/>
      <c r="V40" s="37"/>
      <c r="W40" s="171"/>
      <c r="Y40" s="37"/>
      <c r="Z40" s="37"/>
      <c r="AA40" s="37"/>
      <c r="AB40" s="37"/>
      <c r="AC40" s="37"/>
      <c r="AD40" s="37"/>
      <c r="AE40" s="37"/>
      <c r="AF40" s="37"/>
      <c r="AH40" s="37"/>
      <c r="AI40" s="37"/>
      <c r="AJ40" s="37"/>
      <c r="AK40" s="37"/>
      <c r="AL40" s="37"/>
      <c r="AM40" s="37"/>
      <c r="AN40" s="37"/>
      <c r="AO40" s="37"/>
      <c r="AQ40" s="37"/>
      <c r="AR40" s="37"/>
      <c r="AS40" s="37"/>
      <c r="AT40" s="37"/>
      <c r="AU40" s="37"/>
      <c r="AV40" s="37"/>
      <c r="AW40" s="37"/>
      <c r="AX40" s="37"/>
      <c r="AY40" s="171"/>
      <c r="BA40" s="37"/>
      <c r="BB40" s="37"/>
      <c r="BC40" s="37"/>
      <c r="BD40" s="37"/>
      <c r="BE40" s="37"/>
      <c r="BF40" s="37"/>
      <c r="BG40" s="37"/>
      <c r="BH40" s="37"/>
    </row>
    <row r="41" spans="3:60" x14ac:dyDescent="0.3">
      <c r="C41" s="36" t="s">
        <v>24</v>
      </c>
      <c r="F41" s="42">
        <f>VLOOKUP($C41,Segment!$B$4:$G$71,6,0)/1000</f>
        <v>0</v>
      </c>
      <c r="G41" s="42">
        <f>VLOOKUP($C41,Segment!$B$77:$G$146,6,0)/1000</f>
        <v>109227.579</v>
      </c>
      <c r="H41" s="42">
        <f>VLOOKUP($C41,Segment!$B$152:$G$223,6,0)/1000</f>
        <v>283856.09399999998</v>
      </c>
      <c r="I41" s="42">
        <f>VLOOKUP($C41,Segment!$B$229:$G$300,6,0)/1000</f>
        <v>516835.18900000001</v>
      </c>
      <c r="J41" s="42">
        <f>VLOOKUP($C41,Segment!$B$306:$G$377,6,0)/1000</f>
        <v>948315.995</v>
      </c>
      <c r="K41" s="42">
        <f>VLOOKUP($C41,Segment!$B$383:$G$454,6,0)/1000</f>
        <v>1491843.453</v>
      </c>
      <c r="L41" s="42">
        <f>VLOOKUP($C41,Segment!$B$460:$G$531,6,0)/1000</f>
        <v>2282730.071</v>
      </c>
      <c r="M41" s="132">
        <f>L41/K41-1</f>
        <v>0.53014048921123624</v>
      </c>
      <c r="N41" s="104"/>
      <c r="P41" s="42">
        <f>VLOOKUP($C41,Segment!$B$4:$G$71,2,0)/1000</f>
        <v>0</v>
      </c>
      <c r="Q41" s="42">
        <f>VLOOKUP($C41,Segment!$B$77:$G$146,2,0)/1000</f>
        <v>0</v>
      </c>
      <c r="R41" s="42">
        <f>VLOOKUP($C41,Segment!$B$152:$G$223,2,0)/1000</f>
        <v>0</v>
      </c>
      <c r="S41" s="42">
        <f>VLOOKUP($C41,Segment!$B$229:$G$300,2,0)/1000</f>
        <v>0</v>
      </c>
      <c r="T41" s="42">
        <f>VLOOKUP($C41,Segment!$B$306:$G$377,2,0)/1000</f>
        <v>0</v>
      </c>
      <c r="U41" s="42">
        <f>VLOOKUP($C41,Segment!$B$383:$G$454,2,0)/1000</f>
        <v>0</v>
      </c>
      <c r="V41" s="42">
        <f>VLOOKUP($C41,Segment!$B$460:$G$531,2,0)/1000</f>
        <v>0</v>
      </c>
      <c r="Z41" s="42">
        <f>VLOOKUP($C41,Segment!$B$4:$G$71,3,0)/1000</f>
        <v>0</v>
      </c>
      <c r="AA41" s="42">
        <f>VLOOKUP($C41,Segment!$B$77:$G$146,3,0)/1000</f>
        <v>109227.579</v>
      </c>
      <c r="AB41" s="42">
        <f>VLOOKUP($C41,Segment!$B$152:$G$223,3,0)/1000</f>
        <v>283856.09399999998</v>
      </c>
      <c r="AC41" s="42">
        <f>VLOOKUP($C41,Segment!$B$229:$G$300,3,0)/1000</f>
        <v>516835.18900000001</v>
      </c>
      <c r="AD41" s="42">
        <f>VLOOKUP($C41,Segment!$B$306:$G$377,3,0)/1000</f>
        <v>948315.995</v>
      </c>
      <c r="AE41" s="42">
        <f>VLOOKUP($C41,Segment!$B$383:$G$454,3,0)/1000</f>
        <v>1491843.453</v>
      </c>
      <c r="AF41" s="42">
        <f>VLOOKUP($C41,Segment!$B$460:$G$531,3,0)/1000</f>
        <v>2282730.071</v>
      </c>
      <c r="AI41" s="42">
        <f>VLOOKUP($C41,Segment!$B$4:$G$71,4,0)/1000</f>
        <v>0</v>
      </c>
      <c r="AJ41" s="42">
        <f>VLOOKUP($C41,Segment!$B$77:$G$146,4,0)/1000</f>
        <v>0</v>
      </c>
      <c r="AK41" s="42">
        <f>VLOOKUP($C41,Segment!$B$152:$G$223,4,0)/1000</f>
        <v>0</v>
      </c>
      <c r="AL41" s="42">
        <f>VLOOKUP($C41,Segment!$B$229:$G$300,4,0)/1000</f>
        <v>0</v>
      </c>
      <c r="AM41" s="42">
        <f>VLOOKUP($C41,Segment!$B$306:$G$377,4,0)/1000</f>
        <v>0</v>
      </c>
      <c r="AN41" s="42">
        <f>VLOOKUP($C41,Segment!$B$383:$G$454,4,0)/1000</f>
        <v>0</v>
      </c>
      <c r="AO41" s="42">
        <f>VLOOKUP($C41,Segment!$B$460:$G$531,4,0)/1000</f>
        <v>0</v>
      </c>
      <c r="AR41" s="42">
        <f t="shared" ref="AR41:AV43" si="75">Z41+AI41</f>
        <v>0</v>
      </c>
      <c r="AS41" s="42">
        <f t="shared" si="75"/>
        <v>109227.579</v>
      </c>
      <c r="AT41" s="42">
        <f t="shared" si="75"/>
        <v>283856.09399999998</v>
      </c>
      <c r="AU41" s="42">
        <f t="shared" si="75"/>
        <v>516835.18900000001</v>
      </c>
      <c r="AV41" s="42">
        <f t="shared" si="75"/>
        <v>948315.995</v>
      </c>
      <c r="AW41" s="42">
        <f t="shared" ref="AW41:AX43" si="76">AE41+AN41</f>
        <v>1491843.453</v>
      </c>
      <c r="AX41" s="42">
        <f t="shared" si="76"/>
        <v>2282730.071</v>
      </c>
      <c r="AY41" s="132">
        <f>AX41/AW41-1</f>
        <v>0.53014048921123624</v>
      </c>
      <c r="BB41" s="42">
        <f>VLOOKUP($C41,Segment!$B$4:$G$71,5,0)/1000</f>
        <v>0</v>
      </c>
      <c r="BC41" s="42">
        <f>VLOOKUP($C41,Segment!$B$77:$G$146,5,0)/1000</f>
        <v>0</v>
      </c>
      <c r="BD41" s="42">
        <f>VLOOKUP($C41,Segment!$B$152:$G$223,5,0)/1000</f>
        <v>0</v>
      </c>
      <c r="BE41" s="42">
        <f>VLOOKUP($C41,Segment!$B$229:$G$300,5,0)/1000</f>
        <v>0</v>
      </c>
      <c r="BF41" s="42">
        <f>VLOOKUP($C41,Segment!$B$306:$G$377,5,0)/1000</f>
        <v>0</v>
      </c>
      <c r="BG41" s="42">
        <f>VLOOKUP($C41,Segment!$B$383:$G$454,5,0)/1000</f>
        <v>0</v>
      </c>
      <c r="BH41" s="42">
        <f>VLOOKUP($C41,Segment!$B$460:$G$531,5,0)/1000</f>
        <v>0</v>
      </c>
    </row>
    <row r="42" spans="3:60" x14ac:dyDescent="0.3">
      <c r="C42" s="36" t="s">
        <v>25</v>
      </c>
      <c r="F42" s="42">
        <f>VLOOKUP($C42,Segment!$B$4:$G$71,6,0)/1000</f>
        <v>0</v>
      </c>
      <c r="G42" s="42">
        <f>VLOOKUP($C42,Segment!$B$77:$G$146,6,0)/1000</f>
        <v>-49136.896000000001</v>
      </c>
      <c r="H42" s="42">
        <f>VLOOKUP($C42,Segment!$B$152:$G$223,6,0)/1000</f>
        <v>-49818.883000000002</v>
      </c>
      <c r="I42" s="42">
        <f>VLOOKUP($C42,Segment!$B$229:$G$300,6,0)/1000</f>
        <v>-44152.114999999998</v>
      </c>
      <c r="J42" s="42">
        <f>VLOOKUP($C42,Segment!$B$306:$G$377,6,0)/1000</f>
        <v>-105733.553</v>
      </c>
      <c r="K42" s="42">
        <f>VLOOKUP($C42,Segment!$B$383:$G$454,6,0)/1000</f>
        <v>-194195.128</v>
      </c>
      <c r="L42" s="42">
        <f>VLOOKUP($C42,Segment!$B$460:$G$531,6,0)/1000</f>
        <v>-255954.31400000001</v>
      </c>
      <c r="M42" s="132">
        <f>L42/K42-1</f>
        <v>0.31802644400018121</v>
      </c>
      <c r="N42" s="104"/>
      <c r="P42" s="42">
        <f>VLOOKUP($C42,Segment!$B$4:$G$71,2,0)/1000</f>
        <v>0</v>
      </c>
      <c r="Q42" s="42">
        <f>VLOOKUP($C42,Segment!$B$77:$G$146,2,0)/1000</f>
        <v>0</v>
      </c>
      <c r="R42" s="42">
        <f>VLOOKUP($C42,Segment!$B$152:$G$223,2,0)/1000</f>
        <v>0</v>
      </c>
      <c r="S42" s="42">
        <f>VLOOKUP($C42,Segment!$B$229:$G$300,2,0)/1000</f>
        <v>0</v>
      </c>
      <c r="T42" s="42">
        <f>VLOOKUP($C42,Segment!$B$306:$G$377,2,0)/1000</f>
        <v>0</v>
      </c>
      <c r="U42" s="42">
        <f>VLOOKUP($C42,Segment!$B$383:$G$454,2,0)/1000</f>
        <v>0</v>
      </c>
      <c r="V42" s="42">
        <f>VLOOKUP($C42,Segment!$B$460:$G$531,2,0)/1000</f>
        <v>0</v>
      </c>
      <c r="Z42" s="42">
        <f>VLOOKUP($C42,Segment!$B$4:$G$71,3,0)/1000</f>
        <v>0</v>
      </c>
      <c r="AA42" s="42">
        <f>VLOOKUP($C42,Segment!$B$77:$G$146,3,0)/1000</f>
        <v>-49136.896000000001</v>
      </c>
      <c r="AB42" s="42">
        <f>VLOOKUP($C42,Segment!$B$152:$G$223,3,0)/1000</f>
        <v>-49818.883000000002</v>
      </c>
      <c r="AC42" s="42">
        <f>VLOOKUP($C42,Segment!$B$229:$G$300,3,0)/1000</f>
        <v>-44152.114999999998</v>
      </c>
      <c r="AD42" s="42">
        <f>VLOOKUP($C42,Segment!$B$306:$G$377,3,0)/1000</f>
        <v>-105733.553</v>
      </c>
      <c r="AE42" s="42">
        <f>VLOOKUP($C42,Segment!$B$383:$G$454,3,0)/1000</f>
        <v>-194195.128</v>
      </c>
      <c r="AF42" s="42">
        <f>VLOOKUP($C42,Segment!$B$460:$G$531,3,0)/1000</f>
        <v>-255954.31400000001</v>
      </c>
      <c r="AI42" s="42">
        <f>VLOOKUP($C42,Segment!$B$4:$G$71,4,0)/1000</f>
        <v>0</v>
      </c>
      <c r="AJ42" s="42">
        <f>VLOOKUP($C42,Segment!$B$77:$G$146,4,0)/1000</f>
        <v>0</v>
      </c>
      <c r="AK42" s="42">
        <f>VLOOKUP($C42,Segment!$B$152:$G$223,4,0)/1000</f>
        <v>0</v>
      </c>
      <c r="AL42" s="42">
        <f>VLOOKUP($C42,Segment!$B$229:$G$300,4,0)/1000</f>
        <v>0</v>
      </c>
      <c r="AM42" s="42">
        <f>VLOOKUP($C42,Segment!$B$306:$G$377,4,0)/1000</f>
        <v>0</v>
      </c>
      <c r="AN42" s="42">
        <f>VLOOKUP($C42,Segment!$B$383:$G$454,4,0)/1000</f>
        <v>0</v>
      </c>
      <c r="AO42" s="42">
        <f>VLOOKUP($C42,Segment!$B$460:$G$531,4,0)/1000</f>
        <v>0</v>
      </c>
      <c r="AR42" s="42">
        <f t="shared" si="75"/>
        <v>0</v>
      </c>
      <c r="AS42" s="42">
        <f t="shared" si="75"/>
        <v>-49136.896000000001</v>
      </c>
      <c r="AT42" s="42">
        <f t="shared" si="75"/>
        <v>-49818.883000000002</v>
      </c>
      <c r="AU42" s="42">
        <f t="shared" si="75"/>
        <v>-44152.114999999998</v>
      </c>
      <c r="AV42" s="42">
        <f t="shared" si="75"/>
        <v>-105733.553</v>
      </c>
      <c r="AW42" s="42">
        <f t="shared" si="76"/>
        <v>-194195.128</v>
      </c>
      <c r="AX42" s="42">
        <f t="shared" si="76"/>
        <v>-255954.31400000001</v>
      </c>
      <c r="AY42" s="132">
        <f>AX42/AW42-1</f>
        <v>0.31802644400018121</v>
      </c>
      <c r="BB42" s="42">
        <f>VLOOKUP($C42,Segment!$B$4:$G$71,5,0)/1000</f>
        <v>0</v>
      </c>
      <c r="BC42" s="42">
        <f>VLOOKUP($C42,Segment!$B$77:$G$146,5,0)/1000</f>
        <v>0</v>
      </c>
      <c r="BD42" s="42">
        <f>VLOOKUP($C42,Segment!$B$152:$G$223,5,0)/1000</f>
        <v>0</v>
      </c>
      <c r="BE42" s="42">
        <f>VLOOKUP($C42,Segment!$B$229:$G$300,5,0)/1000</f>
        <v>0</v>
      </c>
      <c r="BF42" s="42">
        <f>VLOOKUP($C42,Segment!$B$306:$G$377,5,0)/1000</f>
        <v>0</v>
      </c>
      <c r="BG42" s="42">
        <f>VLOOKUP($C42,Segment!$B$383:$G$454,5,0)/1000</f>
        <v>0</v>
      </c>
      <c r="BH42" s="42">
        <f>VLOOKUP($C42,Segment!$B$460:$G$531,5,0)/1000</f>
        <v>0</v>
      </c>
    </row>
    <row r="43" spans="3:60" x14ac:dyDescent="0.3">
      <c r="C43" s="36" t="s">
        <v>26</v>
      </c>
      <c r="F43" s="42">
        <f>VLOOKUP($C43,Segment!$B$4:$G$71,6,0)/1000</f>
        <v>0</v>
      </c>
      <c r="G43" s="42">
        <f>VLOOKUP($C43,Segment!$B$77:$G$146,6,0)/1000</f>
        <v>-20847.330999999998</v>
      </c>
      <c r="H43" s="42">
        <f>VLOOKUP($C43,Segment!$B$152:$G$223,6,0)/1000</f>
        <v>-73108.785000000003</v>
      </c>
      <c r="I43" s="42">
        <f>VLOOKUP($C43,Segment!$B$229:$G$300,6,0)/1000</f>
        <v>-154647.94200000001</v>
      </c>
      <c r="J43" s="42">
        <f>VLOOKUP($C43,Segment!$B$306:$G$377,6,0)/1000</f>
        <v>-284414.63400000002</v>
      </c>
      <c r="K43" s="42">
        <f>VLOOKUP($C43,Segment!$B$383:$G$454,6,0)/1000</f>
        <v>-382737.88699999999</v>
      </c>
      <c r="L43" s="42">
        <f>VLOOKUP($C43,Segment!$B$460:$G$531,6,0)/1000</f>
        <v>-676442.16099999996</v>
      </c>
      <c r="M43" s="132">
        <f>L43/K43-1</f>
        <v>0.76737705875457274</v>
      </c>
      <c r="N43" s="104"/>
      <c r="P43" s="42">
        <f>VLOOKUP($C43,Segment!$B$4:$G$71,2,0)/1000</f>
        <v>0</v>
      </c>
      <c r="Q43" s="42">
        <f>VLOOKUP($C43,Segment!$B$77:$G$146,2,0)/1000</f>
        <v>0</v>
      </c>
      <c r="R43" s="42">
        <f>VLOOKUP($C43,Segment!$B$152:$G$223,2,0)/1000</f>
        <v>0</v>
      </c>
      <c r="S43" s="42">
        <f>VLOOKUP($C43,Segment!$B$229:$G$300,2,0)/1000</f>
        <v>0</v>
      </c>
      <c r="T43" s="42">
        <f>VLOOKUP($C43,Segment!$B$306:$G$377,2,0)/1000</f>
        <v>0</v>
      </c>
      <c r="U43" s="42">
        <f>VLOOKUP($C43,Segment!$B$383:$G$454,2,0)/1000</f>
        <v>0</v>
      </c>
      <c r="V43" s="42">
        <f>VLOOKUP($C43,Segment!$B$460:$G$531,2,0)/1000</f>
        <v>0</v>
      </c>
      <c r="Z43" s="42">
        <f>VLOOKUP($C43,Segment!$B$4:$G$71,3,0)/1000</f>
        <v>0</v>
      </c>
      <c r="AA43" s="42">
        <f>VLOOKUP($C43,Segment!$B$77:$G$146,3,0)/1000</f>
        <v>-20847.330999999998</v>
      </c>
      <c r="AB43" s="42">
        <f>VLOOKUP($C43,Segment!$B$152:$G$223,3,0)/1000</f>
        <v>-73108.785000000003</v>
      </c>
      <c r="AC43" s="42">
        <f>VLOOKUP($C43,Segment!$B$229:$G$300,3,0)/1000</f>
        <v>-154647.94200000001</v>
      </c>
      <c r="AD43" s="42">
        <f>VLOOKUP($C43,Segment!$B$306:$G$377,3,0)/1000</f>
        <v>-284414.63400000002</v>
      </c>
      <c r="AE43" s="42">
        <f>VLOOKUP($C43,Segment!$B$383:$G$454,3,0)/1000</f>
        <v>-382737.88699999999</v>
      </c>
      <c r="AF43" s="42">
        <f>VLOOKUP($C43,Segment!$B$460:$G$531,3,0)/1000</f>
        <v>-676442.16099999996</v>
      </c>
      <c r="AI43" s="42">
        <f>VLOOKUP($C43,Segment!$B$4:$G$71,4,0)/1000</f>
        <v>0</v>
      </c>
      <c r="AJ43" s="42">
        <f>VLOOKUP($C43,Segment!$B$77:$G$146,4,0)/1000</f>
        <v>0</v>
      </c>
      <c r="AK43" s="42">
        <f>VLOOKUP($C43,Segment!$B$152:$G$223,4,0)/1000</f>
        <v>0</v>
      </c>
      <c r="AL43" s="42">
        <f>VLOOKUP($C43,Segment!$B$229:$G$300,4,0)/1000</f>
        <v>0</v>
      </c>
      <c r="AM43" s="42">
        <f>VLOOKUP($C43,Segment!$B$306:$G$377,4,0)/1000</f>
        <v>0</v>
      </c>
      <c r="AN43" s="42">
        <f>VLOOKUP($C43,Segment!$B$383:$G$454,4,0)/1000</f>
        <v>0</v>
      </c>
      <c r="AO43" s="42">
        <f>VLOOKUP($C43,Segment!$B$460:$G$531,4,0)/1000</f>
        <v>0</v>
      </c>
      <c r="AR43" s="42">
        <f t="shared" si="75"/>
        <v>0</v>
      </c>
      <c r="AS43" s="42">
        <f t="shared" si="75"/>
        <v>-20847.330999999998</v>
      </c>
      <c r="AT43" s="42">
        <f t="shared" si="75"/>
        <v>-73108.785000000003</v>
      </c>
      <c r="AU43" s="42">
        <f t="shared" si="75"/>
        <v>-154647.94200000001</v>
      </c>
      <c r="AV43" s="42">
        <f t="shared" si="75"/>
        <v>-284414.63400000002</v>
      </c>
      <c r="AW43" s="42">
        <f t="shared" si="76"/>
        <v>-382737.88699999999</v>
      </c>
      <c r="AX43" s="42">
        <f t="shared" si="76"/>
        <v>-676442.16099999996</v>
      </c>
      <c r="AY43" s="132">
        <f>AX43/AW43-1</f>
        <v>0.76737705875457274</v>
      </c>
      <c r="BB43" s="42">
        <f>VLOOKUP($C43,Segment!$B$4:$G$71,5,0)/1000</f>
        <v>0</v>
      </c>
      <c r="BC43" s="42">
        <f>VLOOKUP($C43,Segment!$B$77:$G$146,5,0)/1000</f>
        <v>0</v>
      </c>
      <c r="BD43" s="42">
        <f>VLOOKUP($C43,Segment!$B$152:$G$223,5,0)/1000</f>
        <v>0</v>
      </c>
      <c r="BE43" s="42">
        <f>VLOOKUP($C43,Segment!$B$229:$G$300,5,0)/1000</f>
        <v>0</v>
      </c>
      <c r="BF43" s="42">
        <f>VLOOKUP($C43,Segment!$B$306:$G$377,5,0)/1000</f>
        <v>0</v>
      </c>
      <c r="BG43" s="42">
        <f>VLOOKUP($C43,Segment!$B$383:$G$454,5,0)/1000</f>
        <v>0</v>
      </c>
      <c r="BH43" s="42">
        <f>VLOOKUP($C43,Segment!$B$460:$G$531,5,0)/1000</f>
        <v>0</v>
      </c>
    </row>
    <row r="44" spans="3:60" ht="13.5" thickBot="1" x14ac:dyDescent="0.35">
      <c r="C44" s="54" t="s">
        <v>101</v>
      </c>
      <c r="D44" s="115"/>
      <c r="E44" s="54"/>
      <c r="F44" s="55">
        <f t="shared" ref="F44:K44" si="77">SUM(F41:F43)</f>
        <v>0</v>
      </c>
      <c r="G44" s="55">
        <f t="shared" si="77"/>
        <v>39243.351999999999</v>
      </c>
      <c r="H44" s="55">
        <f t="shared" si="77"/>
        <v>160928.42599999998</v>
      </c>
      <c r="I44" s="55">
        <f t="shared" si="77"/>
        <v>318035.13199999998</v>
      </c>
      <c r="J44" s="55">
        <f t="shared" si="77"/>
        <v>558167.80799999996</v>
      </c>
      <c r="K44" s="55">
        <f t="shared" si="77"/>
        <v>914910.43799999997</v>
      </c>
      <c r="L44" s="55">
        <f>SUM(L41:L43)</f>
        <v>1350333.5959999999</v>
      </c>
      <c r="M44" s="175">
        <f>L44/K44-1</f>
        <v>0.47591888770209878</v>
      </c>
      <c r="N44" s="104"/>
      <c r="O44" s="55"/>
      <c r="P44" s="55">
        <f t="shared" ref="P44:U44" si="78">SUM(P41:P43)</f>
        <v>0</v>
      </c>
      <c r="Q44" s="55">
        <f t="shared" si="78"/>
        <v>0</v>
      </c>
      <c r="R44" s="55">
        <f t="shared" si="78"/>
        <v>0</v>
      </c>
      <c r="S44" s="55">
        <f t="shared" si="78"/>
        <v>0</v>
      </c>
      <c r="T44" s="55">
        <f t="shared" si="78"/>
        <v>0</v>
      </c>
      <c r="U44" s="55">
        <f t="shared" si="78"/>
        <v>0</v>
      </c>
      <c r="V44" s="55">
        <f>SUM(V41:V43)</f>
        <v>0</v>
      </c>
      <c r="W44" s="175"/>
      <c r="X44" s="55"/>
      <c r="Y44" s="55"/>
      <c r="Z44" s="55">
        <f t="shared" ref="Z44:AE44" si="79">SUM(Z41:Z43)</f>
        <v>0</v>
      </c>
      <c r="AA44" s="55">
        <f t="shared" si="79"/>
        <v>39243.351999999999</v>
      </c>
      <c r="AB44" s="55">
        <f t="shared" si="79"/>
        <v>160928.42599999998</v>
      </c>
      <c r="AC44" s="55">
        <f t="shared" si="79"/>
        <v>318035.13199999998</v>
      </c>
      <c r="AD44" s="55">
        <f t="shared" si="79"/>
        <v>558167.80799999996</v>
      </c>
      <c r="AE44" s="55">
        <f t="shared" si="79"/>
        <v>914910.43799999997</v>
      </c>
      <c r="AF44" s="55">
        <f>SUM(AF41:AF43)</f>
        <v>1350333.5959999999</v>
      </c>
      <c r="AG44" s="55"/>
      <c r="AH44" s="55"/>
      <c r="AI44" s="55">
        <f t="shared" ref="AI44:AN44" si="80">SUM(AI41:AI43)</f>
        <v>0</v>
      </c>
      <c r="AJ44" s="55">
        <f t="shared" si="80"/>
        <v>0</v>
      </c>
      <c r="AK44" s="55">
        <f t="shared" si="80"/>
        <v>0</v>
      </c>
      <c r="AL44" s="55">
        <f t="shared" si="80"/>
        <v>0</v>
      </c>
      <c r="AM44" s="55">
        <f t="shared" si="80"/>
        <v>0</v>
      </c>
      <c r="AN44" s="55">
        <f t="shared" si="80"/>
        <v>0</v>
      </c>
      <c r="AO44" s="55">
        <f>SUM(AO41:AO43)</f>
        <v>0</v>
      </c>
      <c r="AP44" s="55"/>
      <c r="AQ44" s="55"/>
      <c r="AR44" s="55">
        <f t="shared" ref="AR44:AW44" si="81">SUM(AR41:AR43)</f>
        <v>0</v>
      </c>
      <c r="AS44" s="55">
        <f t="shared" si="81"/>
        <v>39243.351999999999</v>
      </c>
      <c r="AT44" s="55">
        <f t="shared" si="81"/>
        <v>160928.42599999998</v>
      </c>
      <c r="AU44" s="55">
        <f t="shared" si="81"/>
        <v>318035.13199999998</v>
      </c>
      <c r="AV44" s="55">
        <f t="shared" si="81"/>
        <v>558167.80799999996</v>
      </c>
      <c r="AW44" s="55">
        <f t="shared" si="81"/>
        <v>914910.43799999997</v>
      </c>
      <c r="AX44" s="55">
        <f>SUM(AX41:AX43)</f>
        <v>1350333.5959999999</v>
      </c>
      <c r="AY44" s="175">
        <f>AX44/AW44-1</f>
        <v>0.47591888770209878</v>
      </c>
      <c r="AZ44" s="42"/>
      <c r="BA44" s="55"/>
      <c r="BB44" s="55">
        <f t="shared" ref="BB44:BG44" si="82">SUM(BB41:BB43)</f>
        <v>0</v>
      </c>
      <c r="BC44" s="55">
        <f t="shared" si="82"/>
        <v>0</v>
      </c>
      <c r="BD44" s="55">
        <f t="shared" si="82"/>
        <v>0</v>
      </c>
      <c r="BE44" s="55">
        <f t="shared" si="82"/>
        <v>0</v>
      </c>
      <c r="BF44" s="55">
        <f t="shared" si="82"/>
        <v>0</v>
      </c>
      <c r="BG44" s="55">
        <f t="shared" si="82"/>
        <v>0</v>
      </c>
      <c r="BH44" s="55">
        <f>SUM(BH41:BH43)</f>
        <v>0</v>
      </c>
    </row>
    <row r="45" spans="3:60" ht="13.5" thickTop="1" x14ac:dyDescent="0.3">
      <c r="C45" s="39" t="s">
        <v>61</v>
      </c>
      <c r="D45" s="109"/>
      <c r="E45" s="39"/>
      <c r="F45" s="40" t="e">
        <f t="shared" ref="F45:K45" si="83">F44/F41</f>
        <v>#DIV/0!</v>
      </c>
      <c r="G45" s="40">
        <f t="shared" si="83"/>
        <v>0.3592806172148153</v>
      </c>
      <c r="H45" s="40">
        <f t="shared" si="83"/>
        <v>0.56693666051784675</v>
      </c>
      <c r="I45" s="40">
        <f t="shared" si="83"/>
        <v>0.6153511579104185</v>
      </c>
      <c r="J45" s="40">
        <f t="shared" si="83"/>
        <v>0.58858841456111888</v>
      </c>
      <c r="K45" s="40">
        <f t="shared" si="83"/>
        <v>0.61327509676714043</v>
      </c>
      <c r="L45" s="40">
        <f>L44/L41</f>
        <v>0.59154326354865805</v>
      </c>
      <c r="M45" s="169"/>
      <c r="N45" s="104"/>
      <c r="O45" s="41"/>
      <c r="P45" s="40"/>
      <c r="Q45" s="40"/>
      <c r="R45" s="40"/>
      <c r="S45" s="40"/>
      <c r="T45" s="40"/>
      <c r="U45" s="40"/>
      <c r="V45" s="40"/>
      <c r="W45" s="169"/>
      <c r="Y45" s="41"/>
      <c r="Z45" s="40" t="e">
        <f t="shared" ref="Z45:AE45" si="84">Z44/Z41</f>
        <v>#DIV/0!</v>
      </c>
      <c r="AA45" s="40">
        <f t="shared" si="84"/>
        <v>0.3592806172148153</v>
      </c>
      <c r="AB45" s="40">
        <f t="shared" si="84"/>
        <v>0.56693666051784675</v>
      </c>
      <c r="AC45" s="40">
        <f t="shared" si="84"/>
        <v>0.6153511579104185</v>
      </c>
      <c r="AD45" s="40">
        <f t="shared" si="84"/>
        <v>0.58858841456111888</v>
      </c>
      <c r="AE45" s="40">
        <f t="shared" si="84"/>
        <v>0.61327509676714043</v>
      </c>
      <c r="AF45" s="40">
        <f>AF44/AF41</f>
        <v>0.59154326354865805</v>
      </c>
      <c r="AH45" s="41"/>
      <c r="AI45" s="40"/>
      <c r="AJ45" s="40"/>
      <c r="AK45" s="40"/>
      <c r="AL45" s="40"/>
      <c r="AM45" s="40"/>
      <c r="AN45" s="40"/>
      <c r="AO45" s="40"/>
      <c r="AQ45" s="41"/>
      <c r="AR45" s="40" t="e">
        <f t="shared" ref="AR45:AW45" si="85">AR44/AR41</f>
        <v>#DIV/0!</v>
      </c>
      <c r="AS45" s="40">
        <f t="shared" si="85"/>
        <v>0.3592806172148153</v>
      </c>
      <c r="AT45" s="40">
        <f t="shared" si="85"/>
        <v>0.56693666051784675</v>
      </c>
      <c r="AU45" s="40">
        <f t="shared" si="85"/>
        <v>0.6153511579104185</v>
      </c>
      <c r="AV45" s="40">
        <f t="shared" si="85"/>
        <v>0.58858841456111888</v>
      </c>
      <c r="AW45" s="40">
        <f t="shared" si="85"/>
        <v>0.61327509676714043</v>
      </c>
      <c r="AX45" s="40">
        <f>AX44/AX41</f>
        <v>0.59154326354865805</v>
      </c>
      <c r="AY45" s="169"/>
      <c r="BA45" s="41"/>
      <c r="BB45" s="40"/>
      <c r="BC45" s="40"/>
      <c r="BD45" s="40"/>
      <c r="BE45" s="40"/>
      <c r="BF45" s="40"/>
      <c r="BG45" s="40"/>
      <c r="BH45" s="40"/>
    </row>
    <row r="46" spans="3:60" x14ac:dyDescent="0.3">
      <c r="C46" s="36" t="s">
        <v>27</v>
      </c>
      <c r="D46" s="110">
        <v>14</v>
      </c>
      <c r="F46" s="42">
        <f>VLOOKUP($C46,Segment!$B$4:$G$71,6,0)/1000</f>
        <v>0</v>
      </c>
      <c r="G46" s="42">
        <f>VLOOKUP($C46,Segment!$B$77:$G$146,6,0)/1000</f>
        <v>-20563.814999999999</v>
      </c>
      <c r="H46" s="42">
        <f>VLOOKUP($C46,Segment!$B$152:$G$223,6,0)/1000</f>
        <v>-90519.442999999999</v>
      </c>
      <c r="I46" s="42">
        <f>VLOOKUP($C46,Segment!$B$229:$G$300,6,0)/1000</f>
        <v>-158913.927</v>
      </c>
      <c r="J46" s="42">
        <f>VLOOKUP($C46,Segment!$B$306:$G$377,6,0)/1000</f>
        <v>-287323.739</v>
      </c>
      <c r="K46" s="42">
        <f>VLOOKUP($C46,Segment!$B$383:$G$454,6,0)/1000</f>
        <v>-477674.853</v>
      </c>
      <c r="L46" s="42">
        <f>VLOOKUP($C46,Segment!$B$460:$G$531,6,0)/1000</f>
        <v>-708639.995</v>
      </c>
      <c r="M46" s="132">
        <f>L46/K46-1</f>
        <v>0.48351957518684774</v>
      </c>
      <c r="N46" s="104"/>
      <c r="P46" s="42">
        <f>VLOOKUP($C46,Segment!$B$4:$G$71,2,0)/1000</f>
        <v>0</v>
      </c>
      <c r="Q46" s="42">
        <f>VLOOKUP($C46,Segment!$B$77:$G$146,2,0)/1000</f>
        <v>0</v>
      </c>
      <c r="R46" s="42">
        <f>VLOOKUP($C46,Segment!$B$152:$G$223,2,0)/1000</f>
        <v>0</v>
      </c>
      <c r="S46" s="42">
        <f>VLOOKUP($C46,Segment!$B$229:$G$300,2,0)/1000</f>
        <v>0</v>
      </c>
      <c r="T46" s="42">
        <f>VLOOKUP($C46,Segment!$B$306:$G$377,2,0)/1000</f>
        <v>0</v>
      </c>
      <c r="U46" s="42">
        <f>VLOOKUP($C46,Segment!$B$383:$G$454,2,0)/1000</f>
        <v>0</v>
      </c>
      <c r="V46" s="42">
        <f>VLOOKUP($C46,Segment!$B$460:$G$531,2,0)/1000</f>
        <v>0</v>
      </c>
      <c r="Z46" s="42">
        <f>VLOOKUP($C46,Segment!$B$4:$G$71,3,0)/1000</f>
        <v>0</v>
      </c>
      <c r="AA46" s="42">
        <f>VLOOKUP($C46,Segment!$B$77:$G$146,3,0)/1000</f>
        <v>-20563.814999999999</v>
      </c>
      <c r="AB46" s="42">
        <f>VLOOKUP($C46,Segment!$B$152:$G$223,3,0)/1000</f>
        <v>-90519.442999999999</v>
      </c>
      <c r="AC46" s="42">
        <f>VLOOKUP($C46,Segment!$B$229:$G$300,3,0)/1000</f>
        <v>-158913.927</v>
      </c>
      <c r="AD46" s="42">
        <f>VLOOKUP($C46,Segment!$B$306:$G$377,3,0)/1000</f>
        <v>-287323.739</v>
      </c>
      <c r="AE46" s="42">
        <f>VLOOKUP($C46,Segment!$B$383:$G$454,3,0)/1000</f>
        <v>-477674.853</v>
      </c>
      <c r="AF46" s="42">
        <f>VLOOKUP($C46,Segment!$B$460:$G$531,3,0)/1000</f>
        <v>-708639.995</v>
      </c>
      <c r="AI46" s="42">
        <f>VLOOKUP($C46,Segment!$B$4:$G$71,4,0)/1000</f>
        <v>0</v>
      </c>
      <c r="AJ46" s="42">
        <f>VLOOKUP($C46,Segment!$B$77:$G$146,4,0)/1000</f>
        <v>0</v>
      </c>
      <c r="AK46" s="42">
        <f>VLOOKUP($C46,Segment!$B$152:$G$223,4,0)/1000</f>
        <v>0</v>
      </c>
      <c r="AL46" s="42">
        <f>VLOOKUP($C46,Segment!$B$229:$G$300,4,0)/1000</f>
        <v>0</v>
      </c>
      <c r="AM46" s="42">
        <f>VLOOKUP($C46,Segment!$B$306:$G$377,4,0)/1000</f>
        <v>0</v>
      </c>
      <c r="AN46" s="42">
        <f>VLOOKUP($C46,Segment!$B$383:$G$454,4,0)/1000</f>
        <v>0</v>
      </c>
      <c r="AO46" s="42">
        <f>VLOOKUP($C46,Segment!$B$460:$G$531,4,0)/1000</f>
        <v>0</v>
      </c>
      <c r="AR46" s="42">
        <f t="shared" ref="AR46:AX46" si="86">Z46+AI46</f>
        <v>0</v>
      </c>
      <c r="AS46" s="42">
        <f t="shared" si="86"/>
        <v>-20563.814999999999</v>
      </c>
      <c r="AT46" s="42">
        <f t="shared" si="86"/>
        <v>-90519.442999999999</v>
      </c>
      <c r="AU46" s="42">
        <f t="shared" si="86"/>
        <v>-158913.927</v>
      </c>
      <c r="AV46" s="42">
        <f t="shared" si="86"/>
        <v>-287323.739</v>
      </c>
      <c r="AW46" s="42">
        <f t="shared" si="86"/>
        <v>-477674.853</v>
      </c>
      <c r="AX46" s="42">
        <f t="shared" si="86"/>
        <v>-708639.995</v>
      </c>
      <c r="AY46" s="132">
        <f>AX46/AW46-1</f>
        <v>0.48351957518684774</v>
      </c>
      <c r="BB46" s="42">
        <f>VLOOKUP($C46,Segment!$B$4:$G$71,5,0)/1000</f>
        <v>0</v>
      </c>
      <c r="BC46" s="42">
        <f>VLOOKUP($C46,Segment!$B$77:$G$146,5,0)/1000</f>
        <v>0</v>
      </c>
      <c r="BD46" s="42">
        <f>VLOOKUP($C46,Segment!$B$152:$G$223,5,0)/1000</f>
        <v>0</v>
      </c>
      <c r="BE46" s="42">
        <f>VLOOKUP($C46,Segment!$B$229:$G$300,5,0)/1000</f>
        <v>0</v>
      </c>
      <c r="BF46" s="42">
        <f>VLOOKUP($C46,Segment!$B$306:$G$377,5,0)/1000</f>
        <v>0</v>
      </c>
      <c r="BG46" s="42">
        <f>VLOOKUP($C46,Segment!$B$383:$G$454,5,0)/1000</f>
        <v>0</v>
      </c>
      <c r="BH46" s="42">
        <f>VLOOKUP($C46,Segment!$B$460:$G$531,5,0)/1000</f>
        <v>0</v>
      </c>
    </row>
    <row r="47" spans="3:60" x14ac:dyDescent="0.3">
      <c r="C47" s="39" t="s">
        <v>62</v>
      </c>
      <c r="D47" s="109"/>
      <c r="E47" s="39"/>
      <c r="F47" s="40" t="e">
        <f t="shared" ref="F47:K47" si="87">-F46/F44</f>
        <v>#DIV/0!</v>
      </c>
      <c r="G47" s="40">
        <f t="shared" si="87"/>
        <v>0.52400760770894395</v>
      </c>
      <c r="H47" s="40">
        <f t="shared" si="87"/>
        <v>0.56248262193280885</v>
      </c>
      <c r="I47" s="40">
        <f t="shared" si="87"/>
        <v>0.49967412719674004</v>
      </c>
      <c r="J47" s="40">
        <f t="shared" si="87"/>
        <v>0.51476228990977568</v>
      </c>
      <c r="K47" s="40">
        <f t="shared" si="87"/>
        <v>0.52210012385933668</v>
      </c>
      <c r="L47" s="40">
        <f>-L46/L44</f>
        <v>0.52478883521757536</v>
      </c>
      <c r="M47" s="169"/>
      <c r="N47" s="104"/>
      <c r="O47" s="41"/>
      <c r="P47" s="40"/>
      <c r="Q47" s="40"/>
      <c r="R47" s="40"/>
      <c r="S47" s="40"/>
      <c r="T47" s="40"/>
      <c r="U47" s="40"/>
      <c r="V47" s="40"/>
      <c r="W47" s="169"/>
      <c r="Y47" s="41"/>
      <c r="Z47" s="40" t="e">
        <f t="shared" ref="Z47:AE47" si="88">-Z46/Z44</f>
        <v>#DIV/0!</v>
      </c>
      <c r="AA47" s="40">
        <f t="shared" si="88"/>
        <v>0.52400760770894395</v>
      </c>
      <c r="AB47" s="40">
        <f t="shared" si="88"/>
        <v>0.56248262193280885</v>
      </c>
      <c r="AC47" s="40">
        <f t="shared" si="88"/>
        <v>0.49967412719674004</v>
      </c>
      <c r="AD47" s="40">
        <f t="shared" si="88"/>
        <v>0.51476228990977568</v>
      </c>
      <c r="AE47" s="40">
        <f t="shared" si="88"/>
        <v>0.52210012385933668</v>
      </c>
      <c r="AF47" s="40">
        <f>-AF46/AF44</f>
        <v>0.52478883521757536</v>
      </c>
      <c r="AH47" s="41"/>
      <c r="AI47" s="40"/>
      <c r="AJ47" s="40"/>
      <c r="AK47" s="40"/>
      <c r="AL47" s="40"/>
      <c r="AM47" s="40"/>
      <c r="AN47" s="40"/>
      <c r="AO47" s="40"/>
      <c r="AQ47" s="41"/>
      <c r="AR47" s="40" t="e">
        <f t="shared" ref="AR47:AW47" si="89">-AR46/AR44</f>
        <v>#DIV/0!</v>
      </c>
      <c r="AS47" s="40">
        <f t="shared" si="89"/>
        <v>0.52400760770894395</v>
      </c>
      <c r="AT47" s="40">
        <f t="shared" si="89"/>
        <v>0.56248262193280885</v>
      </c>
      <c r="AU47" s="40">
        <f t="shared" si="89"/>
        <v>0.49967412719674004</v>
      </c>
      <c r="AV47" s="40">
        <f t="shared" si="89"/>
        <v>0.51476228990977568</v>
      </c>
      <c r="AW47" s="40">
        <f t="shared" si="89"/>
        <v>0.52210012385933668</v>
      </c>
      <c r="AX47" s="40">
        <f>-AX46/AX44</f>
        <v>0.52478883521757536</v>
      </c>
      <c r="AY47" s="169"/>
      <c r="BA47" s="41"/>
      <c r="BB47" s="40"/>
      <c r="BC47" s="40"/>
      <c r="BD47" s="40"/>
      <c r="BE47" s="40"/>
      <c r="BF47" s="40"/>
      <c r="BG47" s="40"/>
      <c r="BH47" s="40"/>
    </row>
    <row r="48" spans="3:60" x14ac:dyDescent="0.3">
      <c r="C48" s="36" t="s">
        <v>28</v>
      </c>
      <c r="D48" s="110">
        <v>15</v>
      </c>
      <c r="F48" s="42">
        <f>VLOOKUP($C48,Segment!$B$4:$G$71,6,0)/1000</f>
        <v>0</v>
      </c>
      <c r="G48" s="42">
        <f>VLOOKUP($C48,Segment!$B$77:$G$146,6,0)/1000</f>
        <v>-18448.684000000001</v>
      </c>
      <c r="H48" s="42">
        <f>VLOOKUP($C48,Segment!$B$152:$G$223,6,0)/1000</f>
        <v>-61773.298999999999</v>
      </c>
      <c r="I48" s="42">
        <f>VLOOKUP($C48,Segment!$B$229:$G$300,6,0)/1000</f>
        <v>-111594.99800000001</v>
      </c>
      <c r="J48" s="42">
        <f>VLOOKUP($C48,Segment!$B$306:$G$377,6,0)/1000</f>
        <v>-174934.41</v>
      </c>
      <c r="K48" s="42">
        <f>VLOOKUP($C48,Segment!$B$383:$G$454,6,0)/1000</f>
        <v>-289068.81099999999</v>
      </c>
      <c r="L48" s="42">
        <f>VLOOKUP($C48,Segment!$B$460:$G$531,6,0)/1000</f>
        <v>-465015.43</v>
      </c>
      <c r="M48" s="132">
        <f>L48/K48-1</f>
        <v>0.60866690664874268</v>
      </c>
      <c r="N48" s="104"/>
      <c r="P48" s="42">
        <f>VLOOKUP($C48,Segment!$B$4:$G$71,2,0)/1000</f>
        <v>0</v>
      </c>
      <c r="Q48" s="42">
        <f>VLOOKUP($C48,Segment!$B$77:$G$146,2,0)/1000</f>
        <v>0</v>
      </c>
      <c r="R48" s="42">
        <f>VLOOKUP($C48,Segment!$B$152:$G$223,2,0)/1000</f>
        <v>0</v>
      </c>
      <c r="S48" s="42">
        <f>VLOOKUP($C48,Segment!$B$229:$G$300,2,0)/1000</f>
        <v>0</v>
      </c>
      <c r="T48" s="42">
        <f>VLOOKUP($C48,Segment!$B$306:$G$377,2,0)/1000</f>
        <v>0</v>
      </c>
      <c r="U48" s="42">
        <f>VLOOKUP($C48,Segment!$B$383:$G$454,2,0)/1000</f>
        <v>0</v>
      </c>
      <c r="V48" s="42">
        <f>VLOOKUP($C48,Segment!$B$460:$G$531,2,0)/1000</f>
        <v>0</v>
      </c>
      <c r="Z48" s="42">
        <f>VLOOKUP($C48,Segment!$B$4:$G$71,3,0)/1000</f>
        <v>0</v>
      </c>
      <c r="AA48" s="42">
        <f>VLOOKUP($C48,Segment!$B$77:$G$146,3,0)/1000</f>
        <v>-18448.684000000001</v>
      </c>
      <c r="AB48" s="42">
        <f>VLOOKUP($C48,Segment!$B$152:$G$223,3,0)/1000</f>
        <v>-61773.298999999999</v>
      </c>
      <c r="AC48" s="42">
        <f>VLOOKUP($C48,Segment!$B$229:$G$300,3,0)/1000</f>
        <v>-111594.99800000001</v>
      </c>
      <c r="AD48" s="42">
        <f>VLOOKUP($C48,Segment!$B$306:$G$377,3,0)/1000</f>
        <v>-174934.41</v>
      </c>
      <c r="AE48" s="42">
        <f>VLOOKUP($C48,Segment!$B$383:$G$454,3,0)/1000</f>
        <v>-289068.81099999999</v>
      </c>
      <c r="AF48" s="42">
        <f>VLOOKUP($C48,Segment!$B$460:$G$531,3,0)/1000</f>
        <v>-465015.43</v>
      </c>
      <c r="AI48" s="42">
        <f>VLOOKUP($C48,Segment!$B$4:$G$71,4,0)/1000</f>
        <v>0</v>
      </c>
      <c r="AJ48" s="42">
        <f>VLOOKUP($C48,Segment!$B$77:$G$146,4,0)/1000</f>
        <v>0</v>
      </c>
      <c r="AK48" s="42">
        <f>VLOOKUP($C48,Segment!$B$152:$G$223,4,0)/1000</f>
        <v>0</v>
      </c>
      <c r="AL48" s="42">
        <f>VLOOKUP($C48,Segment!$B$229:$G$300,4,0)/1000</f>
        <v>0</v>
      </c>
      <c r="AM48" s="42">
        <f>VLOOKUP($C48,Segment!$B$306:$G$377,4,0)/1000</f>
        <v>0</v>
      </c>
      <c r="AN48" s="42">
        <f>VLOOKUP($C48,Segment!$B$383:$G$454,4,0)/1000</f>
        <v>0</v>
      </c>
      <c r="AO48" s="42">
        <f>VLOOKUP($C48,Segment!$B$460:$G$531,4,0)/1000</f>
        <v>0</v>
      </c>
      <c r="AR48" s="42">
        <f t="shared" ref="AR48:AX48" si="90">Z48+AI48</f>
        <v>0</v>
      </c>
      <c r="AS48" s="42">
        <f t="shared" si="90"/>
        <v>-18448.684000000001</v>
      </c>
      <c r="AT48" s="42">
        <f t="shared" si="90"/>
        <v>-61773.298999999999</v>
      </c>
      <c r="AU48" s="42">
        <f t="shared" si="90"/>
        <v>-111594.99800000001</v>
      </c>
      <c r="AV48" s="42">
        <f t="shared" si="90"/>
        <v>-174934.41</v>
      </c>
      <c r="AW48" s="42">
        <f t="shared" si="90"/>
        <v>-289068.81099999999</v>
      </c>
      <c r="AX48" s="42">
        <f t="shared" si="90"/>
        <v>-465015.43</v>
      </c>
      <c r="AY48" s="132">
        <f>AX48/AW48-1</f>
        <v>0.60866690664874268</v>
      </c>
      <c r="BB48" s="42">
        <f>VLOOKUP($C48,Segment!$B$4:$G$71,5,0)/1000</f>
        <v>0</v>
      </c>
      <c r="BC48" s="42">
        <f>VLOOKUP($C48,Segment!$B$77:$G$146,5,0)/1000</f>
        <v>0</v>
      </c>
      <c r="BD48" s="42">
        <f>VLOOKUP($C48,Segment!$B$152:$G$223,5,0)/1000</f>
        <v>0</v>
      </c>
      <c r="BE48" s="42">
        <f>VLOOKUP($C48,Segment!$B$229:$G$300,5,0)/1000</f>
        <v>0</v>
      </c>
      <c r="BF48" s="42">
        <f>VLOOKUP($C48,Segment!$B$306:$G$377,5,0)/1000</f>
        <v>0</v>
      </c>
      <c r="BG48" s="42">
        <f>VLOOKUP($C48,Segment!$B$383:$G$454,5,0)/1000</f>
        <v>0</v>
      </c>
      <c r="BH48" s="42">
        <f>VLOOKUP($C48,Segment!$B$460:$G$531,5,0)/1000</f>
        <v>0</v>
      </c>
    </row>
    <row r="49" spans="3:60" x14ac:dyDescent="0.3">
      <c r="C49" s="39" t="s">
        <v>63</v>
      </c>
      <c r="D49" s="109"/>
      <c r="E49" s="39"/>
      <c r="F49" s="40" t="e">
        <f t="shared" ref="F49:K49" si="91">-F48/F44</f>
        <v>#DIV/0!</v>
      </c>
      <c r="G49" s="40">
        <f t="shared" si="91"/>
        <v>0.47010979082520782</v>
      </c>
      <c r="H49" s="40">
        <f t="shared" si="91"/>
        <v>0.38385573347992608</v>
      </c>
      <c r="I49" s="40">
        <f t="shared" si="91"/>
        <v>0.35088890116705729</v>
      </c>
      <c r="J49" s="40">
        <f t="shared" si="91"/>
        <v>0.31340827524040943</v>
      </c>
      <c r="K49" s="40">
        <f t="shared" si="91"/>
        <v>0.31595312392752478</v>
      </c>
      <c r="L49" s="40">
        <f>-L48/L44</f>
        <v>0.34437077724903176</v>
      </c>
      <c r="M49" s="169"/>
      <c r="N49" s="104"/>
      <c r="O49" s="41"/>
      <c r="P49" s="40"/>
      <c r="Q49" s="40"/>
      <c r="R49" s="40"/>
      <c r="S49" s="40"/>
      <c r="T49" s="40"/>
      <c r="U49" s="40"/>
      <c r="V49" s="40"/>
      <c r="W49" s="169"/>
      <c r="Y49" s="41"/>
      <c r="Z49" s="40" t="e">
        <f t="shared" ref="Z49:AE49" si="92">-Z48/Z44</f>
        <v>#DIV/0!</v>
      </c>
      <c r="AA49" s="40">
        <f t="shared" si="92"/>
        <v>0.47010979082520782</v>
      </c>
      <c r="AB49" s="40">
        <f t="shared" si="92"/>
        <v>0.38385573347992608</v>
      </c>
      <c r="AC49" s="40">
        <f t="shared" si="92"/>
        <v>0.35088890116705729</v>
      </c>
      <c r="AD49" s="40">
        <f t="shared" si="92"/>
        <v>0.31340827524040943</v>
      </c>
      <c r="AE49" s="40">
        <f t="shared" si="92"/>
        <v>0.31595312392752478</v>
      </c>
      <c r="AF49" s="40">
        <f>-AF48/AF44</f>
        <v>0.34437077724903176</v>
      </c>
      <c r="AH49" s="41"/>
      <c r="AI49" s="40"/>
      <c r="AJ49" s="40"/>
      <c r="AK49" s="40"/>
      <c r="AL49" s="40"/>
      <c r="AM49" s="40"/>
      <c r="AN49" s="40"/>
      <c r="AO49" s="40"/>
      <c r="AQ49" s="41"/>
      <c r="AR49" s="40" t="e">
        <f t="shared" ref="AR49:AW49" si="93">-AR48/AR44</f>
        <v>#DIV/0!</v>
      </c>
      <c r="AS49" s="40">
        <f t="shared" si="93"/>
        <v>0.47010979082520782</v>
      </c>
      <c r="AT49" s="40">
        <f t="shared" si="93"/>
        <v>0.38385573347992608</v>
      </c>
      <c r="AU49" s="40">
        <f t="shared" si="93"/>
        <v>0.35088890116705729</v>
      </c>
      <c r="AV49" s="40">
        <f t="shared" si="93"/>
        <v>0.31340827524040943</v>
      </c>
      <c r="AW49" s="40">
        <f t="shared" si="93"/>
        <v>0.31595312392752478</v>
      </c>
      <c r="AX49" s="40">
        <f>-AX48/AX44</f>
        <v>0.34437077724903176</v>
      </c>
      <c r="AY49" s="169"/>
      <c r="BA49" s="41"/>
      <c r="BB49" s="40"/>
      <c r="BC49" s="40"/>
      <c r="BD49" s="40"/>
      <c r="BE49" s="40"/>
      <c r="BF49" s="40"/>
      <c r="BG49" s="40"/>
      <c r="BH49" s="40"/>
    </row>
    <row r="50" spans="3:60" x14ac:dyDescent="0.3">
      <c r="C50" s="36" t="s">
        <v>29</v>
      </c>
      <c r="F50" s="42">
        <f>VLOOKUP($C50,Segment!$B$4:$G$71,6,0)/1000</f>
        <v>0</v>
      </c>
      <c r="G50" s="42">
        <f>VLOOKUP($C50,Segment!$B$77:$G$146,6,0)/1000</f>
        <v>2377.7469999999998</v>
      </c>
      <c r="H50" s="42">
        <f>VLOOKUP($C50,Segment!$B$152:$G$223,6,0)/1000</f>
        <v>4617.9520000000002</v>
      </c>
      <c r="I50" s="42">
        <f>VLOOKUP($C50,Segment!$B$229:$G$300,6,0)/1000</f>
        <v>7015.7169999999996</v>
      </c>
      <c r="J50" s="42">
        <f>VLOOKUP($C50,Segment!$B$306:$G$377,6,0)/1000</f>
        <v>9573.4439999999995</v>
      </c>
      <c r="K50" s="42">
        <f>VLOOKUP($C50,Segment!$B$383:$G$454,6,0)/1000</f>
        <v>9636.8979999999992</v>
      </c>
      <c r="L50" s="42">
        <f>VLOOKUP($C50,Segment!$B$460:$G$531,6,0)/1000</f>
        <v>11865.681</v>
      </c>
      <c r="M50" s="132">
        <f>L50/K50-1</f>
        <v>0.23127597697931446</v>
      </c>
      <c r="N50" s="104"/>
      <c r="P50" s="42">
        <f>VLOOKUP($C50,Segment!$B$4:$G$71,2,0)/1000</f>
        <v>0</v>
      </c>
      <c r="Q50" s="42">
        <f>VLOOKUP($C50,Segment!$B$77:$G$146,2,0)/1000</f>
        <v>0</v>
      </c>
      <c r="R50" s="42">
        <f>VLOOKUP($C50,Segment!$B$152:$G$223,2,0)/1000</f>
        <v>0</v>
      </c>
      <c r="S50" s="42">
        <f>VLOOKUP($C50,Segment!$B$229:$G$300,2,0)/1000</f>
        <v>0</v>
      </c>
      <c r="T50" s="42">
        <f>VLOOKUP($C50,Segment!$B$306:$G$377,2,0)/1000</f>
        <v>0</v>
      </c>
      <c r="U50" s="42">
        <f>VLOOKUP($C50,Segment!$B$383:$G$454,2,0)/1000</f>
        <v>0</v>
      </c>
      <c r="V50" s="42">
        <f>VLOOKUP($C50,Segment!$B$460:$G$531,2,0)/1000</f>
        <v>0</v>
      </c>
      <c r="Z50" s="42">
        <f>VLOOKUP($C50,Segment!$B$4:$G$71,3,0)/1000</f>
        <v>0</v>
      </c>
      <c r="AA50" s="42">
        <f>VLOOKUP($C50,Segment!$B$77:$G$146,3,0)/1000</f>
        <v>2377.7469999999998</v>
      </c>
      <c r="AB50" s="42">
        <f>VLOOKUP($C50,Segment!$B$152:$G$223,3,0)/1000</f>
        <v>4617.9520000000002</v>
      </c>
      <c r="AC50" s="42">
        <f>VLOOKUP($C50,Segment!$B$229:$G$300,3,0)/1000</f>
        <v>7015.7169999999996</v>
      </c>
      <c r="AD50" s="42">
        <f>VLOOKUP($C50,Segment!$B$306:$G$377,3,0)/1000</f>
        <v>9573.4439999999995</v>
      </c>
      <c r="AE50" s="42">
        <f>VLOOKUP($C50,Segment!$B$383:$G$454,3,0)/1000</f>
        <v>9636.8979999999992</v>
      </c>
      <c r="AF50" s="42">
        <f>VLOOKUP($C50,Segment!$B$460:$G$531,3,0)/1000</f>
        <v>11865.681</v>
      </c>
      <c r="AI50" s="42">
        <f>VLOOKUP($C50,Segment!$B$4:$G$71,4,0)/1000</f>
        <v>0</v>
      </c>
      <c r="AJ50" s="42">
        <f>VLOOKUP($C50,Segment!$B$77:$G$146,4,0)/1000</f>
        <v>0</v>
      </c>
      <c r="AK50" s="42">
        <f>VLOOKUP($C50,Segment!$B$152:$G$223,4,0)/1000</f>
        <v>0</v>
      </c>
      <c r="AL50" s="42">
        <f>VLOOKUP($C50,Segment!$B$229:$G$300,4,0)/1000</f>
        <v>0</v>
      </c>
      <c r="AM50" s="42">
        <f>VLOOKUP($C50,Segment!$B$306:$G$377,4,0)/1000</f>
        <v>0</v>
      </c>
      <c r="AN50" s="42">
        <f>VLOOKUP($C50,Segment!$B$383:$G$454,4,0)/1000</f>
        <v>0</v>
      </c>
      <c r="AO50" s="42">
        <f>VLOOKUP($C50,Segment!$B$460:$G$531,4,0)/1000</f>
        <v>0</v>
      </c>
      <c r="AR50" s="42">
        <f t="shared" ref="AR50:AX51" si="94">Z50+AI50</f>
        <v>0</v>
      </c>
      <c r="AS50" s="42">
        <f t="shared" si="94"/>
        <v>2377.7469999999998</v>
      </c>
      <c r="AT50" s="42">
        <f t="shared" si="94"/>
        <v>4617.9520000000002</v>
      </c>
      <c r="AU50" s="42">
        <f t="shared" si="94"/>
        <v>7015.7169999999996</v>
      </c>
      <c r="AV50" s="42">
        <f t="shared" si="94"/>
        <v>9573.4439999999995</v>
      </c>
      <c r="AW50" s="42">
        <f t="shared" si="94"/>
        <v>9636.8979999999992</v>
      </c>
      <c r="AX50" s="42">
        <f t="shared" si="94"/>
        <v>11865.681</v>
      </c>
      <c r="AY50" s="132">
        <f>AX50/AW50-1</f>
        <v>0.23127597697931446</v>
      </c>
      <c r="BB50" s="42">
        <f>VLOOKUP($C50,Segment!$B$4:$G$71,5,0)/1000</f>
        <v>0</v>
      </c>
      <c r="BC50" s="42">
        <f>VLOOKUP($C50,Segment!$B$77:$G$146,5,0)/1000</f>
        <v>0</v>
      </c>
      <c r="BD50" s="42">
        <f>VLOOKUP($C50,Segment!$B$152:$G$223,5,0)/1000</f>
        <v>0</v>
      </c>
      <c r="BE50" s="42">
        <f>VLOOKUP($C50,Segment!$B$229:$G$300,5,0)/1000</f>
        <v>0</v>
      </c>
      <c r="BF50" s="42">
        <f>VLOOKUP($C50,Segment!$B$306:$G$377,5,0)/1000</f>
        <v>0</v>
      </c>
      <c r="BG50" s="42">
        <f>VLOOKUP($C50,Segment!$B$383:$G$454,5,0)/1000</f>
        <v>0</v>
      </c>
      <c r="BH50" s="42">
        <f>VLOOKUP($C50,Segment!$B$460:$G$531,5,0)/1000</f>
        <v>0</v>
      </c>
    </row>
    <row r="51" spans="3:60" x14ac:dyDescent="0.3">
      <c r="C51" s="36" t="s">
        <v>30</v>
      </c>
      <c r="F51" s="42">
        <f>VLOOKUP($C51,Segment!$B$4:$G$71,6,0)/1000</f>
        <v>0</v>
      </c>
      <c r="G51" s="42">
        <f>VLOOKUP($C51,Segment!$B$77:$G$146,6,0)/1000</f>
        <v>0</v>
      </c>
      <c r="H51" s="42">
        <f>VLOOKUP($C51,Segment!$B$152:$G$223,6,0)/1000</f>
        <v>-1639.6949999999999</v>
      </c>
      <c r="I51" s="42">
        <f>VLOOKUP($C51,Segment!$B$229:$G$300,6,0)/1000</f>
        <v>-2279.942</v>
      </c>
      <c r="J51" s="42">
        <f>VLOOKUP($C51,Segment!$B$306:$G$377,6,0)/1000</f>
        <v>-8685.4639999999999</v>
      </c>
      <c r="K51" s="42">
        <f>VLOOKUP($C51,Segment!$B$383:$G$454,6,0)/1000</f>
        <v>-8061.2669999999998</v>
      </c>
      <c r="L51" s="42">
        <f>VLOOKUP($C51,Segment!$B$460:$G$531,6,0)/1000</f>
        <v>-9176.1020000000008</v>
      </c>
      <c r="M51" s="132">
        <f>L51/K51-1</f>
        <v>0.13829525805310761</v>
      </c>
      <c r="N51" s="104"/>
      <c r="P51" s="42">
        <f>VLOOKUP($C51,Segment!$B$4:$G$71,2,0)/1000</f>
        <v>0</v>
      </c>
      <c r="Q51" s="42">
        <f>VLOOKUP($C51,Segment!$B$77:$G$146,2,0)/1000</f>
        <v>0</v>
      </c>
      <c r="R51" s="42">
        <f>VLOOKUP($C51,Segment!$B$152:$G$223,2,0)/1000</f>
        <v>0</v>
      </c>
      <c r="S51" s="42">
        <f>VLOOKUP($C51,Segment!$B$229:$G$300,2,0)/1000</f>
        <v>0</v>
      </c>
      <c r="T51" s="42">
        <f>VLOOKUP($C51,Segment!$B$306:$G$377,2,0)/1000</f>
        <v>0</v>
      </c>
      <c r="U51" s="42">
        <f>VLOOKUP($C51,Segment!$B$383:$G$454,2,0)/1000</f>
        <v>0</v>
      </c>
      <c r="V51" s="42">
        <f>VLOOKUP($C51,Segment!$B$460:$G$531,2,0)/1000</f>
        <v>0</v>
      </c>
      <c r="Z51" s="42">
        <f>VLOOKUP($C51,Segment!$B$4:$G$71,3,0)/1000</f>
        <v>0</v>
      </c>
      <c r="AA51" s="42">
        <f>VLOOKUP($C51,Segment!$B$77:$G$146,3,0)/1000</f>
        <v>0</v>
      </c>
      <c r="AB51" s="42">
        <f>VLOOKUP($C51,Segment!$B$152:$G$223,3,0)/1000</f>
        <v>-1639.6949999999999</v>
      </c>
      <c r="AC51" s="42">
        <f>VLOOKUP($C51,Segment!$B$229:$G$300,3,0)/1000</f>
        <v>-2279.942</v>
      </c>
      <c r="AD51" s="42">
        <f>VLOOKUP($C51,Segment!$B$306:$G$377,3,0)/1000</f>
        <v>-8685.4639999999999</v>
      </c>
      <c r="AE51" s="42">
        <f>VLOOKUP($C51,Segment!$B$383:$G$454,3,0)/1000</f>
        <v>-8061.2669999999998</v>
      </c>
      <c r="AF51" s="42">
        <f>VLOOKUP($C51,Segment!$B$460:$G$531,3,0)/1000</f>
        <v>-9176.1020000000008</v>
      </c>
      <c r="AI51" s="42">
        <f>VLOOKUP($C51,Segment!$B$4:$G$71,4,0)/1000</f>
        <v>0</v>
      </c>
      <c r="AJ51" s="42">
        <f>VLOOKUP($C51,Segment!$B$77:$G$146,4,0)/1000</f>
        <v>0</v>
      </c>
      <c r="AK51" s="42">
        <f>VLOOKUP($C51,Segment!$B$152:$G$223,4,0)/1000</f>
        <v>0</v>
      </c>
      <c r="AL51" s="42">
        <f>VLOOKUP($C51,Segment!$B$229:$G$300,4,0)/1000</f>
        <v>0</v>
      </c>
      <c r="AM51" s="42">
        <f>VLOOKUP($C51,Segment!$B$306:$G$377,4,0)/1000</f>
        <v>0</v>
      </c>
      <c r="AN51" s="42">
        <f>VLOOKUP($C51,Segment!$B$383:$G$454,4,0)/1000</f>
        <v>0</v>
      </c>
      <c r="AO51" s="42">
        <f>VLOOKUP($C51,Segment!$B$460:$G$531,4,0)/1000</f>
        <v>0</v>
      </c>
      <c r="AR51" s="42">
        <f t="shared" si="94"/>
        <v>0</v>
      </c>
      <c r="AS51" s="42">
        <f t="shared" si="94"/>
        <v>0</v>
      </c>
      <c r="AT51" s="42">
        <f t="shared" si="94"/>
        <v>-1639.6949999999999</v>
      </c>
      <c r="AU51" s="42">
        <f t="shared" si="94"/>
        <v>-2279.942</v>
      </c>
      <c r="AV51" s="42">
        <f t="shared" si="94"/>
        <v>-8685.4639999999999</v>
      </c>
      <c r="AW51" s="42">
        <f t="shared" si="94"/>
        <v>-8061.2669999999998</v>
      </c>
      <c r="AX51" s="42">
        <f t="shared" si="94"/>
        <v>-9176.1020000000008</v>
      </c>
      <c r="AY51" s="132">
        <f>AX51/AW51-1</f>
        <v>0.13829525805310761</v>
      </c>
      <c r="BB51" s="42">
        <f>VLOOKUP($C51,Segment!$B$4:$G$71,5,0)/1000</f>
        <v>0</v>
      </c>
      <c r="BC51" s="42">
        <f>VLOOKUP($C51,Segment!$B$77:$G$146,5,0)/1000</f>
        <v>0</v>
      </c>
      <c r="BD51" s="42">
        <f>VLOOKUP($C51,Segment!$B$152:$G$223,5,0)/1000</f>
        <v>0</v>
      </c>
      <c r="BE51" s="42">
        <f>VLOOKUP($C51,Segment!$B$229:$G$300,5,0)/1000</f>
        <v>0</v>
      </c>
      <c r="BF51" s="42">
        <f>VLOOKUP($C51,Segment!$B$306:$G$377,5,0)/1000</f>
        <v>0</v>
      </c>
      <c r="BG51" s="42">
        <f>VLOOKUP($C51,Segment!$B$383:$G$454,5,0)/1000</f>
        <v>0</v>
      </c>
      <c r="BH51" s="42">
        <f>VLOOKUP($C51,Segment!$B$460:$G$531,5,0)/1000</f>
        <v>0</v>
      </c>
    </row>
    <row r="52" spans="3:60" x14ac:dyDescent="0.3">
      <c r="C52" s="39" t="s">
        <v>71</v>
      </c>
      <c r="D52" s="109"/>
      <c r="E52" s="39"/>
      <c r="F52" s="40"/>
      <c r="G52" s="40"/>
      <c r="H52" s="40"/>
      <c r="I52" s="40"/>
      <c r="J52" s="40"/>
      <c r="K52" s="40"/>
      <c r="L52" s="40"/>
      <c r="M52" s="169"/>
      <c r="N52" s="104"/>
      <c r="O52" s="41"/>
      <c r="P52" s="40"/>
      <c r="Q52" s="40"/>
      <c r="R52" s="40"/>
      <c r="S52" s="40"/>
      <c r="T52" s="40"/>
      <c r="U52" s="40"/>
      <c r="V52" s="40"/>
      <c r="W52" s="169"/>
      <c r="Y52" s="41"/>
      <c r="Z52" s="40" t="e">
        <f t="shared" ref="Z52:AE52" si="95">-(Z50+Z51+Z72+Z73)/Z44</f>
        <v>#DIV/0!</v>
      </c>
      <c r="AA52" s="40">
        <f t="shared" si="95"/>
        <v>0.5359911151320611</v>
      </c>
      <c r="AB52" s="40">
        <f t="shared" si="95"/>
        <v>0.24555283974504297</v>
      </c>
      <c r="AC52" s="40">
        <f t="shared" si="95"/>
        <v>0.16018998806710447</v>
      </c>
      <c r="AD52" s="40">
        <f t="shared" si="95"/>
        <v>0.13356224047947962</v>
      </c>
      <c r="AE52" s="40">
        <f t="shared" si="95"/>
        <v>0.11231544611583064</v>
      </c>
      <c r="AF52" s="40">
        <f>-(AF50+AF51+AF72+AF73)/AF44</f>
        <v>0.10838368491573841</v>
      </c>
      <c r="AH52" s="41"/>
      <c r="AI52" s="40"/>
      <c r="AJ52" s="40"/>
      <c r="AK52" s="40"/>
      <c r="AL52" s="40"/>
      <c r="AM52" s="40"/>
      <c r="AN52" s="40"/>
      <c r="AO52" s="40"/>
      <c r="AQ52" s="41"/>
      <c r="AR52" s="40"/>
      <c r="AS52" s="40"/>
      <c r="AT52" s="40"/>
      <c r="AU52" s="40"/>
      <c r="AV52" s="40"/>
      <c r="AW52" s="40"/>
      <c r="AX52" s="40"/>
      <c r="AY52" s="169"/>
      <c r="BA52" s="41"/>
      <c r="BB52" s="40"/>
      <c r="BC52" s="40"/>
      <c r="BD52" s="40"/>
      <c r="BE52" s="40"/>
      <c r="BF52" s="40"/>
      <c r="BG52" s="40"/>
      <c r="BH52" s="40"/>
    </row>
    <row r="53" spans="3:60" x14ac:dyDescent="0.3">
      <c r="C53" s="43" t="s">
        <v>90</v>
      </c>
      <c r="D53" s="111"/>
      <c r="E53" s="43"/>
      <c r="F53" s="44">
        <f t="shared" ref="F53:K53" si="96">F44+F46+F48+F50+F51</f>
        <v>0</v>
      </c>
      <c r="G53" s="44">
        <f t="shared" si="96"/>
        <v>2608.599999999999</v>
      </c>
      <c r="H53" s="44">
        <f t="shared" si="96"/>
        <v>11613.940999999981</v>
      </c>
      <c r="I53" s="44">
        <f t="shared" si="96"/>
        <v>52261.981999999975</v>
      </c>
      <c r="J53" s="44">
        <f t="shared" si="96"/>
        <v>96797.638999999966</v>
      </c>
      <c r="K53" s="44">
        <f t="shared" si="96"/>
        <v>149742.40499999997</v>
      </c>
      <c r="L53" s="44">
        <f>L44+L46+L48+L50+L51</f>
        <v>179367.74999999991</v>
      </c>
      <c r="M53" s="170">
        <f>L53/K53-1</f>
        <v>0.19784205415960798</v>
      </c>
      <c r="N53" s="104"/>
      <c r="O53" s="44"/>
      <c r="P53" s="44">
        <f t="shared" ref="P53:U53" si="97">P44+P46+P48+P50+P51</f>
        <v>0</v>
      </c>
      <c r="Q53" s="44">
        <f t="shared" si="97"/>
        <v>0</v>
      </c>
      <c r="R53" s="44">
        <f t="shared" si="97"/>
        <v>0</v>
      </c>
      <c r="S53" s="44">
        <f t="shared" si="97"/>
        <v>0</v>
      </c>
      <c r="T53" s="44">
        <f t="shared" si="97"/>
        <v>0</v>
      </c>
      <c r="U53" s="44">
        <f t="shared" si="97"/>
        <v>0</v>
      </c>
      <c r="V53" s="44">
        <f>V44+V46+V48+V50+V51</f>
        <v>0</v>
      </c>
      <c r="W53" s="170"/>
      <c r="X53" s="44"/>
      <c r="Y53" s="44"/>
      <c r="Z53" s="44">
        <f t="shared" ref="Z53:AE53" si="98">Z44+Z46+Z48+Z50+Z51</f>
        <v>0</v>
      </c>
      <c r="AA53" s="44">
        <f t="shared" si="98"/>
        <v>2608.599999999999</v>
      </c>
      <c r="AB53" s="44">
        <f t="shared" si="98"/>
        <v>11613.940999999981</v>
      </c>
      <c r="AC53" s="44">
        <f t="shared" si="98"/>
        <v>52261.981999999975</v>
      </c>
      <c r="AD53" s="44">
        <f t="shared" si="98"/>
        <v>96797.638999999966</v>
      </c>
      <c r="AE53" s="44">
        <f t="shared" si="98"/>
        <v>149742.40499999997</v>
      </c>
      <c r="AF53" s="44">
        <f>AF44+AF46+AF48+AF50+AF51</f>
        <v>179367.74999999991</v>
      </c>
      <c r="AG53" s="44"/>
      <c r="AH53" s="44"/>
      <c r="AI53" s="44">
        <f t="shared" ref="AI53:AN53" si="99">AI44+AI46+AI48+AI50+AI51</f>
        <v>0</v>
      </c>
      <c r="AJ53" s="44">
        <f t="shared" si="99"/>
        <v>0</v>
      </c>
      <c r="AK53" s="44">
        <f t="shared" si="99"/>
        <v>0</v>
      </c>
      <c r="AL53" s="44">
        <f t="shared" si="99"/>
        <v>0</v>
      </c>
      <c r="AM53" s="44">
        <f t="shared" si="99"/>
        <v>0</v>
      </c>
      <c r="AN53" s="44">
        <f t="shared" si="99"/>
        <v>0</v>
      </c>
      <c r="AO53" s="44">
        <f>AO44+AO46+AO48+AO50+AO51</f>
        <v>0</v>
      </c>
      <c r="AP53" s="44"/>
      <c r="AQ53" s="44"/>
      <c r="AR53" s="44">
        <f t="shared" ref="AR53:AW53" si="100">AR44+AR46+AR48+AR50+AR51</f>
        <v>0</v>
      </c>
      <c r="AS53" s="44">
        <f t="shared" si="100"/>
        <v>2608.599999999999</v>
      </c>
      <c r="AT53" s="44">
        <f t="shared" si="100"/>
        <v>11613.940999999981</v>
      </c>
      <c r="AU53" s="44">
        <f t="shared" si="100"/>
        <v>52261.981999999975</v>
      </c>
      <c r="AV53" s="44">
        <f t="shared" si="100"/>
        <v>96797.638999999966</v>
      </c>
      <c r="AW53" s="44">
        <f t="shared" si="100"/>
        <v>149742.40499999997</v>
      </c>
      <c r="AX53" s="44">
        <f>AX44+AX46+AX48+AX50+AX51</f>
        <v>179367.74999999991</v>
      </c>
      <c r="AY53" s="170">
        <f>AX53/AW53-1</f>
        <v>0.19784205415960798</v>
      </c>
      <c r="AZ53" s="49"/>
      <c r="BA53" s="44"/>
      <c r="BB53" s="44">
        <f t="shared" ref="BB53:BG53" si="101">BB44+BB46+BB48+BB50+BB51</f>
        <v>0</v>
      </c>
      <c r="BC53" s="44">
        <f t="shared" si="101"/>
        <v>0</v>
      </c>
      <c r="BD53" s="44">
        <f t="shared" si="101"/>
        <v>0</v>
      </c>
      <c r="BE53" s="44">
        <f t="shared" si="101"/>
        <v>0</v>
      </c>
      <c r="BF53" s="44">
        <f t="shared" si="101"/>
        <v>0</v>
      </c>
      <c r="BG53" s="44">
        <f t="shared" si="101"/>
        <v>0</v>
      </c>
      <c r="BH53" s="44">
        <f>BH44+BH46+BH48+BH50+BH51</f>
        <v>0</v>
      </c>
    </row>
    <row r="54" spans="3:60" x14ac:dyDescent="0.3">
      <c r="C54" s="39" t="s">
        <v>72</v>
      </c>
      <c r="D54" s="109"/>
      <c r="E54" s="39"/>
      <c r="F54" s="40"/>
      <c r="G54" s="40"/>
      <c r="H54" s="40"/>
      <c r="I54" s="40"/>
      <c r="J54" s="40"/>
      <c r="K54" s="40"/>
      <c r="L54" s="40"/>
      <c r="M54" s="169"/>
      <c r="N54" s="104"/>
      <c r="O54" s="41"/>
      <c r="P54" s="40"/>
      <c r="Q54" s="40"/>
      <c r="R54" s="40"/>
      <c r="S54" s="40"/>
      <c r="T54" s="40"/>
      <c r="U54" s="40"/>
      <c r="V54" s="40"/>
      <c r="W54" s="169"/>
      <c r="Y54" s="41"/>
      <c r="Z54" s="40" t="e">
        <f t="shared" ref="Z54:AE54" si="102">Z47+Z49+Z52</f>
        <v>#DIV/0!</v>
      </c>
      <c r="AA54" s="40">
        <f t="shared" si="102"/>
        <v>1.5301085136662129</v>
      </c>
      <c r="AB54" s="40">
        <f t="shared" si="102"/>
        <v>1.191891195157778</v>
      </c>
      <c r="AC54" s="40">
        <f t="shared" si="102"/>
        <v>1.0107530164309018</v>
      </c>
      <c r="AD54" s="40">
        <f t="shared" si="102"/>
        <v>0.96173280562966479</v>
      </c>
      <c r="AE54" s="40">
        <f t="shared" si="102"/>
        <v>0.95036869390269207</v>
      </c>
      <c r="AF54" s="40">
        <f>AF47+AF49+AF52</f>
        <v>0.97754329738234547</v>
      </c>
      <c r="AH54" s="41"/>
      <c r="AI54" s="40"/>
      <c r="AJ54" s="40"/>
      <c r="AK54" s="40"/>
      <c r="AL54" s="40"/>
      <c r="AM54" s="40"/>
      <c r="AN54" s="40"/>
      <c r="AO54" s="40"/>
      <c r="AQ54" s="41"/>
      <c r="AR54" s="40"/>
      <c r="AS54" s="40"/>
      <c r="AT54" s="40"/>
      <c r="AU54" s="40"/>
      <c r="AV54" s="40"/>
      <c r="AW54" s="40"/>
      <c r="AX54" s="40"/>
      <c r="AY54" s="169"/>
      <c r="BA54" s="41"/>
      <c r="BB54" s="40"/>
      <c r="BC54" s="40"/>
      <c r="BD54" s="40"/>
      <c r="BE54" s="40"/>
      <c r="BF54" s="40"/>
      <c r="BG54" s="40"/>
      <c r="BH54" s="40"/>
    </row>
    <row r="55" spans="3:60" x14ac:dyDescent="0.3">
      <c r="C55" s="45"/>
      <c r="D55" s="112"/>
      <c r="E55" s="45"/>
      <c r="F55" s="45"/>
      <c r="G55" s="45"/>
      <c r="H55" s="45"/>
      <c r="I55" s="45"/>
      <c r="J55" s="45"/>
      <c r="K55" s="45"/>
      <c r="L55" s="45"/>
      <c r="M55" s="172"/>
      <c r="N55" s="104"/>
      <c r="O55" s="45"/>
      <c r="P55" s="45"/>
      <c r="Q55" s="45"/>
      <c r="R55" s="45"/>
      <c r="S55" s="45"/>
      <c r="T55" s="45"/>
      <c r="U55" s="45"/>
      <c r="V55" s="45"/>
      <c r="W55" s="172"/>
      <c r="Y55" s="45"/>
      <c r="Z55" s="45"/>
      <c r="AA55" s="45"/>
      <c r="AB55" s="45"/>
      <c r="AC55" s="166"/>
      <c r="AD55" s="166"/>
      <c r="AE55" s="166"/>
      <c r="AF55" s="166"/>
      <c r="AH55" s="45"/>
      <c r="AI55" s="45"/>
      <c r="AJ55" s="45"/>
      <c r="AK55" s="45"/>
      <c r="AL55" s="45"/>
      <c r="AM55" s="45"/>
      <c r="AN55" s="45"/>
      <c r="AO55" s="45"/>
      <c r="AQ55" s="45"/>
      <c r="AR55" s="45"/>
      <c r="AS55" s="45"/>
      <c r="AT55" s="45"/>
      <c r="AU55" s="45"/>
      <c r="AV55" s="45"/>
      <c r="AW55" s="45"/>
      <c r="AX55" s="45"/>
      <c r="AY55" s="172"/>
      <c r="BA55" s="45"/>
      <c r="BB55" s="45"/>
      <c r="BC55" s="45"/>
      <c r="BD55" s="45"/>
      <c r="BE55" s="45"/>
      <c r="BF55" s="45"/>
      <c r="BG55" s="45"/>
      <c r="BH55" s="45"/>
    </row>
    <row r="56" spans="3:60" x14ac:dyDescent="0.3">
      <c r="C56" s="46" t="s">
        <v>89</v>
      </c>
      <c r="D56" s="113"/>
      <c r="E56" s="46"/>
      <c r="F56" s="47">
        <f>VLOOKUP($C56,Segment!$B$4:$G$71,6,0)/1000</f>
        <v>11341.252</v>
      </c>
      <c r="G56" s="47">
        <f>VLOOKUP($C56,Segment!$B$77:$G$146,6,0)/1000</f>
        <v>26475.279999999999</v>
      </c>
      <c r="H56" s="47">
        <f>VLOOKUP($C56,Segment!$B$152:$G$223,6,0)/1000</f>
        <v>36267.118999999999</v>
      </c>
      <c r="I56" s="47">
        <f>VLOOKUP($C56,Segment!$B$229:$G$300,6,0)/1000</f>
        <v>45217.985030000003</v>
      </c>
      <c r="J56" s="47">
        <f>VLOOKUP($C56,Segment!$B$306:$G$377,6,0)/1000</f>
        <v>64956.379950000002</v>
      </c>
      <c r="K56" s="47">
        <f>VLOOKUP($C56,Segment!$B$383:$G$454,6,0)/1000</f>
        <v>134267.20543</v>
      </c>
      <c r="L56" s="47">
        <f>VLOOKUP($C56,Segment!$B$460:$G$531,6,0)/1000</f>
        <v>219756.96844999999</v>
      </c>
      <c r="M56" s="173">
        <f>L56/K56-1</f>
        <v>0.63671365428522253</v>
      </c>
      <c r="N56" s="104"/>
      <c r="O56" s="46"/>
      <c r="P56" s="47">
        <f>VLOOKUP($C56,Segment!$B$4:$G$71,2,0)/1000</f>
        <v>0</v>
      </c>
      <c r="Q56" s="47">
        <f>VLOOKUP($C56,Segment!$B$77:$G$146,2,0)/1000</f>
        <v>0</v>
      </c>
      <c r="R56" s="47">
        <f>VLOOKUP($C56,Segment!$B$152:$G$223,2,0)/1000</f>
        <v>0</v>
      </c>
      <c r="S56" s="47">
        <f>VLOOKUP($C56,Segment!$B$229:$G$300,2,0)/1000</f>
        <v>0</v>
      </c>
      <c r="T56" s="47">
        <f>VLOOKUP($C56,Segment!$B$306:$G$377,2,0)/1000</f>
        <v>0</v>
      </c>
      <c r="U56" s="47">
        <f>VLOOKUP($C56,Segment!$B$383:$G$454,2,0)/1000</f>
        <v>0</v>
      </c>
      <c r="V56" s="47">
        <f>VLOOKUP($C56,Segment!$B$460:$G$531,2,0)/1000</f>
        <v>0</v>
      </c>
      <c r="W56" s="173"/>
      <c r="Y56" s="46"/>
      <c r="Z56" s="47">
        <f>VLOOKUP($C56,Segment!$B$4:$G$71,3,0)/1000</f>
        <v>9130.8790000000008</v>
      </c>
      <c r="AA56" s="47">
        <f>VLOOKUP($C56,Segment!$B$77:$G$146,3,0)/1000</f>
        <v>24176.134999999998</v>
      </c>
      <c r="AB56" s="47">
        <f>VLOOKUP($C56,Segment!$B$152:$G$223,3,0)/1000</f>
        <v>34172.341</v>
      </c>
      <c r="AC56" s="47">
        <f>VLOOKUP($C56,Segment!$B$229:$G$300,3,0)/1000</f>
        <v>42998.366999999998</v>
      </c>
      <c r="AD56" s="47">
        <f>VLOOKUP($C56,Segment!$B$306:$G$377,3,0)/1000</f>
        <v>63707.214999999997</v>
      </c>
      <c r="AE56" s="47">
        <f>VLOOKUP($C56,Segment!$B$383:$G$454,3,0)/1000</f>
        <v>133005.05100000001</v>
      </c>
      <c r="AF56" s="47">
        <f>VLOOKUP($C56,Segment!$B$460:$G$531,3,0)/1000</f>
        <v>217410.01699999999</v>
      </c>
      <c r="AH56" s="46"/>
      <c r="AI56" s="47">
        <f>VLOOKUP($C56,Segment!$B$4:$G$71,4,0)/1000</f>
        <v>2210.373</v>
      </c>
      <c r="AJ56" s="47">
        <f>VLOOKUP($C56,Segment!$B$77:$G$146,4,0)/1000</f>
        <v>2299.145</v>
      </c>
      <c r="AK56" s="47">
        <f>VLOOKUP($C56,Segment!$B$152:$G$223,4,0)/1000</f>
        <v>2094.7779999999998</v>
      </c>
      <c r="AL56" s="47">
        <f>VLOOKUP($C56,Segment!$B$229:$G$300,4,0)/1000</f>
        <v>2219.6180300000001</v>
      </c>
      <c r="AM56" s="47">
        <f>VLOOKUP($C56,Segment!$B$306:$G$377,4,0)/1000</f>
        <v>1249.1649499999999</v>
      </c>
      <c r="AN56" s="47">
        <f>VLOOKUP($C56,Segment!$B$383:$G$454,4,0)/1000</f>
        <v>1262.15443</v>
      </c>
      <c r="AO56" s="47">
        <f>VLOOKUP($C56,Segment!$B$460:$G$531,4,0)/1000</f>
        <v>2346.95145</v>
      </c>
      <c r="AQ56" s="46"/>
      <c r="AR56" s="47">
        <f t="shared" ref="AR56:AX56" si="103">Z56+AI56</f>
        <v>11341.252</v>
      </c>
      <c r="AS56" s="47">
        <f t="shared" si="103"/>
        <v>26475.279999999999</v>
      </c>
      <c r="AT56" s="47">
        <f t="shared" si="103"/>
        <v>36267.118999999999</v>
      </c>
      <c r="AU56" s="47">
        <f t="shared" si="103"/>
        <v>45217.985029999996</v>
      </c>
      <c r="AV56" s="47">
        <f t="shared" si="103"/>
        <v>64956.379949999995</v>
      </c>
      <c r="AW56" s="47">
        <f t="shared" si="103"/>
        <v>134267.20543</v>
      </c>
      <c r="AX56" s="47">
        <f t="shared" si="103"/>
        <v>219756.96844999999</v>
      </c>
      <c r="AY56" s="173">
        <f>AX56/AW56-1</f>
        <v>0.63671365428522253</v>
      </c>
      <c r="BA56" s="46"/>
      <c r="BB56" s="47">
        <f>VLOOKUP($C56,Segment!$B$4:$G$71,5,0)/1000</f>
        <v>0</v>
      </c>
      <c r="BC56" s="47">
        <f>VLOOKUP($C56,Segment!$B$77:$G$146,5,0)/1000</f>
        <v>0</v>
      </c>
      <c r="BD56" s="47">
        <f>VLOOKUP($C56,Segment!$B$152:$G$223,5,0)/1000</f>
        <v>0</v>
      </c>
      <c r="BE56" s="47">
        <f>VLOOKUP($C56,Segment!$B$229:$G$300,5,0)/1000</f>
        <v>0</v>
      </c>
      <c r="BF56" s="47">
        <f>VLOOKUP($C56,Segment!$B$306:$G$377,5,0)/1000</f>
        <v>0</v>
      </c>
      <c r="BG56" s="47">
        <f>VLOOKUP($C56,Segment!$B$383:$G$454,5,0)/1000</f>
        <v>0</v>
      </c>
      <c r="BH56" s="47">
        <f>VLOOKUP($C56,Segment!$B$460:$G$531,5,0)/1000</f>
        <v>0</v>
      </c>
    </row>
    <row r="57" spans="3:60" x14ac:dyDescent="0.3">
      <c r="G57" s="133"/>
      <c r="H57" s="133"/>
      <c r="I57" s="133"/>
      <c r="J57" s="133"/>
      <c r="K57" s="133"/>
      <c r="L57" s="133"/>
      <c r="N57" s="104"/>
      <c r="AJ57" s="132"/>
      <c r="AK57" s="132"/>
      <c r="AL57" s="132"/>
      <c r="AM57" s="132"/>
      <c r="AN57" s="132"/>
      <c r="AO57" s="132"/>
    </row>
    <row r="58" spans="3:60" x14ac:dyDescent="0.3">
      <c r="C58" s="36" t="s">
        <v>31</v>
      </c>
      <c r="D58" s="110">
        <v>16</v>
      </c>
      <c r="F58" s="42">
        <f>VLOOKUP($C58,Segment!$B$4:$G$71,6,0)/1000</f>
        <v>30718.938999999998</v>
      </c>
      <c r="G58" s="42">
        <f>VLOOKUP($C58,Segment!$B$77:$G$146,6,0)/1000</f>
        <v>36464.087</v>
      </c>
      <c r="H58" s="42">
        <f>VLOOKUP($C58,Segment!$B$152:$G$223,6,0)/1000</f>
        <v>29893.544999999998</v>
      </c>
      <c r="I58" s="42">
        <f>VLOOKUP($C58,Segment!$B$229:$G$300,6,0)/1000</f>
        <v>42070.196139999993</v>
      </c>
      <c r="J58" s="42">
        <f>VLOOKUP($C58,Segment!$B$306:$G$377,6,0)/1000</f>
        <v>42112.635550000006</v>
      </c>
      <c r="K58" s="42">
        <f>VLOOKUP($C58,Segment!$B$383:$G$454,6,0)/1000</f>
        <v>105172.73326000001</v>
      </c>
      <c r="L58" s="42">
        <f>VLOOKUP($C58,Segment!$B$460:$G$531,6,0)/1000</f>
        <v>136743.50417000003</v>
      </c>
      <c r="M58" s="132">
        <f>L58/K58-1</f>
        <v>0.30018018864217555</v>
      </c>
      <c r="N58" s="104"/>
      <c r="P58" s="42">
        <f>VLOOKUP($C58,Segment!$B$4:$G$71,2,0)/1000</f>
        <v>0</v>
      </c>
      <c r="Q58" s="42">
        <f>VLOOKUP($C58,Segment!$B$77:$G$146,2,0)/1000</f>
        <v>0</v>
      </c>
      <c r="R58" s="42">
        <f>VLOOKUP($C58,Segment!$B$152:$G$223,2,0)/1000</f>
        <v>0</v>
      </c>
      <c r="S58" s="42">
        <f>VLOOKUP($C58,Segment!$B$229:$G$300,2,0)/1000</f>
        <v>0</v>
      </c>
      <c r="T58" s="42">
        <f>VLOOKUP($C58,Segment!$B$306:$G$377,2,0)/1000</f>
        <v>0</v>
      </c>
      <c r="U58" s="42">
        <f>VLOOKUP($C58,Segment!$B$383:$G$454,2,0)/1000</f>
        <v>0</v>
      </c>
      <c r="V58" s="42">
        <f>VLOOKUP($C58,Segment!$B$460:$G$531,2,0)/1000</f>
        <v>0</v>
      </c>
      <c r="Z58" s="42">
        <f>VLOOKUP($C58,Segment!$B$4:$G$71,3,0)/1000</f>
        <v>0</v>
      </c>
      <c r="AA58" s="42">
        <f>VLOOKUP($C58,Segment!$B$77:$G$146,3,0)/1000</f>
        <v>0</v>
      </c>
      <c r="AB58" s="42">
        <f>VLOOKUP($C58,Segment!$B$152:$G$223,3,0)/1000</f>
        <v>486.73899999999998</v>
      </c>
      <c r="AC58" s="42">
        <f>VLOOKUP($C58,Segment!$B$229:$G$300,3,0)/1000</f>
        <v>1223.231</v>
      </c>
      <c r="AD58" s="42">
        <f>VLOOKUP($C58,Segment!$B$306:$G$377,3,0)/1000</f>
        <v>1576.492</v>
      </c>
      <c r="AE58" s="42">
        <f>VLOOKUP($C58,Segment!$B$383:$G$454,3,0)/1000</f>
        <v>2945.16</v>
      </c>
      <c r="AF58" s="42">
        <f>VLOOKUP($C58,Segment!$B$460:$G$531,3,0)/1000</f>
        <v>8687.7080000000005</v>
      </c>
      <c r="AI58" s="42">
        <f>VLOOKUP($C58,Segment!$B$4:$G$71,4,0)/1000</f>
        <v>30718.938999999998</v>
      </c>
      <c r="AJ58" s="42">
        <f>VLOOKUP($C58,Segment!$B$77:$G$146,4,0)/1000</f>
        <v>36464.087</v>
      </c>
      <c r="AK58" s="42">
        <f>VLOOKUP($C58,Segment!$B$152:$G$223,4,0)/1000</f>
        <v>29406.806</v>
      </c>
      <c r="AL58" s="42">
        <f>VLOOKUP($C58,Segment!$B$229:$G$300,4,0)/1000</f>
        <v>40846.965139999993</v>
      </c>
      <c r="AM58" s="42">
        <f>VLOOKUP($C58,Segment!$B$306:$G$377,4,0)/1000</f>
        <v>40536.143550000008</v>
      </c>
      <c r="AN58" s="42">
        <f>VLOOKUP($C58,Segment!$B$383:$G$454,4,0)/1000</f>
        <v>102227.57326</v>
      </c>
      <c r="AO58" s="42">
        <f>VLOOKUP($C58,Segment!$B$460:$G$531,4,0)/1000</f>
        <v>128055.79617</v>
      </c>
      <c r="AR58" s="42">
        <f t="shared" ref="AR58:AX59" si="104">Z58+AI58</f>
        <v>30718.938999999998</v>
      </c>
      <c r="AS58" s="42">
        <f t="shared" si="104"/>
        <v>36464.087</v>
      </c>
      <c r="AT58" s="42">
        <f t="shared" si="104"/>
        <v>29893.545000000002</v>
      </c>
      <c r="AU58" s="42">
        <f t="shared" si="104"/>
        <v>42070.196139999993</v>
      </c>
      <c r="AV58" s="42">
        <f t="shared" si="104"/>
        <v>42112.635550000006</v>
      </c>
      <c r="AW58" s="42">
        <f t="shared" si="104"/>
        <v>105172.73326000001</v>
      </c>
      <c r="AX58" s="42">
        <f t="shared" si="104"/>
        <v>136743.50417</v>
      </c>
      <c r="AY58" s="132">
        <f>AX58/AW58-1</f>
        <v>0.30018018864217533</v>
      </c>
      <c r="BB58" s="42">
        <f>VLOOKUP($C58,Segment!$B$4:$G$71,5,0)/1000</f>
        <v>0</v>
      </c>
      <c r="BC58" s="42">
        <f>VLOOKUP($C58,Segment!$B$77:$G$146,5,0)/1000</f>
        <v>0</v>
      </c>
      <c r="BD58" s="42">
        <f>VLOOKUP($C58,Segment!$B$152:$G$223,5,0)/1000</f>
        <v>0</v>
      </c>
      <c r="BE58" s="42">
        <f>VLOOKUP($C58,Segment!$B$229:$G$300,5,0)/1000</f>
        <v>0</v>
      </c>
      <c r="BF58" s="42">
        <f>VLOOKUP($C58,Segment!$B$306:$G$377,5,0)/1000</f>
        <v>0</v>
      </c>
      <c r="BG58" s="42">
        <f>VLOOKUP($C58,Segment!$B$383:$G$454,5,0)/1000</f>
        <v>0</v>
      </c>
      <c r="BH58" s="42">
        <f>VLOOKUP($C58,Segment!$B$460:$G$531,5,0)/1000</f>
        <v>0</v>
      </c>
    </row>
    <row r="59" spans="3:60" x14ac:dyDescent="0.3">
      <c r="C59" s="36" t="s">
        <v>32</v>
      </c>
      <c r="D59" s="110">
        <v>17</v>
      </c>
      <c r="F59" s="42">
        <f>VLOOKUP($C59,Segment!$B$4:$G$71,6,0)/1000</f>
        <v>-5057.58</v>
      </c>
      <c r="G59" s="42">
        <f>VLOOKUP($C59,Segment!$B$77:$G$146,6,0)/1000</f>
        <v>-4648.7359999999999</v>
      </c>
      <c r="H59" s="42">
        <f>VLOOKUP($C59,Segment!$B$152:$G$223,6,0)/1000</f>
        <v>-2792.2939999999999</v>
      </c>
      <c r="I59" s="42">
        <f>VLOOKUP($C59,Segment!$B$229:$G$300,6,0)/1000</f>
        <v>-3983.5250339999998</v>
      </c>
      <c r="J59" s="42">
        <f>VLOOKUP($C59,Segment!$B$306:$G$377,6,0)/1000</f>
        <v>-8594.1445299999996</v>
      </c>
      <c r="K59" s="42">
        <f>VLOOKUP($C59,Segment!$B$383:$G$454,6,0)/1000</f>
        <v>-40531.194666999996</v>
      </c>
      <c r="L59" s="42">
        <f>VLOOKUP($C59,Segment!$B$460:$G$531,6,0)/1000</f>
        <v>-58072.037779999999</v>
      </c>
      <c r="M59" s="132">
        <f>L59/K59-1</f>
        <v>0.43277389815705436</v>
      </c>
      <c r="N59" s="104"/>
      <c r="P59" s="42">
        <f>VLOOKUP($C59,Segment!$B$4:$G$71,2,0)/1000</f>
        <v>0</v>
      </c>
      <c r="Q59" s="42">
        <f>VLOOKUP($C59,Segment!$B$77:$G$146,2,0)/1000</f>
        <v>0</v>
      </c>
      <c r="R59" s="42">
        <f>VLOOKUP($C59,Segment!$B$152:$G$223,2,0)/1000</f>
        <v>0</v>
      </c>
      <c r="S59" s="42">
        <f>VLOOKUP($C59,Segment!$B$229:$G$300,2,0)/1000</f>
        <v>0</v>
      </c>
      <c r="T59" s="42">
        <f>VLOOKUP($C59,Segment!$B$306:$G$377,2,0)/1000</f>
        <v>0</v>
      </c>
      <c r="U59" s="42">
        <f>VLOOKUP($C59,Segment!$B$383:$G$454,2,0)/1000</f>
        <v>0</v>
      </c>
      <c r="V59" s="42">
        <f>VLOOKUP($C59,Segment!$B$460:$G$531,2,0)/1000</f>
        <v>0</v>
      </c>
      <c r="Z59" s="42">
        <f>VLOOKUP($C59,Segment!$B$4:$G$71,3,0)/1000</f>
        <v>0</v>
      </c>
      <c r="AA59" s="42">
        <f>VLOOKUP($C59,Segment!$B$77:$G$146,3,0)/1000</f>
        <v>0</v>
      </c>
      <c r="AB59" s="42">
        <f>VLOOKUP($C59,Segment!$B$152:$G$223,3,0)/1000</f>
        <v>0</v>
      </c>
      <c r="AC59" s="42">
        <f>VLOOKUP($C59,Segment!$B$229:$G$300,3,0)/1000</f>
        <v>0</v>
      </c>
      <c r="AD59" s="42">
        <f>VLOOKUP($C59,Segment!$B$306:$G$377,3,0)/1000</f>
        <v>0</v>
      </c>
      <c r="AE59" s="42">
        <f>VLOOKUP($C59,Segment!$B$383:$G$454,3,0)/1000</f>
        <v>0</v>
      </c>
      <c r="AF59" s="42">
        <f>VLOOKUP($C59,Segment!$B$460:$G$531,3,0)/1000</f>
        <v>0</v>
      </c>
      <c r="AI59" s="42">
        <f>VLOOKUP($C59,Segment!$B$4:$G$71,4,0)/1000</f>
        <v>-5057.58</v>
      </c>
      <c r="AJ59" s="42">
        <f>VLOOKUP($C59,Segment!$B$77:$G$146,4,0)/1000</f>
        <v>-4648.7359999999999</v>
      </c>
      <c r="AK59" s="42">
        <f>VLOOKUP($C59,Segment!$B$152:$G$223,4,0)/1000</f>
        <v>-2792.2939999999999</v>
      </c>
      <c r="AL59" s="42">
        <f>VLOOKUP($C59,Segment!$B$229:$G$300,4,0)/1000</f>
        <v>-3983.5250339999998</v>
      </c>
      <c r="AM59" s="42">
        <f>VLOOKUP($C59,Segment!$B$306:$G$377,4,0)/1000</f>
        <v>-8594.1445299999996</v>
      </c>
      <c r="AN59" s="42">
        <f>VLOOKUP($C59,Segment!$B$383:$G$454,4,0)/1000</f>
        <v>-40531.194666999996</v>
      </c>
      <c r="AO59" s="42">
        <f>VLOOKUP($C59,Segment!$B$460:$G$531,4,0)/1000</f>
        <v>-58072.037779999999</v>
      </c>
      <c r="AR59" s="42">
        <f t="shared" si="104"/>
        <v>-5057.58</v>
      </c>
      <c r="AS59" s="42">
        <f t="shared" si="104"/>
        <v>-4648.7359999999999</v>
      </c>
      <c r="AT59" s="42">
        <f t="shared" si="104"/>
        <v>-2792.2939999999999</v>
      </c>
      <c r="AU59" s="42">
        <f t="shared" si="104"/>
        <v>-3983.5250339999998</v>
      </c>
      <c r="AV59" s="42">
        <f t="shared" si="104"/>
        <v>-8594.1445299999996</v>
      </c>
      <c r="AW59" s="42">
        <f t="shared" si="104"/>
        <v>-40531.194666999996</v>
      </c>
      <c r="AX59" s="42">
        <f t="shared" si="104"/>
        <v>-58072.037779999999</v>
      </c>
      <c r="AY59" s="132">
        <f>AX59/AW59-1</f>
        <v>0.43277389815705436</v>
      </c>
      <c r="BB59" s="42">
        <f>VLOOKUP($C59,Segment!$B$4:$G$71,5,0)/1000</f>
        <v>0</v>
      </c>
      <c r="BC59" s="42">
        <f>VLOOKUP($C59,Segment!$B$77:$G$146,5,0)/1000</f>
        <v>0</v>
      </c>
      <c r="BD59" s="42">
        <f>VLOOKUP($C59,Segment!$B$152:$G$223,5,0)/1000</f>
        <v>0</v>
      </c>
      <c r="BE59" s="42">
        <f>VLOOKUP($C59,Segment!$B$229:$G$300,5,0)/1000</f>
        <v>0</v>
      </c>
      <c r="BF59" s="42">
        <f>VLOOKUP($C59,Segment!$B$306:$G$377,5,0)/1000</f>
        <v>0</v>
      </c>
      <c r="BG59" s="42">
        <f>VLOOKUP($C59,Segment!$B$383:$G$454,5,0)/1000</f>
        <v>0</v>
      </c>
      <c r="BH59" s="42">
        <f>VLOOKUP($C59,Segment!$B$460:$G$531,5,0)/1000</f>
        <v>0</v>
      </c>
    </row>
    <row r="60" spans="3:60" x14ac:dyDescent="0.3">
      <c r="C60" s="56" t="s">
        <v>33</v>
      </c>
      <c r="D60" s="116"/>
      <c r="E60" s="56"/>
      <c r="F60" s="57">
        <f t="shared" ref="F60:K60" si="105">SUM(F58:F59)</f>
        <v>25661.358999999997</v>
      </c>
      <c r="G60" s="57">
        <f t="shared" si="105"/>
        <v>31815.350999999999</v>
      </c>
      <c r="H60" s="57">
        <f t="shared" si="105"/>
        <v>27101.250999999997</v>
      </c>
      <c r="I60" s="57">
        <f t="shared" si="105"/>
        <v>38086.671105999994</v>
      </c>
      <c r="J60" s="57">
        <f t="shared" si="105"/>
        <v>33518.491020000009</v>
      </c>
      <c r="K60" s="57">
        <f t="shared" si="105"/>
        <v>64641.538593000012</v>
      </c>
      <c r="L60" s="57">
        <f>SUM(L58:L59)</f>
        <v>78671.466390000031</v>
      </c>
      <c r="M60" s="176">
        <f>L60/K60-1</f>
        <v>0.2170419841850626</v>
      </c>
      <c r="N60" s="104"/>
      <c r="O60" s="57"/>
      <c r="P60" s="57">
        <f t="shared" ref="P60:U60" si="106">SUM(P58:P59)</f>
        <v>0</v>
      </c>
      <c r="Q60" s="57">
        <f t="shared" si="106"/>
        <v>0</v>
      </c>
      <c r="R60" s="57">
        <f t="shared" si="106"/>
        <v>0</v>
      </c>
      <c r="S60" s="57">
        <f t="shared" si="106"/>
        <v>0</v>
      </c>
      <c r="T60" s="57">
        <f t="shared" si="106"/>
        <v>0</v>
      </c>
      <c r="U60" s="57">
        <f t="shared" si="106"/>
        <v>0</v>
      </c>
      <c r="V60" s="57">
        <f>SUM(V58:V59)</f>
        <v>0</v>
      </c>
      <c r="W60" s="176"/>
      <c r="X60" s="57"/>
      <c r="Y60" s="57"/>
      <c r="Z60" s="57">
        <f t="shared" ref="Z60:AE60" si="107">SUM(Z58:Z59)</f>
        <v>0</v>
      </c>
      <c r="AA60" s="57">
        <f t="shared" si="107"/>
        <v>0</v>
      </c>
      <c r="AB60" s="57">
        <f t="shared" si="107"/>
        <v>486.73899999999998</v>
      </c>
      <c r="AC60" s="57">
        <f t="shared" si="107"/>
        <v>1223.231</v>
      </c>
      <c r="AD60" s="57">
        <f t="shared" si="107"/>
        <v>1576.492</v>
      </c>
      <c r="AE60" s="57">
        <f t="shared" si="107"/>
        <v>2945.16</v>
      </c>
      <c r="AF60" s="57">
        <f>SUM(AF58:AF59)</f>
        <v>8687.7080000000005</v>
      </c>
      <c r="AG60" s="57"/>
      <c r="AH60" s="57"/>
      <c r="AI60" s="57">
        <f t="shared" ref="AI60:AN60" si="108">SUM(AI58:AI59)</f>
        <v>25661.358999999997</v>
      </c>
      <c r="AJ60" s="57">
        <f t="shared" si="108"/>
        <v>31815.350999999999</v>
      </c>
      <c r="AK60" s="57">
        <f t="shared" si="108"/>
        <v>26614.512000000002</v>
      </c>
      <c r="AL60" s="57">
        <f t="shared" si="108"/>
        <v>36863.440105999995</v>
      </c>
      <c r="AM60" s="57">
        <f t="shared" si="108"/>
        <v>31941.99902000001</v>
      </c>
      <c r="AN60" s="57">
        <f t="shared" si="108"/>
        <v>61696.378593000009</v>
      </c>
      <c r="AO60" s="57">
        <f>SUM(AO58:AO59)</f>
        <v>69983.758390000003</v>
      </c>
      <c r="AP60" s="57"/>
      <c r="AQ60" s="57"/>
      <c r="AR60" s="57">
        <f t="shared" ref="AR60:AW60" si="109">SUM(AR58:AR59)</f>
        <v>25661.358999999997</v>
      </c>
      <c r="AS60" s="57">
        <f t="shared" si="109"/>
        <v>31815.350999999999</v>
      </c>
      <c r="AT60" s="57">
        <f t="shared" si="109"/>
        <v>27101.251000000004</v>
      </c>
      <c r="AU60" s="57">
        <f t="shared" si="109"/>
        <v>38086.671105999994</v>
      </c>
      <c r="AV60" s="57">
        <f t="shared" si="109"/>
        <v>33518.491020000009</v>
      </c>
      <c r="AW60" s="57">
        <f t="shared" si="109"/>
        <v>64641.538593000012</v>
      </c>
      <c r="AX60" s="57">
        <f>SUM(AX58:AX59)</f>
        <v>78671.466390000001</v>
      </c>
      <c r="AY60" s="176">
        <f>AX60/AW60-1</f>
        <v>0.21704198418506215</v>
      </c>
      <c r="AZ60" s="42"/>
      <c r="BA60" s="57"/>
      <c r="BB60" s="57">
        <f t="shared" ref="BB60:BG60" si="110">SUM(BB58:BB59)</f>
        <v>0</v>
      </c>
      <c r="BC60" s="57">
        <f t="shared" si="110"/>
        <v>0</v>
      </c>
      <c r="BD60" s="57">
        <f t="shared" si="110"/>
        <v>0</v>
      </c>
      <c r="BE60" s="57">
        <f t="shared" si="110"/>
        <v>0</v>
      </c>
      <c r="BF60" s="57">
        <f t="shared" si="110"/>
        <v>0</v>
      </c>
      <c r="BG60" s="57">
        <f t="shared" si="110"/>
        <v>0</v>
      </c>
      <c r="BH60" s="57">
        <f>SUM(BH58:BH59)</f>
        <v>0</v>
      </c>
    </row>
    <row r="61" spans="3:60" x14ac:dyDescent="0.3">
      <c r="C61" s="39" t="s">
        <v>64</v>
      </c>
      <c r="D61" s="109"/>
      <c r="E61" s="39"/>
      <c r="F61" s="40"/>
      <c r="G61" s="40"/>
      <c r="H61" s="40"/>
      <c r="I61" s="40"/>
      <c r="J61" s="40"/>
      <c r="K61" s="40"/>
      <c r="L61" s="40"/>
      <c r="M61" s="169"/>
      <c r="N61" s="104"/>
      <c r="O61" s="41"/>
      <c r="P61" s="40"/>
      <c r="Q61" s="40"/>
      <c r="R61" s="40"/>
      <c r="S61" s="40"/>
      <c r="T61" s="40"/>
      <c r="U61" s="40"/>
      <c r="V61" s="40"/>
      <c r="W61" s="169"/>
      <c r="Y61" s="41"/>
      <c r="Z61" s="40"/>
      <c r="AA61" s="40"/>
      <c r="AB61" s="40"/>
      <c r="AC61" s="40"/>
      <c r="AD61" s="40"/>
      <c r="AE61" s="40"/>
      <c r="AF61" s="40"/>
      <c r="AH61" s="41"/>
      <c r="AI61" s="40">
        <f t="shared" ref="AI61:AO61" si="111">AI60/AI184</f>
        <v>0.13585930878260657</v>
      </c>
      <c r="AJ61" s="40">
        <f t="shared" si="111"/>
        <v>0.15451223814433646</v>
      </c>
      <c r="AK61" s="40">
        <f t="shared" si="111"/>
        <v>0.17358377466950964</v>
      </c>
      <c r="AL61" s="40">
        <f t="shared" si="111"/>
        <v>0.2006481099847742</v>
      </c>
      <c r="AM61" s="40">
        <f t="shared" si="111"/>
        <v>0.14600039781822244</v>
      </c>
      <c r="AN61" s="40">
        <f t="shared" si="111"/>
        <v>0.15251859329531531</v>
      </c>
      <c r="AO61" s="40">
        <f t="shared" si="111"/>
        <v>0.13556969341076766</v>
      </c>
      <c r="AQ61" s="41"/>
      <c r="AR61" s="40"/>
      <c r="AS61" s="40"/>
      <c r="AT61" s="40"/>
      <c r="AU61" s="40"/>
      <c r="AV61" s="40"/>
      <c r="AW61" s="40"/>
      <c r="AX61" s="40"/>
      <c r="AY61" s="169"/>
      <c r="BA61" s="41"/>
      <c r="BB61" s="40"/>
      <c r="BC61" s="40"/>
      <c r="BD61" s="40"/>
      <c r="BE61" s="40"/>
      <c r="BF61" s="40"/>
      <c r="BG61" s="40"/>
      <c r="BH61" s="40"/>
    </row>
    <row r="62" spans="3:60" ht="13.5" thickBot="1" x14ac:dyDescent="0.35">
      <c r="C62" s="50" t="s">
        <v>34</v>
      </c>
      <c r="D62" s="114"/>
      <c r="E62" s="50"/>
      <c r="F62" s="51">
        <f t="shared" ref="F62:K62" si="112">F53+F56+F60</f>
        <v>37002.610999999997</v>
      </c>
      <c r="G62" s="51">
        <f t="shared" si="112"/>
        <v>60899.231</v>
      </c>
      <c r="H62" s="51">
        <f t="shared" si="112"/>
        <v>74982.310999999987</v>
      </c>
      <c r="I62" s="51">
        <f t="shared" si="112"/>
        <v>135566.63813599997</v>
      </c>
      <c r="J62" s="51">
        <f t="shared" si="112"/>
        <v>195272.50996999998</v>
      </c>
      <c r="K62" s="51">
        <f t="shared" si="112"/>
        <v>348651.14902300003</v>
      </c>
      <c r="L62" s="51">
        <f>L53+L56+L60</f>
        <v>477796.18483999994</v>
      </c>
      <c r="M62" s="174">
        <f>L62/K62-1</f>
        <v>0.37041333774144647</v>
      </c>
      <c r="N62" s="133">
        <f>L62/L$69</f>
        <v>0.19396016055489235</v>
      </c>
      <c r="O62" s="51"/>
      <c r="P62" s="51">
        <f t="shared" ref="P62:U62" si="113">P53+P56+P60</f>
        <v>0</v>
      </c>
      <c r="Q62" s="51">
        <f t="shared" si="113"/>
        <v>0</v>
      </c>
      <c r="R62" s="51">
        <f t="shared" si="113"/>
        <v>0</v>
      </c>
      <c r="S62" s="51">
        <f t="shared" si="113"/>
        <v>0</v>
      </c>
      <c r="T62" s="51">
        <f t="shared" si="113"/>
        <v>0</v>
      </c>
      <c r="U62" s="51">
        <f t="shared" si="113"/>
        <v>0</v>
      </c>
      <c r="V62" s="51">
        <f>V53+V56+V60</f>
        <v>0</v>
      </c>
      <c r="W62" s="174"/>
      <c r="X62" s="52"/>
      <c r="Y62" s="51"/>
      <c r="Z62" s="51">
        <f t="shared" ref="Z62:AE62" si="114">Z53+Z56+Z60</f>
        <v>9130.8790000000008</v>
      </c>
      <c r="AA62" s="51">
        <f t="shared" si="114"/>
        <v>26784.734999999997</v>
      </c>
      <c r="AB62" s="51">
        <f t="shared" si="114"/>
        <v>46273.020999999979</v>
      </c>
      <c r="AC62" s="51">
        <f t="shared" si="114"/>
        <v>96483.579999999973</v>
      </c>
      <c r="AD62" s="51">
        <f t="shared" si="114"/>
        <v>162081.34599999996</v>
      </c>
      <c r="AE62" s="51">
        <f t="shared" si="114"/>
        <v>285692.61599999998</v>
      </c>
      <c r="AF62" s="51">
        <f>AF53+AF56+AF60</f>
        <v>405465.47499999986</v>
      </c>
      <c r="AG62" s="52"/>
      <c r="AH62" s="51"/>
      <c r="AI62" s="51">
        <f t="shared" ref="AI62:AN62" si="115">AI53+AI56+AI60</f>
        <v>27871.731999999996</v>
      </c>
      <c r="AJ62" s="51">
        <f t="shared" si="115"/>
        <v>34114.495999999999</v>
      </c>
      <c r="AK62" s="51">
        <f t="shared" si="115"/>
        <v>28709.29</v>
      </c>
      <c r="AL62" s="51">
        <f t="shared" si="115"/>
        <v>39083.058135999992</v>
      </c>
      <c r="AM62" s="51">
        <f t="shared" si="115"/>
        <v>33191.163970000009</v>
      </c>
      <c r="AN62" s="51">
        <f t="shared" si="115"/>
        <v>62958.533023000011</v>
      </c>
      <c r="AO62" s="51">
        <f>AO53+AO56+AO60</f>
        <v>72330.709839999996</v>
      </c>
      <c r="AP62" s="52"/>
      <c r="AQ62" s="51"/>
      <c r="AR62" s="51">
        <f t="shared" ref="AR62:AW62" si="116">AR53+AR56+AR60</f>
        <v>37002.610999999997</v>
      </c>
      <c r="AS62" s="51">
        <f t="shared" si="116"/>
        <v>60899.231</v>
      </c>
      <c r="AT62" s="51">
        <f t="shared" si="116"/>
        <v>74982.310999999987</v>
      </c>
      <c r="AU62" s="51">
        <f t="shared" si="116"/>
        <v>135566.63813599997</v>
      </c>
      <c r="AV62" s="51">
        <f t="shared" si="116"/>
        <v>195272.50996999998</v>
      </c>
      <c r="AW62" s="51">
        <f t="shared" si="116"/>
        <v>348651.14902300003</v>
      </c>
      <c r="AX62" s="51">
        <f>AX53+AX56+AX60</f>
        <v>477796.18483999994</v>
      </c>
      <c r="AY62" s="174">
        <f>AX62/AW62-1</f>
        <v>0.37041333774144647</v>
      </c>
      <c r="AZ62" s="53"/>
      <c r="BA62" s="51"/>
      <c r="BB62" s="51">
        <f t="shared" ref="BB62:BG62" si="117">BB53+BB56+BB60</f>
        <v>0</v>
      </c>
      <c r="BC62" s="51">
        <f t="shared" si="117"/>
        <v>0</v>
      </c>
      <c r="BD62" s="51">
        <f t="shared" si="117"/>
        <v>0</v>
      </c>
      <c r="BE62" s="51">
        <f t="shared" si="117"/>
        <v>0</v>
      </c>
      <c r="BF62" s="51">
        <f t="shared" si="117"/>
        <v>0</v>
      </c>
      <c r="BG62" s="51">
        <f t="shared" si="117"/>
        <v>0</v>
      </c>
      <c r="BH62" s="51">
        <f>BH53+BH56+BH60</f>
        <v>0</v>
      </c>
    </row>
    <row r="63" spans="3:60" ht="13.5" thickTop="1" x14ac:dyDescent="0.3">
      <c r="C63" s="39" t="s">
        <v>79</v>
      </c>
      <c r="D63" s="109"/>
      <c r="E63" s="39"/>
      <c r="F63" s="41">
        <f t="shared" ref="F63:K63" si="118">(F41+F50+F56+F58)/1000</f>
        <v>42.060190999999996</v>
      </c>
      <c r="G63" s="41">
        <f t="shared" si="118"/>
        <v>174.544693</v>
      </c>
      <c r="H63" s="41">
        <f t="shared" si="118"/>
        <v>354.63470999999998</v>
      </c>
      <c r="I63" s="41">
        <f t="shared" si="118"/>
        <v>611.13908717000004</v>
      </c>
      <c r="J63" s="41">
        <f t="shared" si="118"/>
        <v>1064.9584545</v>
      </c>
      <c r="K63" s="41">
        <f t="shared" si="118"/>
        <v>1740.9202896900001</v>
      </c>
      <c r="L63" s="41">
        <f>(L41+L50+L56+L58)/1000</f>
        <v>2651.0962246200002</v>
      </c>
      <c r="M63" s="169"/>
      <c r="O63" s="41"/>
      <c r="P63" s="41"/>
      <c r="Q63" s="41"/>
      <c r="R63" s="41"/>
      <c r="S63" s="41"/>
      <c r="T63" s="41"/>
      <c r="U63" s="41"/>
      <c r="V63" s="41"/>
      <c r="W63" s="169"/>
      <c r="Y63" s="41"/>
      <c r="Z63" s="41">
        <f t="shared" ref="Z63:AE63" si="119">(Z41+Z50+Z56+Z58)/1000</f>
        <v>9.1308790000000002</v>
      </c>
      <c r="AA63" s="41">
        <f t="shared" si="119"/>
        <v>135.78146100000001</v>
      </c>
      <c r="AB63" s="41">
        <f t="shared" si="119"/>
        <v>323.133126</v>
      </c>
      <c r="AC63" s="41">
        <f t="shared" si="119"/>
        <v>568.07250400000009</v>
      </c>
      <c r="AD63" s="41">
        <f t="shared" si="119"/>
        <v>1023.173146</v>
      </c>
      <c r="AE63" s="41">
        <f t="shared" si="119"/>
        <v>1637.430562</v>
      </c>
      <c r="AF63" s="41">
        <f>(AF41+AF50+AF56+AF58)/1000</f>
        <v>2520.6934769999998</v>
      </c>
      <c r="AH63" s="41"/>
      <c r="AI63" s="41">
        <f t="shared" ref="AI63:AN63" si="120">(AI41+AI50+AI56+AI58)/1000</f>
        <v>32.929311999999996</v>
      </c>
      <c r="AJ63" s="41">
        <f t="shared" si="120"/>
        <v>38.763231999999995</v>
      </c>
      <c r="AK63" s="41">
        <f t="shared" si="120"/>
        <v>31.501583999999998</v>
      </c>
      <c r="AL63" s="41">
        <f t="shared" si="120"/>
        <v>43.066583169999994</v>
      </c>
      <c r="AM63" s="41">
        <f t="shared" si="120"/>
        <v>41.785308500000006</v>
      </c>
      <c r="AN63" s="41">
        <f t="shared" si="120"/>
        <v>103.48972769</v>
      </c>
      <c r="AO63" s="41">
        <f>(AO41+AO50+AO56+AO58)/1000</f>
        <v>130.40274761999999</v>
      </c>
      <c r="AQ63" s="41"/>
      <c r="AR63" s="41">
        <f t="shared" ref="AR63:AW63" si="121">(AR41+AR50+AR56+AR58)/1000</f>
        <v>42.060190999999996</v>
      </c>
      <c r="AS63" s="41">
        <f t="shared" si="121"/>
        <v>174.544693</v>
      </c>
      <c r="AT63" s="41">
        <f t="shared" si="121"/>
        <v>354.63470999999998</v>
      </c>
      <c r="AU63" s="41">
        <f t="shared" si="121"/>
        <v>611.13908717000004</v>
      </c>
      <c r="AV63" s="41">
        <f t="shared" si="121"/>
        <v>1064.9584545</v>
      </c>
      <c r="AW63" s="41">
        <f t="shared" si="121"/>
        <v>1740.9202896900001</v>
      </c>
      <c r="AX63" s="41">
        <f>(AX41+AX50+AX56+AX58)/1000</f>
        <v>2651.0962246200002</v>
      </c>
      <c r="AY63" s="169"/>
      <c r="BA63" s="41"/>
      <c r="BB63" s="41">
        <f t="shared" ref="BB63:BG63" si="122">(BB41+BB50+BB56+BB58)/1000</f>
        <v>0</v>
      </c>
      <c r="BC63" s="41">
        <f t="shared" si="122"/>
        <v>0</v>
      </c>
      <c r="BD63" s="41">
        <f t="shared" si="122"/>
        <v>0</v>
      </c>
      <c r="BE63" s="41">
        <f t="shared" si="122"/>
        <v>0</v>
      </c>
      <c r="BF63" s="41">
        <f t="shared" si="122"/>
        <v>0</v>
      </c>
      <c r="BG63" s="41">
        <f t="shared" si="122"/>
        <v>0</v>
      </c>
      <c r="BH63" s="41">
        <f>(BH41+BH50+BH56+BH58)/1000</f>
        <v>0</v>
      </c>
    </row>
    <row r="64" spans="3:60" x14ac:dyDescent="0.3">
      <c r="H64" s="132"/>
      <c r="I64" s="132"/>
      <c r="J64" s="132"/>
      <c r="K64" s="132"/>
      <c r="L64" s="132"/>
      <c r="AJ64" s="132">
        <f t="shared" ref="AJ64:AO64" si="123">AJ60/AJ58</f>
        <v>0.87251193208265432</v>
      </c>
      <c r="AK64" s="132">
        <f t="shared" si="123"/>
        <v>0.90504599513459583</v>
      </c>
      <c r="AL64" s="132">
        <f t="shared" si="123"/>
        <v>0.902476842028612</v>
      </c>
      <c r="AM64" s="132">
        <f t="shared" si="123"/>
        <v>0.78798810697422661</v>
      </c>
      <c r="AN64" s="132">
        <f t="shared" si="123"/>
        <v>0.60351993719037844</v>
      </c>
      <c r="AO64" s="132">
        <f t="shared" si="123"/>
        <v>0.54650988462164818</v>
      </c>
    </row>
    <row r="65" spans="3:60" x14ac:dyDescent="0.3">
      <c r="C65" s="36" t="s">
        <v>35</v>
      </c>
      <c r="D65" s="110">
        <v>18</v>
      </c>
      <c r="F65" s="42">
        <f>VLOOKUP($C65,Segment!$B$4:$G$71,6,0)/1000</f>
        <v>3109.3591299999998</v>
      </c>
      <c r="G65" s="42">
        <f>VLOOKUP($C65,Segment!$B$77:$G$146,6,0)/1000</f>
        <v>5443.7129999999997</v>
      </c>
      <c r="H65" s="42">
        <f>VLOOKUP($C65,Segment!$B$152:$G$223,6,0)/1000</f>
        <v>1403.57476</v>
      </c>
      <c r="I65" s="42">
        <f>VLOOKUP($C65,Segment!$B$229:$G$300,6,0)/1000</f>
        <v>18588.159990000004</v>
      </c>
      <c r="J65" s="42">
        <f>VLOOKUP($C65,Segment!$B$306:$G$377,6,0)/1000</f>
        <v>22750.072689999997</v>
      </c>
      <c r="K65" s="42">
        <f>VLOOKUP($C65,Segment!$B$383:$G$454,6,0)/1000</f>
        <v>34267.645170000003</v>
      </c>
      <c r="L65" s="42">
        <f>VLOOKUP($C65,Segment!$B$460:$G$531,6,0)/1000</f>
        <v>53940.675139999999</v>
      </c>
      <c r="M65" s="132">
        <f>L65/K65-1</f>
        <v>0.57409926688580781</v>
      </c>
      <c r="P65" s="42">
        <f>VLOOKUP($C65,Segment!$B$4:$G$71,2,0)/1000</f>
        <v>3109.3591299999998</v>
      </c>
      <c r="Q65" s="42">
        <f>VLOOKUP($C65,Segment!$B$77:$G$146,2,0)/1000</f>
        <v>5443.7129999999997</v>
      </c>
      <c r="R65" s="42">
        <f>VLOOKUP($C65,Segment!$B$152:$G$223,2,0)/1000</f>
        <v>1403.57476</v>
      </c>
      <c r="S65" s="42">
        <f>VLOOKUP($C65,Segment!$B$229:$G$300,2,0)/1000</f>
        <v>13644.226260000001</v>
      </c>
      <c r="T65" s="42">
        <f>VLOOKUP($C65,Segment!$B$306:$G$377,2,0)/1000</f>
        <v>17637.453349999996</v>
      </c>
      <c r="U65" s="42">
        <f>VLOOKUP($C65,Segment!$B$383:$G$454,2,0)/1000</f>
        <v>25416.308090000002</v>
      </c>
      <c r="V65" s="42">
        <f>VLOOKUP($C65,Segment!$B$460:$G$531,2,0)/1000</f>
        <v>32676.765540000004</v>
      </c>
      <c r="W65" s="132">
        <f>V65/U65-1</f>
        <v>0.28566137238699185</v>
      </c>
      <c r="Z65" s="42">
        <f>VLOOKUP($C65,Segment!$B$4:$G$71,3,0)/1000</f>
        <v>0</v>
      </c>
      <c r="AA65" s="42">
        <f>VLOOKUP($C65,Segment!$B$77:$G$146,3,0)/1000</f>
        <v>0</v>
      </c>
      <c r="AB65" s="42">
        <f>VLOOKUP($C65,Segment!$B$152:$G$223,3,0)/1000</f>
        <v>0</v>
      </c>
      <c r="AC65" s="42">
        <f>VLOOKUP($C65,Segment!$B$229:$G$300,3,0)/1000</f>
        <v>2808.643</v>
      </c>
      <c r="AD65" s="42">
        <f>VLOOKUP($C65,Segment!$B$306:$G$377,3,0)/1000</f>
        <v>2377.2089999999998</v>
      </c>
      <c r="AE65" s="42">
        <f>VLOOKUP($C65,Segment!$B$383:$G$454,3,0)/1000</f>
        <v>1049.692</v>
      </c>
      <c r="AF65" s="42">
        <f>VLOOKUP($C65,Segment!$B$460:$G$531,3,0)/1000</f>
        <v>771.85400000000004</v>
      </c>
      <c r="AI65" s="42">
        <f>VLOOKUP($C65,Segment!$B$4:$G$71,4,0)/1000</f>
        <v>0</v>
      </c>
      <c r="AJ65" s="42">
        <f>VLOOKUP($C65,Segment!$B$77:$G$146,4,0)/1000</f>
        <v>0</v>
      </c>
      <c r="AK65" s="42">
        <f>VLOOKUP($C65,Segment!$B$152:$G$223,4,0)/1000</f>
        <v>0</v>
      </c>
      <c r="AL65" s="42">
        <f>VLOOKUP($C65,Segment!$B$229:$G$300,4,0)/1000</f>
        <v>0</v>
      </c>
      <c r="AM65" s="42">
        <f>VLOOKUP($C65,Segment!$B$306:$G$377,4,0)/1000</f>
        <v>0</v>
      </c>
      <c r="AN65" s="42">
        <f>VLOOKUP($C65,Segment!$B$383:$G$454,4,0)/1000</f>
        <v>0</v>
      </c>
      <c r="AO65" s="42">
        <f>VLOOKUP($C65,Segment!$B$460:$G$531,4,0)/1000</f>
        <v>0</v>
      </c>
      <c r="AR65" s="42">
        <f t="shared" ref="AR65:AX66" si="124">Z65+AI65</f>
        <v>0</v>
      </c>
      <c r="AS65" s="42">
        <f t="shared" si="124"/>
        <v>0</v>
      </c>
      <c r="AT65" s="42">
        <f t="shared" si="124"/>
        <v>0</v>
      </c>
      <c r="AU65" s="42">
        <f t="shared" si="124"/>
        <v>2808.643</v>
      </c>
      <c r="AV65" s="42">
        <f t="shared" si="124"/>
        <v>2377.2089999999998</v>
      </c>
      <c r="AW65" s="42">
        <f t="shared" si="124"/>
        <v>1049.692</v>
      </c>
      <c r="AX65" s="42">
        <f t="shared" si="124"/>
        <v>771.85400000000004</v>
      </c>
      <c r="AY65" s="132">
        <f>AX65/AW65-1</f>
        <v>-0.2646852600572358</v>
      </c>
      <c r="BB65" s="42">
        <f>VLOOKUP($C65,Segment!$B$4:$G$71,5,0)/1000</f>
        <v>0</v>
      </c>
      <c r="BC65" s="42">
        <f>VLOOKUP($C65,Segment!$B$77:$G$146,5,0)/1000</f>
        <v>0</v>
      </c>
      <c r="BD65" s="42">
        <f>VLOOKUP($C65,Segment!$B$152:$G$223,5,0)/1000</f>
        <v>0</v>
      </c>
      <c r="BE65" s="42">
        <f>VLOOKUP($C65,Segment!$B$229:$G$300,5,0)/1000</f>
        <v>2135.2907300000002</v>
      </c>
      <c r="BF65" s="42">
        <f>VLOOKUP($C65,Segment!$B$306:$G$377,5,0)/1000</f>
        <v>2735.4103400000004</v>
      </c>
      <c r="BG65" s="42">
        <f>VLOOKUP($C65,Segment!$B$383:$G$454,5,0)/1000</f>
        <v>7801.6450799999993</v>
      </c>
      <c r="BH65" s="42">
        <f>VLOOKUP($C65,Segment!$B$460:$G$531,5,0)/1000</f>
        <v>20492.055599999996</v>
      </c>
    </row>
    <row r="66" spans="3:60" x14ac:dyDescent="0.3">
      <c r="C66" s="36" t="s">
        <v>36</v>
      </c>
      <c r="D66" s="110">
        <v>19</v>
      </c>
      <c r="F66" s="42">
        <f>VLOOKUP($C66,Segment!$B$4:$G$71,6,0)/1000</f>
        <v>-7192.2490699999989</v>
      </c>
      <c r="G66" s="42">
        <f>VLOOKUP($C66,Segment!$B$77:$G$146,6,0)/1000</f>
        <v>-7932.88</v>
      </c>
      <c r="H66" s="42">
        <f>VLOOKUP($C66,Segment!$B$152:$G$223,6,0)/1000</f>
        <v>-8195.4804500000009</v>
      </c>
      <c r="I66" s="42">
        <f>VLOOKUP($C66,Segment!$B$229:$G$300,6,0)/1000</f>
        <v>-14619.57468</v>
      </c>
      <c r="J66" s="42">
        <f>VLOOKUP($C66,Segment!$B$306:$G$377,6,0)/1000</f>
        <v>-27423.40828</v>
      </c>
      <c r="K66" s="42">
        <f>VLOOKUP($C66,Segment!$B$383:$G$454,6,0)/1000</f>
        <v>-39737.93017</v>
      </c>
      <c r="L66" s="42">
        <f>VLOOKUP($C66,Segment!$B$460:$G$531,6,0)/1000</f>
        <v>-47642.054590000007</v>
      </c>
      <c r="M66" s="132">
        <f>L66/K66-1</f>
        <v>0.19890629396614101</v>
      </c>
      <c r="P66" s="42">
        <f>VLOOKUP($C66,Segment!$B$4:$G$71,2,0)/1000</f>
        <v>-7192.2490699999989</v>
      </c>
      <c r="Q66" s="42">
        <f>VLOOKUP($C66,Segment!$B$77:$G$146,2,0)/1000</f>
        <v>-7932.88</v>
      </c>
      <c r="R66" s="42">
        <f>VLOOKUP($C66,Segment!$B$152:$G$223,2,0)/1000</f>
        <v>-8195.4804500000009</v>
      </c>
      <c r="S66" s="42">
        <f>VLOOKUP($C66,Segment!$B$229:$G$300,2,0)/1000</f>
        <v>-13307.509820000001</v>
      </c>
      <c r="T66" s="42">
        <f>VLOOKUP($C66,Segment!$B$306:$G$377,2,0)/1000</f>
        <v>-25782.01064</v>
      </c>
      <c r="U66" s="42">
        <f>VLOOKUP($C66,Segment!$B$383:$G$454,2,0)/1000</f>
        <v>-36567.902020000001</v>
      </c>
      <c r="V66" s="42">
        <f>VLOOKUP($C66,Segment!$B$460:$G$531,2,0)/1000</f>
        <v>-41489.796040000001</v>
      </c>
      <c r="W66" s="132">
        <f>V66/U66-1</f>
        <v>0.13459601858777903</v>
      </c>
      <c r="Z66" s="42">
        <f>VLOOKUP($C66,Segment!$B$4:$G$71,3,0)/1000</f>
        <v>0</v>
      </c>
      <c r="AA66" s="42">
        <f>VLOOKUP($C66,Segment!$B$77:$G$146,3,0)/1000</f>
        <v>0</v>
      </c>
      <c r="AB66" s="42">
        <f>VLOOKUP($C66,Segment!$B$152:$G$223,3,0)/1000</f>
        <v>0</v>
      </c>
      <c r="AC66" s="42">
        <f>VLOOKUP($C66,Segment!$B$229:$G$300,3,0)/1000</f>
        <v>0</v>
      </c>
      <c r="AD66" s="42">
        <f>VLOOKUP($C66,Segment!$B$306:$G$377,3,0)/1000</f>
        <v>0</v>
      </c>
      <c r="AE66" s="42">
        <f>VLOOKUP($C66,Segment!$B$383:$G$454,3,0)/1000</f>
        <v>0</v>
      </c>
      <c r="AF66" s="42">
        <f>VLOOKUP($C66,Segment!$B$460:$G$531,3,0)/1000</f>
        <v>0</v>
      </c>
      <c r="AI66" s="42">
        <f>VLOOKUP($C66,Segment!$B$4:$G$71,4,0)/1000</f>
        <v>0</v>
      </c>
      <c r="AJ66" s="42">
        <f>VLOOKUP($C66,Segment!$B$77:$G$146,4,0)/1000</f>
        <v>0</v>
      </c>
      <c r="AK66" s="42">
        <f>VLOOKUP($C66,Segment!$B$152:$G$223,4,0)/1000</f>
        <v>0</v>
      </c>
      <c r="AL66" s="42">
        <f>VLOOKUP($C66,Segment!$B$229:$G$300,4,0)/1000</f>
        <v>0</v>
      </c>
      <c r="AM66" s="42">
        <f>VLOOKUP($C66,Segment!$B$306:$G$377,4,0)/1000</f>
        <v>0</v>
      </c>
      <c r="AN66" s="42">
        <f>VLOOKUP($C66,Segment!$B$383:$G$454,4,0)/1000</f>
        <v>0</v>
      </c>
      <c r="AO66" s="42">
        <f>VLOOKUP($C66,Segment!$B$460:$G$531,4,0)/1000</f>
        <v>0</v>
      </c>
      <c r="AR66" s="42">
        <f t="shared" si="124"/>
        <v>0</v>
      </c>
      <c r="AS66" s="42">
        <f t="shared" si="124"/>
        <v>0</v>
      </c>
      <c r="AT66" s="42">
        <f t="shared" si="124"/>
        <v>0</v>
      </c>
      <c r="AU66" s="42">
        <f t="shared" si="124"/>
        <v>0</v>
      </c>
      <c r="AV66" s="42">
        <f t="shared" si="124"/>
        <v>0</v>
      </c>
      <c r="AW66" s="42">
        <f t="shared" si="124"/>
        <v>0</v>
      </c>
      <c r="AX66" s="42">
        <f t="shared" si="124"/>
        <v>0</v>
      </c>
      <c r="BB66" s="42">
        <f>VLOOKUP($C66,Segment!$B$4:$G$71,5,0)/1000</f>
        <v>0</v>
      </c>
      <c r="BC66" s="42">
        <f>VLOOKUP($C66,Segment!$B$77:$G$146,5,0)/1000</f>
        <v>0</v>
      </c>
      <c r="BD66" s="42">
        <f>VLOOKUP($C66,Segment!$B$152:$G$223,5,0)/1000</f>
        <v>0</v>
      </c>
      <c r="BE66" s="42">
        <f>VLOOKUP($C66,Segment!$B$229:$G$300,5,0)/1000</f>
        <v>-1312.0648600000002</v>
      </c>
      <c r="BF66" s="42">
        <f>VLOOKUP($C66,Segment!$B$306:$G$377,5,0)/1000</f>
        <v>-1641.3976399999999</v>
      </c>
      <c r="BG66" s="42">
        <f>VLOOKUP($C66,Segment!$B$383:$G$454,5,0)/1000</f>
        <v>-3170.0281500000001</v>
      </c>
      <c r="BH66" s="42">
        <f>VLOOKUP($C66,Segment!$B$460:$G$531,5,0)/1000</f>
        <v>-6152.2585500000005</v>
      </c>
    </row>
    <row r="67" spans="3:60" ht="13.5" thickBot="1" x14ac:dyDescent="0.35">
      <c r="C67" s="50" t="s">
        <v>37</v>
      </c>
      <c r="D67" s="114"/>
      <c r="E67" s="50"/>
      <c r="F67" s="58">
        <f t="shared" ref="F67:K67" si="125">SUM(F65:F66)</f>
        <v>-4082.8899399999991</v>
      </c>
      <c r="G67" s="58">
        <f t="shared" si="125"/>
        <v>-2489.1670000000004</v>
      </c>
      <c r="H67" s="58">
        <f t="shared" si="125"/>
        <v>-6791.9056900000014</v>
      </c>
      <c r="I67" s="58">
        <f t="shared" si="125"/>
        <v>3968.585310000004</v>
      </c>
      <c r="J67" s="58">
        <f t="shared" si="125"/>
        <v>-4673.3355900000024</v>
      </c>
      <c r="K67" s="58">
        <f t="shared" si="125"/>
        <v>-5470.2849999999962</v>
      </c>
      <c r="L67" s="58">
        <f>SUM(L65:L66)</f>
        <v>6298.6205499999924</v>
      </c>
      <c r="M67" s="174">
        <f>L67/K67-1</f>
        <v>-2.1514245692866085</v>
      </c>
      <c r="N67" s="133">
        <f>L67/L$69</f>
        <v>2.5569091841146628E-3</v>
      </c>
      <c r="O67" s="58"/>
      <c r="P67" s="58">
        <f t="shared" ref="P67:U67" si="126">SUM(P65:P66)</f>
        <v>-4082.8899399999991</v>
      </c>
      <c r="Q67" s="58">
        <f t="shared" si="126"/>
        <v>-2489.1670000000004</v>
      </c>
      <c r="R67" s="58">
        <f t="shared" si="126"/>
        <v>-6791.9056900000014</v>
      </c>
      <c r="S67" s="58">
        <f t="shared" si="126"/>
        <v>336.71644000000015</v>
      </c>
      <c r="T67" s="58">
        <f t="shared" si="126"/>
        <v>-8144.5572900000043</v>
      </c>
      <c r="U67" s="58">
        <f t="shared" si="126"/>
        <v>-11151.593929999999</v>
      </c>
      <c r="V67" s="58">
        <f>SUM(V65:V66)</f>
        <v>-8813.0304999999971</v>
      </c>
      <c r="W67" s="174">
        <f>V67/U67-1</f>
        <v>-0.20970665222204721</v>
      </c>
      <c r="X67" s="58"/>
      <c r="Y67" s="58"/>
      <c r="Z67" s="58">
        <f t="shared" ref="Z67:AE67" si="127">SUM(Z65:Z66)</f>
        <v>0</v>
      </c>
      <c r="AA67" s="58">
        <f t="shared" si="127"/>
        <v>0</v>
      </c>
      <c r="AB67" s="58">
        <f t="shared" si="127"/>
        <v>0</v>
      </c>
      <c r="AC67" s="58">
        <f t="shared" si="127"/>
        <v>2808.643</v>
      </c>
      <c r="AD67" s="58">
        <f t="shared" si="127"/>
        <v>2377.2089999999998</v>
      </c>
      <c r="AE67" s="58">
        <f t="shared" si="127"/>
        <v>1049.692</v>
      </c>
      <c r="AF67" s="58">
        <f>SUM(AF65:AF66)</f>
        <v>771.85400000000004</v>
      </c>
      <c r="AG67" s="58"/>
      <c r="AH67" s="58"/>
      <c r="AI67" s="58">
        <f t="shared" ref="AI67:AN67" si="128">SUM(AI65:AI66)</f>
        <v>0</v>
      </c>
      <c r="AJ67" s="58">
        <f t="shared" si="128"/>
        <v>0</v>
      </c>
      <c r="AK67" s="58">
        <f t="shared" si="128"/>
        <v>0</v>
      </c>
      <c r="AL67" s="58">
        <f t="shared" si="128"/>
        <v>0</v>
      </c>
      <c r="AM67" s="58">
        <f t="shared" si="128"/>
        <v>0</v>
      </c>
      <c r="AN67" s="58">
        <f t="shared" si="128"/>
        <v>0</v>
      </c>
      <c r="AO67" s="58">
        <f>SUM(AO65:AO66)</f>
        <v>0</v>
      </c>
      <c r="AP67" s="58"/>
      <c r="AQ67" s="58"/>
      <c r="AR67" s="58">
        <f t="shared" ref="AR67:AW67" si="129">SUM(AR65:AR66)</f>
        <v>0</v>
      </c>
      <c r="AS67" s="58">
        <f t="shared" si="129"/>
        <v>0</v>
      </c>
      <c r="AT67" s="58">
        <f t="shared" si="129"/>
        <v>0</v>
      </c>
      <c r="AU67" s="58">
        <f t="shared" si="129"/>
        <v>2808.643</v>
      </c>
      <c r="AV67" s="58">
        <f t="shared" si="129"/>
        <v>2377.2089999999998</v>
      </c>
      <c r="AW67" s="58">
        <f t="shared" si="129"/>
        <v>1049.692</v>
      </c>
      <c r="AX67" s="58">
        <f>SUM(AX65:AX66)</f>
        <v>771.85400000000004</v>
      </c>
      <c r="AY67" s="174">
        <f>AX67/AW67-1</f>
        <v>-0.2646852600572358</v>
      </c>
      <c r="AZ67" s="49"/>
      <c r="BA67" s="58"/>
      <c r="BB67" s="58">
        <f t="shared" ref="BB67:BG67" si="130">SUM(BB65:BB66)</f>
        <v>0</v>
      </c>
      <c r="BC67" s="58">
        <f t="shared" si="130"/>
        <v>0</v>
      </c>
      <c r="BD67" s="58">
        <f t="shared" si="130"/>
        <v>0</v>
      </c>
      <c r="BE67" s="58">
        <f t="shared" si="130"/>
        <v>823.22586999999999</v>
      </c>
      <c r="BF67" s="58">
        <f t="shared" si="130"/>
        <v>1094.0127000000005</v>
      </c>
      <c r="BG67" s="58">
        <f t="shared" si="130"/>
        <v>4631.6169299999992</v>
      </c>
      <c r="BH67" s="58">
        <f>SUM(BH65:BH66)</f>
        <v>14339.797049999996</v>
      </c>
    </row>
    <row r="68" spans="3:60" ht="13.5" thickTop="1" x14ac:dyDescent="0.3">
      <c r="C68" s="45"/>
      <c r="D68" s="112"/>
      <c r="E68" s="45"/>
      <c r="F68" s="45"/>
      <c r="G68" s="45"/>
      <c r="H68" s="45"/>
      <c r="I68" s="45"/>
      <c r="J68" s="45"/>
      <c r="K68" s="45"/>
      <c r="L68" s="45"/>
      <c r="M68" s="172"/>
      <c r="O68" s="45"/>
      <c r="P68" s="45"/>
      <c r="Q68" s="45"/>
      <c r="R68" s="45"/>
      <c r="S68" s="45"/>
      <c r="T68" s="45"/>
      <c r="U68" s="45"/>
      <c r="V68" s="45"/>
      <c r="W68" s="172"/>
      <c r="Y68" s="45"/>
      <c r="Z68" s="45"/>
      <c r="AA68" s="45"/>
      <c r="AB68" s="45"/>
      <c r="AC68" s="45"/>
      <c r="AD68" s="45"/>
      <c r="AE68" s="45"/>
      <c r="AF68" s="45"/>
      <c r="AH68" s="45"/>
      <c r="AI68" s="45"/>
      <c r="AJ68" s="45"/>
      <c r="AK68" s="45"/>
      <c r="AL68" s="45"/>
      <c r="AM68" s="45"/>
      <c r="AN68" s="45"/>
      <c r="AO68" s="45"/>
      <c r="AQ68" s="45"/>
      <c r="AR68" s="45"/>
      <c r="AS68" s="45"/>
      <c r="AT68" s="45"/>
      <c r="AU68" s="45"/>
      <c r="AV68" s="45"/>
      <c r="AW68" s="45"/>
      <c r="AX68" s="45"/>
      <c r="AY68" s="172"/>
      <c r="BA68" s="45"/>
      <c r="BB68" s="45"/>
      <c r="BC68" s="45"/>
      <c r="BD68" s="45"/>
      <c r="BE68" s="45"/>
      <c r="BF68" s="45"/>
      <c r="BG68" s="45"/>
      <c r="BH68" s="45"/>
    </row>
    <row r="69" spans="3:60" ht="13.5" thickBot="1" x14ac:dyDescent="0.35">
      <c r="C69" s="50" t="s">
        <v>100</v>
      </c>
      <c r="D69" s="114"/>
      <c r="E69" s="50"/>
      <c r="F69" s="58">
        <f t="shared" ref="F69:K69" si="131">F35+F62+F67</f>
        <v>585859.72106000001</v>
      </c>
      <c r="G69" s="58">
        <f t="shared" si="131"/>
        <v>842968.06400000001</v>
      </c>
      <c r="H69" s="58">
        <f t="shared" si="131"/>
        <v>939740.40530999994</v>
      </c>
      <c r="I69" s="58">
        <f t="shared" si="131"/>
        <v>1228211.2234459999</v>
      </c>
      <c r="J69" s="58">
        <f t="shared" si="131"/>
        <v>1642771.17438</v>
      </c>
      <c r="K69" s="58">
        <f t="shared" si="131"/>
        <v>2083833.8640230002</v>
      </c>
      <c r="L69" s="58">
        <f>L35+L62+L67</f>
        <v>2463372.8053899999</v>
      </c>
      <c r="M69" s="174">
        <f>L69/K69-1</f>
        <v>0.18213493307680051</v>
      </c>
      <c r="O69" s="58"/>
      <c r="P69" s="58">
        <f t="shared" ref="P69:U69" si="132">P35+P62+P67</f>
        <v>548857.11005999998</v>
      </c>
      <c r="Q69" s="58">
        <f t="shared" si="132"/>
        <v>782068.83299999998</v>
      </c>
      <c r="R69" s="58">
        <f t="shared" si="132"/>
        <v>864758.09430999996</v>
      </c>
      <c r="S69" s="58">
        <f t="shared" si="132"/>
        <v>1088436.7164400001</v>
      </c>
      <c r="T69" s="58">
        <f t="shared" si="132"/>
        <v>1437319.4427100001</v>
      </c>
      <c r="U69" s="58">
        <f t="shared" si="132"/>
        <v>1730027.40607</v>
      </c>
      <c r="V69" s="58">
        <f>V35+V62+V67</f>
        <v>1977996.9694999999</v>
      </c>
      <c r="W69" s="174">
        <f>V69/U69-1</f>
        <v>0.14333273713466621</v>
      </c>
      <c r="X69" s="58"/>
      <c r="Y69" s="58"/>
      <c r="Z69" s="58">
        <f t="shared" ref="Z69:AE69" si="133">Z35+Z62+Z67</f>
        <v>9130.8790000000008</v>
      </c>
      <c r="AA69" s="58">
        <f t="shared" si="133"/>
        <v>26784.734999999997</v>
      </c>
      <c r="AB69" s="58">
        <f t="shared" si="133"/>
        <v>46273.020999999979</v>
      </c>
      <c r="AC69" s="58">
        <f t="shared" si="133"/>
        <v>99292.222999999969</v>
      </c>
      <c r="AD69" s="58">
        <f t="shared" si="133"/>
        <v>164458.55499999996</v>
      </c>
      <c r="AE69" s="58">
        <f t="shared" si="133"/>
        <v>286742.30799999996</v>
      </c>
      <c r="AF69" s="58">
        <f>AF35+AF62+AF67</f>
        <v>406237.32899999985</v>
      </c>
      <c r="AG69" s="58"/>
      <c r="AH69" s="58"/>
      <c r="AI69" s="58">
        <f t="shared" ref="AI69:AN69" si="134">AI35+AI62+AI67</f>
        <v>27871.731999999996</v>
      </c>
      <c r="AJ69" s="58">
        <f t="shared" si="134"/>
        <v>34114.495999999999</v>
      </c>
      <c r="AK69" s="58">
        <f t="shared" si="134"/>
        <v>28709.29</v>
      </c>
      <c r="AL69" s="58">
        <f t="shared" si="134"/>
        <v>39083.058135999992</v>
      </c>
      <c r="AM69" s="58">
        <f t="shared" si="134"/>
        <v>33191.163970000009</v>
      </c>
      <c r="AN69" s="58">
        <f t="shared" si="134"/>
        <v>62958.533023000011</v>
      </c>
      <c r="AO69" s="58">
        <f>AO35+AO62+AO67</f>
        <v>72330.709839999996</v>
      </c>
      <c r="AP69" s="58"/>
      <c r="AQ69" s="58"/>
      <c r="AR69" s="58">
        <f t="shared" ref="AR69:AW69" si="135">AR35+AR62+AR67</f>
        <v>37002.610999999997</v>
      </c>
      <c r="AS69" s="58">
        <f t="shared" si="135"/>
        <v>60899.231</v>
      </c>
      <c r="AT69" s="58">
        <f t="shared" si="135"/>
        <v>74982.310999999987</v>
      </c>
      <c r="AU69" s="58">
        <f t="shared" si="135"/>
        <v>138375.28113599998</v>
      </c>
      <c r="AV69" s="58">
        <f t="shared" si="135"/>
        <v>197649.71896999999</v>
      </c>
      <c r="AW69" s="58">
        <f t="shared" si="135"/>
        <v>349700.84102300002</v>
      </c>
      <c r="AX69" s="58">
        <f>AX35+AX62+AX67</f>
        <v>478568.03883999994</v>
      </c>
      <c r="AY69" s="174">
        <f>AX69/AW69-1</f>
        <v>0.36850697138736432</v>
      </c>
      <c r="AZ69" s="49"/>
      <c r="BA69" s="58"/>
      <c r="BB69" s="58">
        <f t="shared" ref="BB69:BG69" si="136">BB35+BB62+BB67</f>
        <v>0</v>
      </c>
      <c r="BC69" s="58">
        <f t="shared" si="136"/>
        <v>0</v>
      </c>
      <c r="BD69" s="58">
        <f t="shared" si="136"/>
        <v>0</v>
      </c>
      <c r="BE69" s="58">
        <f t="shared" si="136"/>
        <v>1398.22587</v>
      </c>
      <c r="BF69" s="58">
        <f t="shared" si="136"/>
        <v>7802.0127000000002</v>
      </c>
      <c r="BG69" s="58">
        <f t="shared" si="136"/>
        <v>4105.6169299999992</v>
      </c>
      <c r="BH69" s="58">
        <f>BH35+BH62+BH67</f>
        <v>6807.7970499999956</v>
      </c>
    </row>
    <row r="70" spans="3:60" ht="13.5" thickTop="1" x14ac:dyDescent="0.3">
      <c r="C70" s="36" t="s">
        <v>212</v>
      </c>
      <c r="D70" s="112"/>
      <c r="E70" s="45"/>
      <c r="F70" s="42"/>
      <c r="G70" s="42"/>
      <c r="H70" s="42"/>
      <c r="I70" s="42"/>
      <c r="J70" s="42"/>
      <c r="K70" s="42">
        <f>VLOOKUP($C70,Segment!$B$383:$G$454,6,0)/1000</f>
        <v>194676.58113999999</v>
      </c>
      <c r="L70" s="42">
        <f>VLOOKUP($C70,Segment!$B$460:$G$531,6,0)/1000</f>
        <v>0</v>
      </c>
      <c r="O70" s="45"/>
      <c r="P70" s="225">
        <v>0</v>
      </c>
      <c r="Q70" s="225">
        <v>0</v>
      </c>
      <c r="R70" s="225">
        <v>0</v>
      </c>
      <c r="S70" s="225">
        <v>0</v>
      </c>
      <c r="T70" s="225">
        <v>0</v>
      </c>
      <c r="U70" s="42">
        <f>VLOOKUP($C70,Segment!$B$383:$G$454,2,0)/1000</f>
        <v>194676.58113999999</v>
      </c>
      <c r="V70" s="42">
        <f>VLOOKUP($C70,Segment!$B$460:$G$531,2,0)/1000</f>
        <v>0</v>
      </c>
      <c r="W70" s="172"/>
      <c r="Y70" s="45"/>
      <c r="Z70" s="45"/>
      <c r="AA70" s="45"/>
      <c r="AB70" s="45"/>
      <c r="AC70" s="45"/>
      <c r="AD70" s="45"/>
      <c r="AE70" s="42">
        <f>VLOOKUP($C70,Segment!$B$383:$G$454,3,0)/1000</f>
        <v>0</v>
      </c>
      <c r="AF70" s="42">
        <f>VLOOKUP($C70,Segment!$B$460:$G$531,3,0)/1000</f>
        <v>0</v>
      </c>
      <c r="AH70" s="45"/>
      <c r="AI70" s="45"/>
      <c r="AJ70" s="45"/>
      <c r="AK70" s="45"/>
      <c r="AL70" s="45"/>
      <c r="AM70" s="45"/>
      <c r="AN70" s="42">
        <f>VLOOKUP($C70,Segment!$B$383:$G$454,4,0)/1000</f>
        <v>0</v>
      </c>
      <c r="AO70" s="42">
        <f>VLOOKUP($C70,Segment!$B$460:$G$531,4,0)/1000</f>
        <v>0</v>
      </c>
      <c r="AQ70" s="45"/>
      <c r="AR70" s="45"/>
      <c r="AS70" s="45"/>
      <c r="AT70" s="45"/>
      <c r="AU70" s="45"/>
      <c r="AV70" s="45"/>
      <c r="AW70" s="42">
        <f t="shared" ref="AW70:AX73" si="137">AE70+AN70</f>
        <v>0</v>
      </c>
      <c r="AX70" s="42">
        <f t="shared" si="137"/>
        <v>0</v>
      </c>
      <c r="AY70" s="172"/>
      <c r="BA70" s="45"/>
      <c r="BB70" s="45"/>
      <c r="BC70" s="45"/>
      <c r="BD70" s="45"/>
      <c r="BE70" s="45"/>
      <c r="BF70" s="45"/>
      <c r="BG70" s="42">
        <f>VLOOKUP($C70,Segment!$B$383:$G$454,5,0)/1000</f>
        <v>0</v>
      </c>
      <c r="BH70" s="42">
        <f>VLOOKUP($C70,Segment!$B$460:$G$531,5,0)/1000</f>
        <v>0</v>
      </c>
    </row>
    <row r="71" spans="3:60" x14ac:dyDescent="0.3">
      <c r="C71" s="36" t="s">
        <v>38</v>
      </c>
      <c r="D71" s="110">
        <v>20</v>
      </c>
      <c r="F71" s="42">
        <f>VLOOKUP($C71,Segment!$B$4:$G$71,6,0)/1000</f>
        <v>-11297.879940000001</v>
      </c>
      <c r="G71" s="42">
        <f>VLOOKUP($C71,Segment!$B$77:$G$146,6,0)/1000</f>
        <v>-22144.802940000001</v>
      </c>
      <c r="H71" s="42">
        <f>VLOOKUP($C71,Segment!$B$152:$G$223,6,0)/1000</f>
        <v>-22524.489000000001</v>
      </c>
      <c r="I71" s="42">
        <f>VLOOKUP($C71,Segment!$B$229:$G$300,6,0)/1000</f>
        <v>-63792.87541500001</v>
      </c>
      <c r="J71" s="42">
        <f>VLOOKUP($C71,Segment!$B$306:$G$377,6,0)/1000</f>
        <v>-96796.170210000011</v>
      </c>
      <c r="K71" s="42">
        <f>VLOOKUP($C71,Segment!$B$383:$G$454,6,0)/1000</f>
        <v>-118851.28942099998</v>
      </c>
      <c r="L71" s="42">
        <f>VLOOKUP($C71,Segment!$B$460:$G$531,6,0)/1000</f>
        <v>-132708.69713000002</v>
      </c>
      <c r="M71" s="132">
        <f>L71/K71-1</f>
        <v>0.11659450878916222</v>
      </c>
      <c r="P71" s="42">
        <f>VLOOKUP($C71,Segment!$B$4:$G$71,2,0)/1000</f>
        <v>-10680.642940000002</v>
      </c>
      <c r="Q71" s="42">
        <f>VLOOKUP($C71,Segment!$B$77:$G$146,2,0)/1000</f>
        <v>-20890.281940000001</v>
      </c>
      <c r="R71" s="42">
        <f>VLOOKUP($C71,Segment!$B$152:$G$223,2,0)/1000</f>
        <v>-20370.245999999999</v>
      </c>
      <c r="S71" s="42">
        <f>VLOOKUP($C71,Segment!$B$229:$G$300,2,0)/1000</f>
        <v>-54846.390220000008</v>
      </c>
      <c r="T71" s="42">
        <f>VLOOKUP($C71,Segment!$B$306:$G$377,2,0)/1000</f>
        <v>-82364.217550000016</v>
      </c>
      <c r="U71" s="42">
        <f>VLOOKUP($C71,Segment!$B$383:$G$454,2,0)/1000</f>
        <v>-103415.55814999998</v>
      </c>
      <c r="V71" s="42">
        <f>VLOOKUP($C71,Segment!$B$460:$G$531,2,0)/1000</f>
        <v>-112228.50481</v>
      </c>
      <c r="W71" s="132">
        <f>V71/U71-1</f>
        <v>8.521876995739075E-2</v>
      </c>
      <c r="Z71" s="42">
        <f>VLOOKUP($C71,Segment!$B$4:$G$71,3,0)/1000</f>
        <v>-33.043999999999997</v>
      </c>
      <c r="AA71" s="42">
        <f>VLOOKUP($C71,Segment!$B$77:$G$146,3,0)/1000</f>
        <v>-703.57799999999997</v>
      </c>
      <c r="AB71" s="42">
        <f>VLOOKUP($C71,Segment!$B$152:$G$223,3,0)/1000</f>
        <v>-1619.9670000000001</v>
      </c>
      <c r="AC71" s="42">
        <f>VLOOKUP($C71,Segment!$B$229:$G$300,3,0)/1000</f>
        <v>-7967.2290000000003</v>
      </c>
      <c r="AD71" s="42">
        <f>VLOOKUP($C71,Segment!$B$306:$G$377,3,0)/1000</f>
        <v>-11841.210999999999</v>
      </c>
      <c r="AE71" s="42">
        <f>VLOOKUP($C71,Segment!$B$383:$G$454,3,0)/1000</f>
        <v>-12108.061</v>
      </c>
      <c r="AF71" s="42">
        <f>VLOOKUP($C71,Segment!$B$460:$G$531,3,0)/1000</f>
        <v>-16004.87</v>
      </c>
      <c r="AI71" s="42">
        <f>VLOOKUP($C71,Segment!$B$4:$G$71,4,0)/1000</f>
        <v>-584.19299999999998</v>
      </c>
      <c r="AJ71" s="42">
        <f>VLOOKUP($C71,Segment!$B$77:$G$146,4,0)/1000</f>
        <v>-550.94299999999998</v>
      </c>
      <c r="AK71" s="42">
        <f>VLOOKUP($C71,Segment!$B$152:$G$223,4,0)/1000</f>
        <v>-534.27599999999995</v>
      </c>
      <c r="AL71" s="42">
        <f>VLOOKUP($C71,Segment!$B$229:$G$300,4,0)/1000</f>
        <v>-867.96775500000012</v>
      </c>
      <c r="AM71" s="42">
        <f>VLOOKUP($C71,Segment!$B$306:$G$377,4,0)/1000</f>
        <v>-1951.43894</v>
      </c>
      <c r="AN71" s="42">
        <f>VLOOKUP($C71,Segment!$B$383:$G$454,4,0)/1000</f>
        <v>-1861.6572909999998</v>
      </c>
      <c r="AO71" s="42">
        <f>VLOOKUP($C71,Segment!$B$460:$G$531,4,0)/1000</f>
        <v>-2128.1554799999999</v>
      </c>
      <c r="AR71" s="42">
        <f t="shared" ref="AR71:AV73" si="138">Z71+AI71</f>
        <v>-617.23699999999997</v>
      </c>
      <c r="AS71" s="42">
        <f t="shared" si="138"/>
        <v>-1254.521</v>
      </c>
      <c r="AT71" s="42">
        <f t="shared" si="138"/>
        <v>-2154.2429999999999</v>
      </c>
      <c r="AU71" s="42">
        <f t="shared" si="138"/>
        <v>-8835.1967550000008</v>
      </c>
      <c r="AV71" s="42">
        <f t="shared" si="138"/>
        <v>-13792.649939999999</v>
      </c>
      <c r="AW71" s="42">
        <f t="shared" si="137"/>
        <v>-13969.718290999999</v>
      </c>
      <c r="AX71" s="42">
        <f t="shared" si="137"/>
        <v>-18133.02548</v>
      </c>
      <c r="AY71" s="132">
        <f>AX71/AW71-1</f>
        <v>0.29802370400570033</v>
      </c>
      <c r="BB71" s="42">
        <f>VLOOKUP($C71,Segment!$B$4:$G$71,5,0)/1000</f>
        <v>0</v>
      </c>
      <c r="BC71" s="42">
        <f>VLOOKUP($C71,Segment!$B$77:$G$146,5,0)/1000</f>
        <v>0</v>
      </c>
      <c r="BD71" s="42">
        <f>VLOOKUP($C71,Segment!$B$152:$G$223,5,0)/1000</f>
        <v>0</v>
      </c>
      <c r="BE71" s="42">
        <f>VLOOKUP($C71,Segment!$B$229:$G$300,5,0)/1000</f>
        <v>-111.28844000000001</v>
      </c>
      <c r="BF71" s="42">
        <f>VLOOKUP($C71,Segment!$B$306:$G$377,5,0)/1000</f>
        <v>-639.30272000000014</v>
      </c>
      <c r="BG71" s="42">
        <f>VLOOKUP($C71,Segment!$B$383:$G$454,5,0)/1000</f>
        <v>-1466.01298</v>
      </c>
      <c r="BH71" s="42">
        <f>VLOOKUP($C71,Segment!$B$460:$G$531,5,0)/1000</f>
        <v>-2347.1668399999999</v>
      </c>
    </row>
    <row r="72" spans="3:60" x14ac:dyDescent="0.3">
      <c r="C72" s="36" t="s">
        <v>78</v>
      </c>
      <c r="F72" s="42">
        <f>VLOOKUP($C72,Segment!$B$4:$G$71,6,0)/1000</f>
        <v>-120422.66596999997</v>
      </c>
      <c r="G72" s="42">
        <f>VLOOKUP($C72,Segment!$B$77:$G$146,6,0)/1000</f>
        <v>-165888.95522999999</v>
      </c>
      <c r="H72" s="42">
        <f>VLOOKUP($C72,Segment!$B$152:$G$223,6,0)/1000</f>
        <v>-260471.326</v>
      </c>
      <c r="I72" s="42">
        <f>VLOOKUP($C72,Segment!$B$229:$G$300,6,0)/1000</f>
        <v>-363634.291707</v>
      </c>
      <c r="J72" s="42">
        <f>VLOOKUP($C72,Segment!$B$306:$G$377,6,0)/1000</f>
        <v>-483731.60919000005</v>
      </c>
      <c r="K72" s="42">
        <f>VLOOKUP($C72,Segment!$B$383:$G$454,6,0)/1000</f>
        <v>-603251.05226999999</v>
      </c>
      <c r="L72" s="42">
        <f>VLOOKUP($C72,Segment!$B$460:$G$531,6,0)/1000</f>
        <v>-836374.73392618413</v>
      </c>
      <c r="M72" s="132">
        <f>L72/K72-1</f>
        <v>0.38644554498322514</v>
      </c>
      <c r="N72" s="132">
        <f>SUM(L72:L73)/SUM(K72:K73)-1</f>
        <v>0.33326428602069536</v>
      </c>
      <c r="O72" s="132"/>
      <c r="P72" s="42">
        <f>VLOOKUP($C72,Segment!$B$4:$G$71,2,0)/1000</f>
        <v>-111402.47396999996</v>
      </c>
      <c r="Q72" s="42">
        <f>VLOOKUP($C72,Segment!$B$77:$G$146,2,0)/1000</f>
        <v>-145735.88722999999</v>
      </c>
      <c r="R72" s="42">
        <f>VLOOKUP($C72,Segment!$B$152:$G$223,2,0)/1000</f>
        <v>-220959.18599999999</v>
      </c>
      <c r="S72" s="42">
        <f>VLOOKUP($C72,Segment!$B$229:$G$300,2,0)/1000</f>
        <v>-299693.35703000001</v>
      </c>
      <c r="T72" s="42">
        <f>VLOOKUP($C72,Segment!$B$306:$G$377,2,0)/1000</f>
        <v>-398911.86476000003</v>
      </c>
      <c r="U72" s="42">
        <f>VLOOKUP($C72,Segment!$B$383:$G$454,2,0)/1000</f>
        <v>-492968.50757999998</v>
      </c>
      <c r="V72" s="42">
        <f>VLOOKUP($C72,Segment!$B$460:$G$531,2,0)/1000</f>
        <v>-687321.46738618426</v>
      </c>
      <c r="W72" s="132">
        <f>V72/U72-1</f>
        <v>0.39425025497119459</v>
      </c>
      <c r="Z72" s="42">
        <f>VLOOKUP($C72,Segment!$B$4:$G$71,3,0)/1000</f>
        <v>-4084.4960000000001</v>
      </c>
      <c r="AA72" s="42">
        <f>VLOOKUP($C72,Segment!$B$77:$G$146,3,0)/1000</f>
        <v>-14185.82</v>
      </c>
      <c r="AB72" s="42">
        <f>VLOOKUP($C72,Segment!$B$152:$G$223,3,0)/1000</f>
        <v>-32849.29</v>
      </c>
      <c r="AC72" s="42">
        <f>VLOOKUP($C72,Segment!$B$229:$G$300,3,0)/1000</f>
        <v>-47167.233999999997</v>
      </c>
      <c r="AD72" s="42">
        <f>VLOOKUP($C72,Segment!$B$306:$G$377,3,0)/1000</f>
        <v>-58184.425000000003</v>
      </c>
      <c r="AE72" s="42">
        <f>VLOOKUP($C72,Segment!$B$383:$G$454,3,0)/1000</f>
        <v>-74670.451000000001</v>
      </c>
      <c r="AF72" s="42">
        <f>VLOOKUP($C72,Segment!$B$460:$G$531,3,0)/1000</f>
        <v>-102019.677</v>
      </c>
      <c r="AI72" s="42">
        <f>VLOOKUP($C72,Segment!$B$4:$G$71,4,0)/1000</f>
        <v>-4935.6959999999999</v>
      </c>
      <c r="AJ72" s="42">
        <f>VLOOKUP($C72,Segment!$B$77:$G$146,4,0)/1000</f>
        <v>-5967.2479999999996</v>
      </c>
      <c r="AK72" s="42">
        <f>VLOOKUP($C72,Segment!$B$152:$G$223,4,0)/1000</f>
        <v>-6662.85</v>
      </c>
      <c r="AL72" s="42">
        <f>VLOOKUP($C72,Segment!$B$229:$G$300,4,0)/1000</f>
        <v>-9397.2167770000015</v>
      </c>
      <c r="AM72" s="42">
        <f>VLOOKUP($C72,Segment!$B$306:$G$377,4,0)/1000</f>
        <v>-12781.066009999999</v>
      </c>
      <c r="AN72" s="42">
        <f>VLOOKUP($C72,Segment!$B$383:$G$454,4,0)/1000</f>
        <v>-18973.617330000001</v>
      </c>
      <c r="AO72" s="42">
        <f>VLOOKUP($C72,Segment!$B$460:$G$531,4,0)/1000</f>
        <v>-27140.754670000002</v>
      </c>
      <c r="AR72" s="42">
        <f t="shared" si="138"/>
        <v>-9020.1919999999991</v>
      </c>
      <c r="AS72" s="42">
        <f t="shared" si="138"/>
        <v>-20153.067999999999</v>
      </c>
      <c r="AT72" s="42">
        <f t="shared" si="138"/>
        <v>-39512.14</v>
      </c>
      <c r="AU72" s="42">
        <f t="shared" si="138"/>
        <v>-56564.450776999998</v>
      </c>
      <c r="AV72" s="42">
        <f t="shared" si="138"/>
        <v>-70965.491009999998</v>
      </c>
      <c r="AW72" s="42">
        <f t="shared" si="137"/>
        <v>-93644.068330000009</v>
      </c>
      <c r="AX72" s="42">
        <f t="shared" si="137"/>
        <v>-129160.43166999999</v>
      </c>
      <c r="AY72" s="132">
        <f>AX72/AW72-1</f>
        <v>0.37926976020350756</v>
      </c>
      <c r="BB72" s="42">
        <f>VLOOKUP($C72,Segment!$B$4:$G$71,5,0)/1000</f>
        <v>0</v>
      </c>
      <c r="BC72" s="42">
        <f>VLOOKUP($C72,Segment!$B$77:$G$146,5,0)/1000</f>
        <v>0</v>
      </c>
      <c r="BD72" s="42">
        <f>VLOOKUP($C72,Segment!$B$152:$G$223,5,0)/1000</f>
        <v>0</v>
      </c>
      <c r="BE72" s="42">
        <f>VLOOKUP($C72,Segment!$B$229:$G$300,5,0)/1000</f>
        <v>-7376.4839000000011</v>
      </c>
      <c r="BF72" s="42">
        <f>VLOOKUP($C72,Segment!$B$306:$G$377,5,0)/1000</f>
        <v>-13854.253419999999</v>
      </c>
      <c r="BG72" s="42">
        <f>VLOOKUP($C72,Segment!$B$383:$G$454,5,0)/1000</f>
        <v>-16638.476360000001</v>
      </c>
      <c r="BH72" s="42">
        <f>VLOOKUP($C72,Segment!$B$460:$G$531,5,0)/1000</f>
        <v>-19892.834870000002</v>
      </c>
    </row>
    <row r="73" spans="3:60" x14ac:dyDescent="0.3">
      <c r="C73" s="36" t="s">
        <v>39</v>
      </c>
      <c r="D73" s="110">
        <v>21</v>
      </c>
      <c r="F73" s="42">
        <f>VLOOKUP($C73,Segment!$B$4:$G$71,6,0)/1000</f>
        <v>-75655.933290000015</v>
      </c>
      <c r="G73" s="42">
        <f>VLOOKUP($C73,Segment!$B$77:$G$146,6,0)/1000</f>
        <v>-84345.251209999988</v>
      </c>
      <c r="H73" s="42">
        <f>VLOOKUP($C73,Segment!$B$152:$G$223,6,0)/1000</f>
        <v>-96801.567820000026</v>
      </c>
      <c r="I73" s="42">
        <f>VLOOKUP($C73,Segment!$B$229:$G$300,6,0)/1000</f>
        <v>-80318.037716999985</v>
      </c>
      <c r="J73" s="42">
        <f>VLOOKUP($C73,Segment!$B$306:$G$377,6,0)/1000</f>
        <v>-128187.4871</v>
      </c>
      <c r="K73" s="42">
        <f>VLOOKUP($C73,Segment!$B$383:$G$454,6,0)/1000</f>
        <v>-182779.35619099994</v>
      </c>
      <c r="L73" s="42">
        <f>VLOOKUP($C73,Segment!$B$460:$G$531,6,0)/1000</f>
        <v>-211611.53740112644</v>
      </c>
      <c r="M73" s="132">
        <f>L73/K73-1</f>
        <v>0.15774309424745736</v>
      </c>
      <c r="P73" s="42">
        <f>VLOOKUP($C73,Segment!$B$4:$G$71,2,0)/1000</f>
        <v>-73387.235290000026</v>
      </c>
      <c r="Q73" s="42">
        <f>VLOOKUP($C73,Segment!$B$77:$G$146,2,0)/1000</f>
        <v>-73206.470209999999</v>
      </c>
      <c r="R73" s="42">
        <f>VLOOKUP($C73,Segment!$B$152:$G$223,2,0)/1000</f>
        <v>-85663.32382000002</v>
      </c>
      <c r="S73" s="42">
        <f>VLOOKUP($C73,Segment!$B$229:$G$300,2,0)/1000</f>
        <v>-66770.693119999996</v>
      </c>
      <c r="T73" s="42">
        <f>VLOOKUP($C73,Segment!$B$306:$G$377,2,0)/1000</f>
        <v>-102278.12522</v>
      </c>
      <c r="U73" s="42">
        <f>VLOOKUP($C73,Segment!$B$383:$G$454,2,0)/1000</f>
        <v>-139488.50550999993</v>
      </c>
      <c r="V73" s="42">
        <f>VLOOKUP($C73,Segment!$B$460:$G$531,2,0)/1000</f>
        <v>-149675.97835226636</v>
      </c>
      <c r="W73" s="132">
        <f>V73/U73-1</f>
        <v>7.3034497036288837E-2</v>
      </c>
      <c r="Z73" s="42">
        <f>VLOOKUP($C73,Segment!$B$4:$G$71,3,0)/1000</f>
        <v>-685.52200000000005</v>
      </c>
      <c r="AA73" s="42">
        <f>VLOOKUP($C73,Segment!$B$77:$G$146,3,0)/1000</f>
        <v>-9226.0149999999994</v>
      </c>
      <c r="AB73" s="42">
        <f>VLOOKUP($C73,Segment!$B$152:$G$223,3,0)/1000</f>
        <v>-9645.3989999999994</v>
      </c>
      <c r="AC73" s="42">
        <f>VLOOKUP($C73,Segment!$B$229:$G$300,3,0)/1000</f>
        <v>-8514.5849999999991</v>
      </c>
      <c r="AD73" s="42">
        <f>VLOOKUP($C73,Segment!$B$306:$G$377,3,0)/1000</f>
        <v>-17253.698</v>
      </c>
      <c r="AE73" s="42">
        <f>VLOOKUP($C73,Segment!$B$383:$G$454,3,0)/1000</f>
        <v>-29663.754000000001</v>
      </c>
      <c r="AF73" s="42">
        <f>VLOOKUP($C73,Segment!$B$460:$G$531,3,0)/1000</f>
        <v>-47024.033000000003</v>
      </c>
      <c r="AI73" s="42">
        <f>VLOOKUP($C73,Segment!$B$4:$G$71,4,0)/1000</f>
        <v>-1583.1759999999999</v>
      </c>
      <c r="AJ73" s="42">
        <f>VLOOKUP($C73,Segment!$B$77:$G$146,4,0)/1000</f>
        <v>-1912.7660000000001</v>
      </c>
      <c r="AK73" s="42">
        <f>VLOOKUP($C73,Segment!$B$152:$G$223,4,0)/1000</f>
        <v>-1492.845</v>
      </c>
      <c r="AL73" s="42">
        <f>VLOOKUP($C73,Segment!$B$229:$G$300,4,0)/1000</f>
        <v>-1927.5169670000002</v>
      </c>
      <c r="AM73" s="42">
        <f>VLOOKUP($C73,Segment!$B$306:$G$377,4,0)/1000</f>
        <v>-2647.5411399999998</v>
      </c>
      <c r="AN73" s="42">
        <f>VLOOKUP($C73,Segment!$B$383:$G$454,4,0)/1000</f>
        <v>-5336.8156010000002</v>
      </c>
      <c r="AO73" s="42">
        <f>VLOOKUP($C73,Segment!$B$460:$G$531,4,0)/1000</f>
        <v>-6666.83187</v>
      </c>
      <c r="AR73" s="42">
        <f t="shared" si="138"/>
        <v>-2268.6979999999999</v>
      </c>
      <c r="AS73" s="42">
        <f t="shared" si="138"/>
        <v>-11138.780999999999</v>
      </c>
      <c r="AT73" s="42">
        <f t="shared" si="138"/>
        <v>-11138.243999999999</v>
      </c>
      <c r="AU73" s="42">
        <f t="shared" si="138"/>
        <v>-10442.101966999999</v>
      </c>
      <c r="AV73" s="42">
        <f t="shared" si="138"/>
        <v>-19901.239140000001</v>
      </c>
      <c r="AW73" s="42">
        <f t="shared" si="137"/>
        <v>-35000.569601000003</v>
      </c>
      <c r="AX73" s="42">
        <f t="shared" si="137"/>
        <v>-53690.864870000005</v>
      </c>
      <c r="AY73" s="132">
        <f>AX73/AW73-1</f>
        <v>0.53399974577745168</v>
      </c>
      <c r="BB73" s="42">
        <f>VLOOKUP($C73,Segment!$B$4:$G$71,5,0)/1000</f>
        <v>0</v>
      </c>
      <c r="BC73" s="42">
        <f>VLOOKUP($C73,Segment!$B$77:$G$146,5,0)/1000</f>
        <v>0</v>
      </c>
      <c r="BD73" s="42">
        <f>VLOOKUP($C73,Segment!$B$152:$G$223,5,0)/1000</f>
        <v>0</v>
      </c>
      <c r="BE73" s="42">
        <f>VLOOKUP($C73,Segment!$B$229:$G$300,5,0)/1000</f>
        <v>-3105.2426300000002</v>
      </c>
      <c r="BF73" s="42">
        <f>VLOOKUP($C73,Segment!$B$306:$G$377,5,0)/1000</f>
        <v>-6008.1227399999989</v>
      </c>
      <c r="BG73" s="42">
        <f>VLOOKUP($C73,Segment!$B$383:$G$454,5,0)/1000</f>
        <v>-8290.2810799999988</v>
      </c>
      <c r="BH73" s="42">
        <f>VLOOKUP($C73,Segment!$B$460:$G$531,5,0)/1000</f>
        <v>-8244.6941788600598</v>
      </c>
    </row>
    <row r="74" spans="3:60" x14ac:dyDescent="0.3">
      <c r="C74" s="39" t="s">
        <v>93</v>
      </c>
      <c r="D74" s="109"/>
      <c r="E74" s="39"/>
      <c r="F74" s="40">
        <f t="shared" ref="F74:K74" si="139">-SUM(F72:F73)/F69</f>
        <v>0.33468523643378933</v>
      </c>
      <c r="G74" s="40">
        <f t="shared" si="139"/>
        <v>0.29684897581125919</v>
      </c>
      <c r="H74" s="40">
        <f t="shared" si="139"/>
        <v>0.38018253956223519</v>
      </c>
      <c r="I74" s="40">
        <f t="shared" si="139"/>
        <v>0.36146252448206767</v>
      </c>
      <c r="J74" s="40">
        <f t="shared" si="139"/>
        <v>0.37249198539227174</v>
      </c>
      <c r="K74" s="40">
        <f t="shared" si="139"/>
        <v>0.37720397102267467</v>
      </c>
      <c r="L74" s="40">
        <f>-SUM(L72:L73)/L69</f>
        <v>0.4254273933016785</v>
      </c>
      <c r="M74" s="169"/>
      <c r="O74" s="41"/>
      <c r="P74" s="40">
        <f t="shared" ref="P74:U74" si="140">-SUM(P72:P73)/P69</f>
        <v>0.33668090632878772</v>
      </c>
      <c r="Q74" s="40">
        <f t="shared" si="140"/>
        <v>0.27995279724949734</v>
      </c>
      <c r="R74" s="40">
        <f t="shared" si="140"/>
        <v>0.35457605061755165</v>
      </c>
      <c r="S74" s="40">
        <f t="shared" si="140"/>
        <v>0.33668843086129141</v>
      </c>
      <c r="T74" s="40">
        <f t="shared" si="140"/>
        <v>0.34869770427305236</v>
      </c>
      <c r="U74" s="40">
        <f t="shared" si="140"/>
        <v>0.36557629715630618</v>
      </c>
      <c r="V74" s="40">
        <f>-SUM(V72:V73)/V69</f>
        <v>0.42315405869910289</v>
      </c>
      <c r="W74" s="169"/>
      <c r="Y74" s="41"/>
      <c r="Z74" s="40">
        <f t="shared" ref="Z74:AE74" si="141">-SUM(Z72:Z73)/Z69</f>
        <v>0.52240512660391181</v>
      </c>
      <c r="AA74" s="40">
        <f t="shared" si="141"/>
        <v>0.87407379613798686</v>
      </c>
      <c r="AB74" s="40">
        <f t="shared" si="141"/>
        <v>0.91834697803715948</v>
      </c>
      <c r="AC74" s="40">
        <f t="shared" si="141"/>
        <v>0.56078731362475398</v>
      </c>
      <c r="AD74" s="40">
        <f t="shared" si="141"/>
        <v>0.45870598218499503</v>
      </c>
      <c r="AE74" s="40">
        <f t="shared" si="141"/>
        <v>0.3638605189716197</v>
      </c>
      <c r="AF74" s="40">
        <f>-SUM(AF72:AF73)/AF69</f>
        <v>0.36688826791690543</v>
      </c>
      <c r="AH74" s="41"/>
      <c r="AI74" s="40">
        <f t="shared" ref="AI74:AN74" si="142">-SUM(AI72:AI73)/AI69</f>
        <v>0.23388829944260373</v>
      </c>
      <c r="AJ74" s="40">
        <f t="shared" si="142"/>
        <v>0.2309872612510529</v>
      </c>
      <c r="AK74" s="40">
        <f t="shared" si="142"/>
        <v>0.28407860312811639</v>
      </c>
      <c r="AL74" s="40">
        <f t="shared" si="142"/>
        <v>0.28976068619278844</v>
      </c>
      <c r="AM74" s="40">
        <f t="shared" si="142"/>
        <v>0.46484079810955764</v>
      </c>
      <c r="AN74" s="40">
        <f t="shared" si="142"/>
        <v>0.38613404353177855</v>
      </c>
      <c r="AO74" s="40">
        <f>-SUM(AO72:AO73)/AO69</f>
        <v>0.46740294150001399</v>
      </c>
      <c r="AQ74" s="41"/>
      <c r="AR74" s="40">
        <f t="shared" ref="AR74:AX74" si="143">-SUM(AR72:AR73)/AR69</f>
        <v>0.30508360612714602</v>
      </c>
      <c r="AS74" s="40">
        <f t="shared" si="143"/>
        <v>0.51382995295950451</v>
      </c>
      <c r="AT74" s="40">
        <f t="shared" si="143"/>
        <v>0.67549777173445624</v>
      </c>
      <c r="AU74" s="40">
        <f t="shared" si="143"/>
        <v>0.484237879727548</v>
      </c>
      <c r="AV74" s="40">
        <f t="shared" si="143"/>
        <v>0.45973619706381719</v>
      </c>
      <c r="AW74" s="40">
        <f t="shared" si="143"/>
        <v>0.36787054201719516</v>
      </c>
      <c r="AX74" s="40">
        <f t="shared" si="143"/>
        <v>0.38208004233465503</v>
      </c>
      <c r="AY74" s="169"/>
      <c r="BA74" s="41"/>
      <c r="BB74" s="40"/>
      <c r="BC74" s="40"/>
      <c r="BD74" s="40"/>
      <c r="BE74" s="40"/>
      <c r="BF74" s="40"/>
      <c r="BG74" s="40"/>
      <c r="BH74" s="40"/>
    </row>
    <row r="75" spans="3:60" x14ac:dyDescent="0.3">
      <c r="C75" s="36" t="s">
        <v>40</v>
      </c>
      <c r="F75" s="42">
        <f>VLOOKUP($C75,Segment!$B$4:$G$71,6,0)/1000</f>
        <v>-3203.2748999999999</v>
      </c>
      <c r="G75" s="42">
        <f>VLOOKUP($C75,Segment!$B$77:$G$146,6,0)/1000</f>
        <v>-4637.8509999999997</v>
      </c>
      <c r="H75" s="42">
        <f>VLOOKUP($C75,Segment!$B$152:$G$223,6,0)/1000</f>
        <v>-20650.571</v>
      </c>
      <c r="I75" s="42">
        <f>VLOOKUP($C75,Segment!$B$229:$G$300,6,0)/1000</f>
        <v>-33052.73646</v>
      </c>
      <c r="J75" s="42">
        <f>VLOOKUP($C75,Segment!$B$306:$G$377,6,0)/1000</f>
        <v>-36053.953089999995</v>
      </c>
      <c r="K75" s="42">
        <f>VLOOKUP($C75,Segment!$B$383:$G$454,6,0)/1000</f>
        <v>-69604.693350000016</v>
      </c>
      <c r="L75" s="42">
        <f>VLOOKUP($C75,Segment!$B$460:$G$531,6,0)/1000</f>
        <v>-113235.51488000002</v>
      </c>
      <c r="M75" s="132">
        <f t="shared" ref="M75:M83" si="144">L75/K75-1</f>
        <v>0.6268373500419997</v>
      </c>
      <c r="P75" s="42">
        <f>VLOOKUP($C75,Segment!$B$4:$G$71,2,0)/1000</f>
        <v>-3203.2748999999999</v>
      </c>
      <c r="Q75" s="42">
        <f>VLOOKUP($C75,Segment!$B$77:$G$146,2,0)/1000</f>
        <v>-4094.4659999999999</v>
      </c>
      <c r="R75" s="42">
        <f>VLOOKUP($C75,Segment!$B$152:$G$223,2,0)/1000</f>
        <v>-19915.545999999998</v>
      </c>
      <c r="S75" s="42">
        <f>VLOOKUP($C75,Segment!$B$229:$G$300,2,0)/1000</f>
        <v>-28579.357060000002</v>
      </c>
      <c r="T75" s="42">
        <f>VLOOKUP($C75,Segment!$B$306:$G$377,2,0)/1000</f>
        <v>-21042.982049999999</v>
      </c>
      <c r="U75" s="42">
        <f>VLOOKUP($C75,Segment!$B$383:$G$454,2,0)/1000</f>
        <v>-48302.102320000005</v>
      </c>
      <c r="V75" s="42">
        <f>VLOOKUP($C75,Segment!$B$460:$G$531,2,0)/1000</f>
        <v>-92674.721460000015</v>
      </c>
      <c r="W75" s="132">
        <f>V75/U75-1</f>
        <v>0.91864778154028803</v>
      </c>
      <c r="Z75" s="42">
        <f>VLOOKUP($C75,Segment!$B$4:$G$71,3,0)/1000</f>
        <v>0</v>
      </c>
      <c r="AA75" s="42">
        <f>VLOOKUP($C75,Segment!$B$77:$G$146,3,0)/1000</f>
        <v>-531.375</v>
      </c>
      <c r="AB75" s="42">
        <f>VLOOKUP($C75,Segment!$B$152:$G$223,3,0)/1000</f>
        <v>-407.745</v>
      </c>
      <c r="AC75" s="42">
        <f>VLOOKUP($C75,Segment!$B$229:$G$300,3,0)/1000</f>
        <v>-1098.2270000000001</v>
      </c>
      <c r="AD75" s="42">
        <f>VLOOKUP($C75,Segment!$B$306:$G$377,3,0)/1000</f>
        <v>-7838.6450000000004</v>
      </c>
      <c r="AE75" s="42">
        <f>VLOOKUP($C75,Segment!$B$383:$G$454,3,0)/1000</f>
        <v>-14372.73</v>
      </c>
      <c r="AF75" s="42">
        <f>VLOOKUP($C75,Segment!$B$460:$G$531,3,0)/1000</f>
        <v>-18681.798999999999</v>
      </c>
      <c r="AI75" s="42">
        <f>VLOOKUP($C75,Segment!$B$4:$G$71,4,0)/1000</f>
        <v>0</v>
      </c>
      <c r="AJ75" s="42">
        <f>VLOOKUP($C75,Segment!$B$77:$G$146,4,0)/1000</f>
        <v>-12.01</v>
      </c>
      <c r="AK75" s="42">
        <f>VLOOKUP($C75,Segment!$B$152:$G$223,4,0)/1000</f>
        <v>-327.27999999999997</v>
      </c>
      <c r="AL75" s="42">
        <f>VLOOKUP($C75,Segment!$B$229:$G$300,4,0)/1000</f>
        <v>-185.12</v>
      </c>
      <c r="AM75" s="42">
        <f>VLOOKUP($C75,Segment!$B$306:$G$377,4,0)/1000</f>
        <v>-62.7</v>
      </c>
      <c r="AN75" s="42">
        <f>VLOOKUP($C75,Segment!$B$383:$G$454,4,0)/1000</f>
        <v>-1265.5166899999999</v>
      </c>
      <c r="AO75" s="42">
        <f>VLOOKUP($C75,Segment!$B$460:$G$531,4,0)/1000</f>
        <v>-180.79938000000001</v>
      </c>
      <c r="AR75" s="42">
        <f t="shared" ref="AR75:AR80" si="145">Z75+AI75</f>
        <v>0</v>
      </c>
      <c r="AS75" s="42">
        <f t="shared" ref="AS75:AS80" si="146">AA75+AJ75</f>
        <v>-543.38499999999999</v>
      </c>
      <c r="AT75" s="42">
        <f t="shared" ref="AT75:AT80" si="147">AB75+AK75</f>
        <v>-735.02499999999998</v>
      </c>
      <c r="AU75" s="42">
        <f t="shared" ref="AU75:AU80" si="148">AC75+AL75</f>
        <v>-1283.3470000000002</v>
      </c>
      <c r="AV75" s="42">
        <f t="shared" ref="AV75:AV80" si="149">AD75+AM75</f>
        <v>-7901.3450000000003</v>
      </c>
      <c r="AW75" s="42">
        <f t="shared" ref="AW75:AX80" si="150">AE75+AN75</f>
        <v>-15638.24669</v>
      </c>
      <c r="AX75" s="42">
        <f t="shared" si="150"/>
        <v>-18862.598379999999</v>
      </c>
      <c r="AY75" s="132">
        <f>AX75/AW75-1</f>
        <v>0.20618370805352737</v>
      </c>
      <c r="BB75" s="42">
        <f>VLOOKUP($C75,Segment!$B$4:$G$71,5,0)/1000</f>
        <v>0</v>
      </c>
      <c r="BC75" s="42">
        <f>VLOOKUP($C75,Segment!$B$77:$G$146,5,0)/1000</f>
        <v>0</v>
      </c>
      <c r="BD75" s="42">
        <f>VLOOKUP($C75,Segment!$B$152:$G$223,5,0)/1000</f>
        <v>0</v>
      </c>
      <c r="BE75" s="42">
        <f>VLOOKUP($C75,Segment!$B$229:$G$300,5,0)/1000</f>
        <v>-3190.0324000000001</v>
      </c>
      <c r="BF75" s="42">
        <f>VLOOKUP($C75,Segment!$B$306:$G$377,5,0)/1000</f>
        <v>-7109.6260399999992</v>
      </c>
      <c r="BG75" s="42">
        <f>VLOOKUP($C75,Segment!$B$383:$G$454,5,0)/1000</f>
        <v>-5664.3443399999996</v>
      </c>
      <c r="BH75" s="42">
        <f>VLOOKUP($C75,Segment!$B$460:$G$531,5,0)/1000</f>
        <v>-1698.1950400000001</v>
      </c>
    </row>
    <row r="76" spans="3:60" x14ac:dyDescent="0.3">
      <c r="C76" s="36" t="s">
        <v>41</v>
      </c>
      <c r="F76" s="42">
        <f>VLOOKUP($C76,Segment!$B$4:$G$71,6,0)/1000</f>
        <v>-152.52115000000001</v>
      </c>
      <c r="G76" s="42">
        <f>VLOOKUP($C76,Segment!$B$77:$G$146,6,0)/1000</f>
        <v>-24132.294999999998</v>
      </c>
      <c r="H76" s="42">
        <f>VLOOKUP($C76,Segment!$B$152:$G$223,6,0)/1000</f>
        <v>-1315.6020000000001</v>
      </c>
      <c r="I76" s="42">
        <f>VLOOKUP($C76,Segment!$B$229:$G$300,6,0)/1000</f>
        <v>10086.4715</v>
      </c>
      <c r="J76" s="42">
        <f>VLOOKUP($C76,Segment!$B$306:$G$377,6,0)/1000</f>
        <v>-620</v>
      </c>
      <c r="K76" s="42">
        <f>VLOOKUP($C76,Segment!$B$383:$G$454,6,0)/1000</f>
        <v>-15300</v>
      </c>
      <c r="L76" s="42">
        <f>VLOOKUP($C76,Segment!$B$460:$G$531,6,0)/1000</f>
        <v>14800</v>
      </c>
      <c r="M76" s="132">
        <f t="shared" si="144"/>
        <v>-1.9673202614379086</v>
      </c>
      <c r="P76" s="42">
        <f>VLOOKUP($C76,Segment!$B$4:$G$71,2,0)/1000</f>
        <v>-152.52115000000001</v>
      </c>
      <c r="Q76" s="42">
        <f>VLOOKUP($C76,Segment!$B$77:$G$146,2,0)/1000</f>
        <v>-24132.294999999998</v>
      </c>
      <c r="R76" s="42">
        <f>VLOOKUP($C76,Segment!$B$152:$G$223,2,0)/1000</f>
        <v>-1315.6020000000001</v>
      </c>
      <c r="S76" s="42">
        <f>VLOOKUP($C76,Segment!$B$229:$G$300,2,0)/1000</f>
        <v>10086.4715</v>
      </c>
      <c r="T76" s="42">
        <f>VLOOKUP($C76,Segment!$B$306:$G$377,2,0)/1000</f>
        <v>0</v>
      </c>
      <c r="U76" s="42">
        <f>VLOOKUP($C76,Segment!$B$383:$G$454,2,0)/1000</f>
        <v>-15000</v>
      </c>
      <c r="V76" s="42">
        <f>VLOOKUP($C76,Segment!$B$460:$G$531,2,0)/1000</f>
        <v>15000</v>
      </c>
      <c r="Z76" s="42">
        <f>VLOOKUP($C76,Segment!$B$4:$G$71,3,0)/1000</f>
        <v>0</v>
      </c>
      <c r="AA76" s="42">
        <f>VLOOKUP($C76,Segment!$B$77:$G$146,3,0)/1000</f>
        <v>0</v>
      </c>
      <c r="AB76" s="42">
        <f>VLOOKUP($C76,Segment!$B$152:$G$223,3,0)/1000</f>
        <v>0</v>
      </c>
      <c r="AC76" s="42">
        <f>VLOOKUP($C76,Segment!$B$229:$G$300,3,0)/1000</f>
        <v>0</v>
      </c>
      <c r="AD76" s="42">
        <f>VLOOKUP($C76,Segment!$B$306:$G$377,3,0)/1000</f>
        <v>-620</v>
      </c>
      <c r="AE76" s="42">
        <f>VLOOKUP($C76,Segment!$B$383:$G$454,3,0)/1000</f>
        <v>-300</v>
      </c>
      <c r="AF76" s="42">
        <f>VLOOKUP($C76,Segment!$B$460:$G$531,3,0)/1000</f>
        <v>-200</v>
      </c>
      <c r="AI76" s="42">
        <f>VLOOKUP($C76,Segment!$B$4:$G$71,4,0)/1000</f>
        <v>0</v>
      </c>
      <c r="AJ76" s="42">
        <f>VLOOKUP($C76,Segment!$B$77:$G$146,4,0)/1000</f>
        <v>0</v>
      </c>
      <c r="AK76" s="42">
        <f>VLOOKUP($C76,Segment!$B$152:$G$223,4,0)/1000</f>
        <v>0</v>
      </c>
      <c r="AL76" s="42">
        <f>VLOOKUP($C76,Segment!$B$229:$G$300,4,0)/1000</f>
        <v>0</v>
      </c>
      <c r="AM76" s="42">
        <f>VLOOKUP($C76,Segment!$B$306:$G$377,4,0)/1000</f>
        <v>0</v>
      </c>
      <c r="AN76" s="42">
        <f>VLOOKUP($C76,Segment!$B$383:$G$454,4,0)/1000</f>
        <v>0</v>
      </c>
      <c r="AO76" s="42">
        <f>VLOOKUP($C76,Segment!$B$460:$G$531,4,0)/1000</f>
        <v>0</v>
      </c>
      <c r="AR76" s="42">
        <f t="shared" si="145"/>
        <v>0</v>
      </c>
      <c r="AS76" s="42">
        <f t="shared" si="146"/>
        <v>0</v>
      </c>
      <c r="AT76" s="42">
        <f t="shared" si="147"/>
        <v>0</v>
      </c>
      <c r="AU76" s="42">
        <f t="shared" si="148"/>
        <v>0</v>
      </c>
      <c r="AV76" s="42">
        <f t="shared" si="149"/>
        <v>-620</v>
      </c>
      <c r="AW76" s="42">
        <f t="shared" si="150"/>
        <v>-300</v>
      </c>
      <c r="AX76" s="42">
        <f t="shared" si="150"/>
        <v>-200</v>
      </c>
      <c r="AY76" s="132">
        <f>AX76/AW76-1</f>
        <v>-0.33333333333333337</v>
      </c>
      <c r="BB76" s="42">
        <f>VLOOKUP($C76,Segment!$B$4:$G$71,5,0)/1000</f>
        <v>0</v>
      </c>
      <c r="BC76" s="42">
        <f>VLOOKUP($C76,Segment!$B$77:$G$146,5,0)/1000</f>
        <v>0</v>
      </c>
      <c r="BD76" s="42">
        <f>VLOOKUP($C76,Segment!$B$152:$G$223,5,0)/1000</f>
        <v>0</v>
      </c>
      <c r="BE76" s="42">
        <f>VLOOKUP($C76,Segment!$B$229:$G$300,5,0)/1000</f>
        <v>0</v>
      </c>
      <c r="BF76" s="42">
        <f>VLOOKUP($C76,Segment!$B$306:$G$377,5,0)/1000</f>
        <v>0</v>
      </c>
      <c r="BG76" s="42">
        <f>VLOOKUP($C76,Segment!$B$383:$G$454,5,0)/1000</f>
        <v>0</v>
      </c>
      <c r="BH76" s="42">
        <f>VLOOKUP($C76,Segment!$B$460:$G$531,5,0)/1000</f>
        <v>0</v>
      </c>
    </row>
    <row r="77" spans="3:60" x14ac:dyDescent="0.3">
      <c r="C77" s="36" t="s">
        <v>42</v>
      </c>
      <c r="D77" s="110">
        <v>40</v>
      </c>
      <c r="F77" s="42">
        <f>VLOOKUP($C77,Segment!$B$4:$G$71,6,0)/1000</f>
        <v>0</v>
      </c>
      <c r="G77" s="42">
        <f>VLOOKUP($C77,Segment!$B$77:$G$146,6,0)/1000</f>
        <v>0</v>
      </c>
      <c r="H77" s="42">
        <f>VLOOKUP($C77,Segment!$B$152:$G$223,6,0)/1000</f>
        <v>-40.046999999999997</v>
      </c>
      <c r="I77" s="42">
        <f>VLOOKUP($C77,Segment!$B$229:$G$300,6,0)/1000</f>
        <v>-23174.509030000001</v>
      </c>
      <c r="J77" s="42">
        <f>VLOOKUP($C77,Segment!$B$306:$G$377,6,0)/1000</f>
        <v>-42337.312689999999</v>
      </c>
      <c r="K77" s="42">
        <f>VLOOKUP($C77,Segment!$B$383:$G$454,6,0)/1000</f>
        <v>-54344.823440000007</v>
      </c>
      <c r="L77" s="42">
        <f>VLOOKUP($C77,Segment!$B$460:$G$531,6,0)/1000</f>
        <v>-69668.014559999996</v>
      </c>
      <c r="M77" s="132">
        <f t="shared" si="144"/>
        <v>0.28196229465935652</v>
      </c>
      <c r="P77" s="42">
        <f>VLOOKUP($C77,Segment!$B$4:$G$71,2,0)/1000</f>
        <v>0</v>
      </c>
      <c r="Q77" s="42">
        <f>VLOOKUP($C77,Segment!$B$77:$G$146,2,0)/1000</f>
        <v>0</v>
      </c>
      <c r="R77" s="42">
        <f>VLOOKUP($C77,Segment!$B$152:$G$223,2,0)/1000</f>
        <v>-40.046999999999997</v>
      </c>
      <c r="S77" s="42">
        <f>VLOOKUP($C77,Segment!$B$229:$G$300,2,0)/1000</f>
        <v>-21899.370170000002</v>
      </c>
      <c r="T77" s="42">
        <f>VLOOKUP($C77,Segment!$B$306:$G$377,2,0)/1000</f>
        <v>-41069.673900000002</v>
      </c>
      <c r="U77" s="42">
        <f>VLOOKUP($C77,Segment!$B$383:$G$454,2,0)/1000</f>
        <v>-36844.509590000001</v>
      </c>
      <c r="V77" s="42">
        <f>VLOOKUP($C77,Segment!$B$460:$G$531,2,0)/1000</f>
        <v>-47218.366559999995</v>
      </c>
      <c r="W77" s="132">
        <f t="shared" ref="W77:W83" si="151">V77/U77-1</f>
        <v>0.28155774321435323</v>
      </c>
      <c r="Z77" s="42">
        <f>VLOOKUP($C77,Segment!$B$4:$G$71,3,0)/1000</f>
        <v>0</v>
      </c>
      <c r="AA77" s="42">
        <f>VLOOKUP($C77,Segment!$B$77:$G$146,3,0)/1000</f>
        <v>0</v>
      </c>
      <c r="AB77" s="42">
        <f>VLOOKUP($C77,Segment!$B$152:$G$223,3,0)/1000</f>
        <v>0</v>
      </c>
      <c r="AC77" s="42">
        <f>VLOOKUP($C77,Segment!$B$229:$G$300,3,0)/1000</f>
        <v>-1127.1300000000001</v>
      </c>
      <c r="AD77" s="42">
        <f>VLOOKUP($C77,Segment!$B$306:$G$377,3,0)/1000</f>
        <v>-1230.0329999999999</v>
      </c>
      <c r="AE77" s="42">
        <f>VLOOKUP($C77,Segment!$B$383:$G$454,3,0)/1000</f>
        <v>-14849.449200000001</v>
      </c>
      <c r="AF77" s="42">
        <f>VLOOKUP($C77,Segment!$B$460:$G$531,3,0)/1000</f>
        <v>-18525.732039999999</v>
      </c>
      <c r="AI77" s="42">
        <f>VLOOKUP($C77,Segment!$B$4:$G$71,4,0)/1000</f>
        <v>0</v>
      </c>
      <c r="AJ77" s="42">
        <f>VLOOKUP($C77,Segment!$B$77:$G$146,4,0)/1000</f>
        <v>0</v>
      </c>
      <c r="AK77" s="42">
        <f>VLOOKUP($C77,Segment!$B$152:$G$223,4,0)/1000</f>
        <v>0</v>
      </c>
      <c r="AL77" s="42">
        <f>VLOOKUP($C77,Segment!$B$229:$G$300,4,0)/1000</f>
        <v>-148.00886</v>
      </c>
      <c r="AM77" s="42">
        <f>VLOOKUP($C77,Segment!$B$306:$G$377,4,0)/1000</f>
        <v>-37.605789999999999</v>
      </c>
      <c r="AN77" s="42">
        <f>VLOOKUP($C77,Segment!$B$383:$G$454,4,0)/1000</f>
        <v>-2624.86564</v>
      </c>
      <c r="AO77" s="42">
        <f>VLOOKUP($C77,Segment!$B$460:$G$531,4,0)/1000</f>
        <v>-3339.1630299999997</v>
      </c>
      <c r="AR77" s="42">
        <f t="shared" si="145"/>
        <v>0</v>
      </c>
      <c r="AS77" s="42">
        <f t="shared" si="146"/>
        <v>0</v>
      </c>
      <c r="AT77" s="42">
        <f t="shared" si="147"/>
        <v>0</v>
      </c>
      <c r="AU77" s="42">
        <f t="shared" si="148"/>
        <v>-1275.13886</v>
      </c>
      <c r="AV77" s="42">
        <f t="shared" si="149"/>
        <v>-1267.63879</v>
      </c>
      <c r="AW77" s="42">
        <f t="shared" si="150"/>
        <v>-17474.314839999999</v>
      </c>
      <c r="AX77" s="42">
        <f t="shared" si="150"/>
        <v>-21864.895069999999</v>
      </c>
      <c r="AY77" s="132">
        <f>AX77/AW77-1</f>
        <v>0.25125907769211286</v>
      </c>
      <c r="BB77" s="42">
        <f>VLOOKUP($C77,Segment!$B$4:$G$71,5,0)/1000</f>
        <v>0</v>
      </c>
      <c r="BC77" s="42">
        <f>VLOOKUP($C77,Segment!$B$77:$G$146,5,0)/1000</f>
        <v>0</v>
      </c>
      <c r="BD77" s="42">
        <f>VLOOKUP($C77,Segment!$B$152:$G$223,5,0)/1000</f>
        <v>0</v>
      </c>
      <c r="BE77" s="42">
        <f>VLOOKUP($C77,Segment!$B$229:$G$300,5,0)/1000</f>
        <v>0</v>
      </c>
      <c r="BF77" s="42">
        <f>VLOOKUP($C77,Segment!$B$306:$G$377,5,0)/1000</f>
        <v>0</v>
      </c>
      <c r="BG77" s="42">
        <f>VLOOKUP($C77,Segment!$B$383:$G$454,5,0)/1000</f>
        <v>-25.999009999999998</v>
      </c>
      <c r="BH77" s="42">
        <f>VLOOKUP($C77,Segment!$B$460:$G$531,5,0)/1000</f>
        <v>-584.75293000000011</v>
      </c>
    </row>
    <row r="78" spans="3:60" x14ac:dyDescent="0.3">
      <c r="C78" s="36" t="s">
        <v>4</v>
      </c>
      <c r="F78" s="42">
        <f>VLOOKUP($C78,Segment!$B$4:$G$71,6,0)/1000</f>
        <v>66.897999999999996</v>
      </c>
      <c r="G78" s="42">
        <f>VLOOKUP($C78,Segment!$B$77:$G$146,6,0)/1000</f>
        <v>-606.44899999999996</v>
      </c>
      <c r="H78" s="42">
        <f>VLOOKUP($C78,Segment!$B$152:$G$223,6,0)/1000</f>
        <v>-82.331999999999994</v>
      </c>
      <c r="I78" s="42">
        <f>VLOOKUP($C78,Segment!$B$229:$G$300,6,0)/1000</f>
        <v>82.178179999999998</v>
      </c>
      <c r="J78" s="42">
        <f>VLOOKUP($C78,Segment!$B$306:$G$377,6,0)/1000</f>
        <v>757.51161000000002</v>
      </c>
      <c r="K78" s="42">
        <f>VLOOKUP($C78,Segment!$B$383:$G$454,6,0)/1000</f>
        <v>2E-3</v>
      </c>
      <c r="L78" s="42">
        <f>VLOOKUP($C78,Segment!$B$460:$G$531,6,0)/1000</f>
        <v>1487.7235904826448</v>
      </c>
      <c r="M78" s="132">
        <f t="shared" si="144"/>
        <v>743860.79524132237</v>
      </c>
      <c r="P78" s="42">
        <f>VLOOKUP($C78,Segment!$B$4:$G$71,2,0)/1000</f>
        <v>66.897999999999996</v>
      </c>
      <c r="Q78" s="42">
        <f>VLOOKUP($C78,Segment!$B$77:$G$146,2,0)/1000</f>
        <v>-640.53399999999999</v>
      </c>
      <c r="R78" s="42">
        <f>VLOOKUP($C78,Segment!$B$152:$G$223,2,0)/1000</f>
        <v>-28.771000000000001</v>
      </c>
      <c r="S78" s="42">
        <f>VLOOKUP($C78,Segment!$B$229:$G$300,2,0)/1000</f>
        <v>1.7999999999999998E-4</v>
      </c>
      <c r="T78" s="42">
        <f>VLOOKUP($C78,Segment!$B$306:$G$377,2,0)/1000</f>
        <v>757.43561</v>
      </c>
      <c r="U78" s="42">
        <f>VLOOKUP($C78,Segment!$B$383:$G$454,2,0)/1000</f>
        <v>0</v>
      </c>
      <c r="V78" s="42">
        <f>VLOOKUP($C78,Segment!$B$460:$G$531,2,0)/1000</f>
        <v>750.46289999999999</v>
      </c>
      <c r="W78" s="132" t="e">
        <f t="shared" si="151"/>
        <v>#DIV/0!</v>
      </c>
      <c r="Z78" s="42">
        <f>VLOOKUP($C78,Segment!$B$4:$G$71,3,0)/1000</f>
        <v>0</v>
      </c>
      <c r="AA78" s="42">
        <f>VLOOKUP($C78,Segment!$B$77:$G$146,3,0)/1000</f>
        <v>34.085000000000001</v>
      </c>
      <c r="AB78" s="42">
        <f>VLOOKUP($C78,Segment!$B$152:$G$223,3,0)/1000</f>
        <v>-53.561</v>
      </c>
      <c r="AC78" s="42">
        <f>VLOOKUP($C78,Segment!$B$229:$G$300,3,0)/1000</f>
        <v>82.177999999999997</v>
      </c>
      <c r="AD78" s="42">
        <f>VLOOKUP($C78,Segment!$B$306:$G$377,3,0)/1000</f>
        <v>7.5999999999999998E-2</v>
      </c>
      <c r="AE78" s="42">
        <f>VLOOKUP($C78,Segment!$B$383:$G$454,3,0)/1000</f>
        <v>2E-3</v>
      </c>
      <c r="AF78" s="42">
        <f>VLOOKUP($C78,Segment!$B$460:$G$531,3,0)/1000</f>
        <v>-2202.777</v>
      </c>
      <c r="AI78" s="42">
        <f>VLOOKUP($C78,Segment!$B$4:$G$71,4,0)/1000</f>
        <v>0</v>
      </c>
      <c r="AJ78" s="42">
        <f>VLOOKUP($C78,Segment!$B$77:$G$146,4,0)/1000</f>
        <v>0</v>
      </c>
      <c r="AK78" s="42">
        <f>VLOOKUP($C78,Segment!$B$152:$G$223,4,0)/1000</f>
        <v>0</v>
      </c>
      <c r="AL78" s="42">
        <f>VLOOKUP($C78,Segment!$B$229:$G$300,4,0)/1000</f>
        <v>0</v>
      </c>
      <c r="AM78" s="42">
        <f>VLOOKUP($C78,Segment!$B$306:$G$377,4,0)/1000</f>
        <v>0</v>
      </c>
      <c r="AN78" s="42">
        <f>VLOOKUP($C78,Segment!$B$383:$G$454,4,0)/1000</f>
        <v>0</v>
      </c>
      <c r="AO78" s="42">
        <f>VLOOKUP($C78,Segment!$B$460:$G$531,4,0)/1000</f>
        <v>2901.88168</v>
      </c>
      <c r="AR78" s="42">
        <f t="shared" si="145"/>
        <v>0</v>
      </c>
      <c r="AS78" s="42">
        <f t="shared" si="146"/>
        <v>34.085000000000001</v>
      </c>
      <c r="AT78" s="42">
        <f t="shared" si="147"/>
        <v>-53.561</v>
      </c>
      <c r="AU78" s="42">
        <f t="shared" si="148"/>
        <v>82.177999999999997</v>
      </c>
      <c r="AV78" s="42">
        <f t="shared" si="149"/>
        <v>7.5999999999999998E-2</v>
      </c>
      <c r="AW78" s="42">
        <f t="shared" si="150"/>
        <v>2E-3</v>
      </c>
      <c r="AX78" s="42">
        <f t="shared" si="150"/>
        <v>699.10467999999992</v>
      </c>
      <c r="AY78" s="132">
        <f>AX78/AW78-1</f>
        <v>349551.33999999997</v>
      </c>
      <c r="BB78" s="42">
        <f>VLOOKUP($C78,Segment!$B$4:$G$71,5,0)/1000</f>
        <v>0</v>
      </c>
      <c r="BC78" s="42">
        <f>VLOOKUP($C78,Segment!$B$77:$G$146,5,0)/1000</f>
        <v>0</v>
      </c>
      <c r="BD78" s="42">
        <f>VLOOKUP($C78,Segment!$B$152:$G$223,5,0)/1000</f>
        <v>0</v>
      </c>
      <c r="BE78" s="42">
        <f>VLOOKUP($C78,Segment!$B$229:$G$300,5,0)/1000</f>
        <v>0</v>
      </c>
      <c r="BF78" s="42">
        <f>VLOOKUP($C78,Segment!$B$306:$G$377,5,0)/1000</f>
        <v>0</v>
      </c>
      <c r="BG78" s="42">
        <f>VLOOKUP($C78,Segment!$B$383:$G$454,5,0)/1000</f>
        <v>0</v>
      </c>
      <c r="BH78" s="42">
        <f>VLOOKUP($C78,Segment!$B$460:$G$531,5,0)/1000</f>
        <v>38.156010482644604</v>
      </c>
    </row>
    <row r="79" spans="3:60" x14ac:dyDescent="0.3">
      <c r="C79" s="36" t="s">
        <v>5</v>
      </c>
      <c r="F79" s="42">
        <f>VLOOKUP($C79,Segment!$B$4:$G$71,6,0)/1000</f>
        <v>-80</v>
      </c>
      <c r="G79" s="42">
        <f>VLOOKUP($C79,Segment!$B$77:$G$146,6,0)/1000</f>
        <v>-61</v>
      </c>
      <c r="H79" s="42">
        <f>VLOOKUP($C79,Segment!$B$152:$G$223,6,0)/1000</f>
        <v>-578</v>
      </c>
      <c r="I79" s="42">
        <f>VLOOKUP($C79,Segment!$B$229:$G$300,6,0)/1000</f>
        <v>-964</v>
      </c>
      <c r="J79" s="42">
        <f>VLOOKUP($C79,Segment!$B$306:$G$377,6,0)/1000</f>
        <v>-1343</v>
      </c>
      <c r="K79" s="42">
        <f>VLOOKUP($C79,Segment!$B$383:$G$454,6,0)/1000</f>
        <v>-1814</v>
      </c>
      <c r="L79" s="42">
        <f>VLOOKUP($C79,Segment!$B$460:$G$531,6,0)/1000</f>
        <v>-3793</v>
      </c>
      <c r="M79" s="132">
        <f t="shared" si="144"/>
        <v>1.0909592061742006</v>
      </c>
      <c r="P79" s="42">
        <f>VLOOKUP($C79,Segment!$B$4:$G$71,2,0)/1000</f>
        <v>-80</v>
      </c>
      <c r="Q79" s="42">
        <f>VLOOKUP($C79,Segment!$B$77:$G$146,2,0)/1000</f>
        <v>-61</v>
      </c>
      <c r="R79" s="42">
        <f>VLOOKUP($C79,Segment!$B$152:$G$223,2,0)/1000</f>
        <v>-578</v>
      </c>
      <c r="S79" s="42">
        <f>VLOOKUP($C79,Segment!$B$229:$G$300,2,0)/1000</f>
        <v>-964</v>
      </c>
      <c r="T79" s="42">
        <f>VLOOKUP($C79,Segment!$B$306:$G$377,2,0)/1000</f>
        <v>-1343</v>
      </c>
      <c r="U79" s="42">
        <f>VLOOKUP($C79,Segment!$B$383:$G$454,2,0)/1000</f>
        <v>-1814</v>
      </c>
      <c r="V79" s="42">
        <f>VLOOKUP($C79,Segment!$B$460:$G$531,2,0)/1000</f>
        <v>-3793</v>
      </c>
      <c r="W79" s="132">
        <f t="shared" si="151"/>
        <v>1.0909592061742006</v>
      </c>
      <c r="Z79" s="42">
        <f>VLOOKUP($C79,Segment!$B$4:$G$71,3,0)/1000</f>
        <v>0</v>
      </c>
      <c r="AA79" s="42">
        <f>VLOOKUP($C79,Segment!$B$77:$G$146,3,0)/1000</f>
        <v>0</v>
      </c>
      <c r="AB79" s="42">
        <f>VLOOKUP($C79,Segment!$B$152:$G$223,3,0)/1000</f>
        <v>0</v>
      </c>
      <c r="AC79" s="42">
        <f>VLOOKUP($C79,Segment!$B$229:$G$300,3,0)/1000</f>
        <v>0</v>
      </c>
      <c r="AD79" s="42">
        <f>VLOOKUP($C79,Segment!$B$306:$G$377,3,0)/1000</f>
        <v>0</v>
      </c>
      <c r="AE79" s="42">
        <f>VLOOKUP($C79,Segment!$B$383:$G$454,3,0)/1000</f>
        <v>0</v>
      </c>
      <c r="AF79" s="42">
        <f>VLOOKUP($C79,Segment!$B$460:$G$531,3,0)/1000</f>
        <v>0</v>
      </c>
      <c r="AI79" s="42">
        <f>VLOOKUP($C79,Segment!$B$4:$G$71,4,0)/1000</f>
        <v>0</v>
      </c>
      <c r="AJ79" s="42">
        <f>VLOOKUP($C79,Segment!$B$77:$G$146,4,0)/1000</f>
        <v>0</v>
      </c>
      <c r="AK79" s="42">
        <f>VLOOKUP($C79,Segment!$B$152:$G$223,4,0)/1000</f>
        <v>0</v>
      </c>
      <c r="AL79" s="42">
        <f>VLOOKUP($C79,Segment!$B$229:$G$300,4,0)/1000</f>
        <v>0</v>
      </c>
      <c r="AM79" s="42">
        <f>VLOOKUP($C79,Segment!$B$306:$G$377,4,0)/1000</f>
        <v>0</v>
      </c>
      <c r="AN79" s="42">
        <f>VLOOKUP($C79,Segment!$B$383:$G$454,4,0)/1000</f>
        <v>0</v>
      </c>
      <c r="AO79" s="42">
        <f>VLOOKUP($C79,Segment!$B$460:$G$531,4,0)/1000</f>
        <v>0</v>
      </c>
      <c r="AR79" s="42">
        <f t="shared" si="145"/>
        <v>0</v>
      </c>
      <c r="AS79" s="42">
        <f t="shared" si="146"/>
        <v>0</v>
      </c>
      <c r="AT79" s="42">
        <f t="shared" si="147"/>
        <v>0</v>
      </c>
      <c r="AU79" s="42">
        <f t="shared" si="148"/>
        <v>0</v>
      </c>
      <c r="AV79" s="42">
        <f t="shared" si="149"/>
        <v>0</v>
      </c>
      <c r="AW79" s="42">
        <f t="shared" si="150"/>
        <v>0</v>
      </c>
      <c r="AX79" s="42">
        <f t="shared" si="150"/>
        <v>0</v>
      </c>
      <c r="BB79" s="42">
        <f>VLOOKUP($C79,Segment!$B$4:$G$71,5,0)/1000</f>
        <v>0</v>
      </c>
      <c r="BC79" s="42">
        <f>VLOOKUP($C79,Segment!$B$77:$G$146,5,0)/1000</f>
        <v>0</v>
      </c>
      <c r="BD79" s="42">
        <f>VLOOKUP($C79,Segment!$B$152:$G$223,5,0)/1000</f>
        <v>0</v>
      </c>
      <c r="BE79" s="42">
        <f>VLOOKUP($C79,Segment!$B$229:$G$300,5,0)/1000</f>
        <v>0</v>
      </c>
      <c r="BF79" s="42">
        <f>VLOOKUP($C79,Segment!$B$306:$G$377,5,0)/1000</f>
        <v>0</v>
      </c>
      <c r="BG79" s="42">
        <f>VLOOKUP($C79,Segment!$B$383:$G$454,5,0)/1000</f>
        <v>0</v>
      </c>
      <c r="BH79" s="42">
        <f>VLOOKUP($C79,Segment!$B$460:$G$531,5,0)/1000</f>
        <v>0</v>
      </c>
    </row>
    <row r="80" spans="3:60" x14ac:dyDescent="0.3">
      <c r="C80" s="36" t="s">
        <v>182</v>
      </c>
      <c r="D80" s="110">
        <v>22</v>
      </c>
      <c r="F80" s="42">
        <f>VLOOKUP($C80,Segment!$B$4:$G$71,6,0)/1000</f>
        <v>-14330.365689999999</v>
      </c>
      <c r="G80" s="42">
        <f>VLOOKUP($C80,Segment!$B$77:$G$146,6,0)/1000</f>
        <v>-6636.2471232799999</v>
      </c>
      <c r="H80" s="42">
        <f>VLOOKUP($C80,Segment!$B$152:$G$223,6,0)/1000</f>
        <v>-10238.2215903327</v>
      </c>
      <c r="I80" s="42">
        <f>VLOOKUP($C80,Segment!$B$229:$G$300,6,0)/1000</f>
        <v>-11353.703820000001</v>
      </c>
      <c r="J80" s="42">
        <f>VLOOKUP($C80,Segment!$B$306:$G$377,6,0)/1000</f>
        <v>-107341.29357204439</v>
      </c>
      <c r="K80" s="42">
        <f>VLOOKUP($C80,Segment!$B$383:$G$454,6,0)/1000</f>
        <v>-215123.26912194662</v>
      </c>
      <c r="L80" s="42">
        <f>VLOOKUP($C80,Segment!$B$460:$G$531,6,0)/1000</f>
        <v>-113279.54427259871</v>
      </c>
      <c r="M80" s="132">
        <f t="shared" si="144"/>
        <v>-0.47342031043427435</v>
      </c>
      <c r="P80" s="42">
        <f>VLOOKUP($C80,Segment!$B$4:$G$71,2,0)/1000</f>
        <v>-14330.365689999999</v>
      </c>
      <c r="Q80" s="42">
        <f>VLOOKUP($C80,Segment!$B$77:$G$146,2,0)/1000</f>
        <v>-6354.9539999999997</v>
      </c>
      <c r="R80" s="42">
        <f>VLOOKUP($C80,Segment!$B$152:$G$223,2,0)/1000</f>
        <v>-12534.51744</v>
      </c>
      <c r="S80" s="42">
        <f>VLOOKUP($C80,Segment!$B$229:$G$300,2,0)/1000</f>
        <v>-6009.7942400000002</v>
      </c>
      <c r="T80" s="42">
        <f>VLOOKUP($C80,Segment!$B$306:$G$377,2,0)/1000</f>
        <v>-106771.19003999997</v>
      </c>
      <c r="U80" s="42">
        <f>VLOOKUP($C80,Segment!$B$383:$G$454,2,0)/1000</f>
        <v>-207343.30578999993</v>
      </c>
      <c r="V80" s="42">
        <f>VLOOKUP($C80,Segment!$B$460:$G$531,2,0)/1000</f>
        <v>-120456.07559000002</v>
      </c>
      <c r="W80" s="132">
        <f t="shared" si="151"/>
        <v>-0.4190500863722143</v>
      </c>
      <c r="Z80" s="42">
        <f>VLOOKUP($C80,Segment!$B$4:$G$71,3,0)/1000</f>
        <v>0</v>
      </c>
      <c r="AA80" s="42">
        <f>VLOOKUP($C80,Segment!$B$77:$G$146,3,0)/1000</f>
        <v>-281.29312328000003</v>
      </c>
      <c r="AB80" s="42">
        <f>VLOOKUP($C80,Segment!$B$152:$G$223,3,0)/1000</f>
        <v>-258.10415033269999</v>
      </c>
      <c r="AC80" s="42">
        <f>VLOOKUP($C80,Segment!$B$229:$G$300,3,0)/1000</f>
        <v>-2547.0970000000002</v>
      </c>
      <c r="AD80" s="42">
        <f>VLOOKUP($C80,Segment!$B$306:$G$377,3,0)/1000</f>
        <v>-1295.5171820444</v>
      </c>
      <c r="AE80" s="42">
        <f>VLOOKUP($C80,Segment!$B$383:$G$454,3,0)/1000</f>
        <v>-5784.5902069467002</v>
      </c>
      <c r="AF80" s="42">
        <f>VLOOKUP($C80,Segment!$B$460:$G$531,3,0)/1000</f>
        <v>3745.8658274013001</v>
      </c>
      <c r="AI80" s="42">
        <f>VLOOKUP($C80,Segment!$B$4:$G$71,4,0)/1000</f>
        <v>0</v>
      </c>
      <c r="AJ80" s="42">
        <f>VLOOKUP($C80,Segment!$B$77:$G$146,4,0)/1000</f>
        <v>0</v>
      </c>
      <c r="AK80" s="42">
        <f>VLOOKUP($C80,Segment!$B$152:$G$223,4,0)/1000</f>
        <v>2554.4</v>
      </c>
      <c r="AL80" s="42">
        <f>VLOOKUP($C80,Segment!$B$229:$G$300,4,0)/1000</f>
        <v>-2796.1639100000002</v>
      </c>
      <c r="AM80" s="42">
        <f>VLOOKUP($C80,Segment!$B$306:$G$377,4,0)/1000</f>
        <v>760.13348999999994</v>
      </c>
      <c r="AN80" s="42">
        <f>VLOOKUP($C80,Segment!$B$383:$G$454,4,0)/1000</f>
        <v>-2030.7416350000003</v>
      </c>
      <c r="AO80" s="42">
        <f>VLOOKUP($C80,Segment!$B$460:$G$531,4,0)/1000</f>
        <v>3486.5116799999996</v>
      </c>
      <c r="AR80" s="42">
        <f t="shared" si="145"/>
        <v>0</v>
      </c>
      <c r="AS80" s="42">
        <f t="shared" si="146"/>
        <v>-281.29312328000003</v>
      </c>
      <c r="AT80" s="42">
        <f t="shared" si="147"/>
        <v>2296.2958496673</v>
      </c>
      <c r="AU80" s="42">
        <f t="shared" si="148"/>
        <v>-5343.2609100000009</v>
      </c>
      <c r="AV80" s="42">
        <f t="shared" si="149"/>
        <v>-535.38369204440005</v>
      </c>
      <c r="AW80" s="42">
        <f t="shared" si="150"/>
        <v>-7815.3318419467005</v>
      </c>
      <c r="AX80" s="42">
        <f t="shared" si="150"/>
        <v>7232.3775074012992</v>
      </c>
      <c r="AY80" s="132">
        <f>AX80/AW80-1</f>
        <v>-1.9254088826508235</v>
      </c>
      <c r="BB80" s="42">
        <f>VLOOKUP($C80,Segment!$B$4:$G$71,5,0)/1000</f>
        <v>0</v>
      </c>
      <c r="BC80" s="42">
        <f>VLOOKUP($C80,Segment!$B$77:$G$146,5,0)/1000</f>
        <v>0</v>
      </c>
      <c r="BD80" s="42">
        <f>VLOOKUP($C80,Segment!$B$152:$G$223,5,0)/1000</f>
        <v>0</v>
      </c>
      <c r="BE80" s="42">
        <f>VLOOKUP($C80,Segment!$B$229:$G$300,5,0)/1000</f>
        <v>-0.64867000000000008</v>
      </c>
      <c r="BF80" s="42">
        <f>VLOOKUP($C80,Segment!$B$306:$G$377,5,0)/1000</f>
        <v>-34.719839999999998</v>
      </c>
      <c r="BG80" s="42">
        <f>VLOOKUP($C80,Segment!$B$383:$G$454,5,0)/1000</f>
        <v>35.368510000000001</v>
      </c>
      <c r="BH80" s="42">
        <f>VLOOKUP($C80,Segment!$B$460:$G$531,5,0)/1000</f>
        <v>-55.84619</v>
      </c>
    </row>
    <row r="81" spans="3:60" x14ac:dyDescent="0.3">
      <c r="C81" s="43" t="s">
        <v>11</v>
      </c>
      <c r="D81" s="111"/>
      <c r="E81" s="43"/>
      <c r="F81" s="44">
        <f t="shared" ref="F81:L81" si="152">F71+F72+F73+F75+F76+F77+F78+F79+F80+F70</f>
        <v>-225075.74294</v>
      </c>
      <c r="G81" s="44">
        <f t="shared" si="152"/>
        <v>-308452.85150327999</v>
      </c>
      <c r="H81" s="44">
        <f t="shared" si="152"/>
        <v>-412702.15641033277</v>
      </c>
      <c r="I81" s="44">
        <f t="shared" si="152"/>
        <v>-566121.50446900004</v>
      </c>
      <c r="J81" s="44">
        <f t="shared" si="152"/>
        <v>-895653.31424204446</v>
      </c>
      <c r="K81" s="44">
        <f t="shared" si="152"/>
        <v>-1066391.9006539467</v>
      </c>
      <c r="L81" s="44">
        <f t="shared" si="152"/>
        <v>-1464383.3185794265</v>
      </c>
      <c r="M81" s="170">
        <f t="shared" si="144"/>
        <v>0.37321309143610182</v>
      </c>
      <c r="O81" s="43"/>
      <c r="P81" s="44">
        <f t="shared" ref="P81:V81" si="153">P71+P72+P73+P75+P76+P77+P78+P79+P80+P70</f>
        <v>-213169.61593999999</v>
      </c>
      <c r="Q81" s="44">
        <f t="shared" si="153"/>
        <v>-275115.88838000002</v>
      </c>
      <c r="R81" s="44">
        <f t="shared" si="153"/>
        <v>-361405.23926</v>
      </c>
      <c r="S81" s="44">
        <f t="shared" si="153"/>
        <v>-468676.4901600001</v>
      </c>
      <c r="T81" s="44">
        <f t="shared" si="153"/>
        <v>-753023.61791000003</v>
      </c>
      <c r="U81" s="44">
        <f t="shared" si="153"/>
        <v>-850499.9077999997</v>
      </c>
      <c r="V81" s="44">
        <f t="shared" si="153"/>
        <v>-1197617.6512584507</v>
      </c>
      <c r="W81" s="170">
        <f t="shared" si="151"/>
        <v>0.40813378140903667</v>
      </c>
      <c r="X81" s="44"/>
      <c r="Y81" s="44"/>
      <c r="Z81" s="44">
        <f t="shared" ref="Z81:AF81" si="154">Z71+Z72+Z73+Z75+Z76+Z77+Z78+Z79+Z80+Z70</f>
        <v>-4803.0619999999999</v>
      </c>
      <c r="AA81" s="44">
        <f t="shared" si="154"/>
        <v>-24893.996123280001</v>
      </c>
      <c r="AB81" s="44">
        <f t="shared" si="154"/>
        <v>-44834.066150332699</v>
      </c>
      <c r="AC81" s="44">
        <f t="shared" si="154"/>
        <v>-68339.323999999993</v>
      </c>
      <c r="AD81" s="44">
        <f t="shared" si="154"/>
        <v>-98263.453182044395</v>
      </c>
      <c r="AE81" s="44">
        <f t="shared" si="154"/>
        <v>-151749.03340694669</v>
      </c>
      <c r="AF81" s="44">
        <f t="shared" si="154"/>
        <v>-200913.02221259868</v>
      </c>
      <c r="AG81" s="44"/>
      <c r="AH81" s="44"/>
      <c r="AI81" s="44">
        <f t="shared" ref="AI81:AO81" si="155">AI71+AI72+AI73+AI75+AI76+AI77+AI78+AI79+AI80+AI70</f>
        <v>-7103.0650000000005</v>
      </c>
      <c r="AJ81" s="44">
        <f t="shared" si="155"/>
        <v>-8442.9670000000006</v>
      </c>
      <c r="AK81" s="44">
        <f t="shared" si="155"/>
        <v>-6462.8510000000006</v>
      </c>
      <c r="AL81" s="44">
        <f t="shared" si="155"/>
        <v>-15321.994269000003</v>
      </c>
      <c r="AM81" s="44">
        <f t="shared" si="155"/>
        <v>-16720.218390000002</v>
      </c>
      <c r="AN81" s="44">
        <f t="shared" si="155"/>
        <v>-32093.214186999998</v>
      </c>
      <c r="AO81" s="44">
        <f t="shared" si="155"/>
        <v>-33067.311069999996</v>
      </c>
      <c r="AP81" s="44"/>
      <c r="AQ81" s="44"/>
      <c r="AR81" s="44">
        <f t="shared" ref="AR81:AX81" si="156">AR71+AR72+AR73+AR75+AR76+AR77+AR78+AR79+AR80+AR70</f>
        <v>-11906.126999999999</v>
      </c>
      <c r="AS81" s="44">
        <f t="shared" si="156"/>
        <v>-33336.963123279995</v>
      </c>
      <c r="AT81" s="44">
        <f t="shared" si="156"/>
        <v>-51296.917150332702</v>
      </c>
      <c r="AU81" s="44">
        <f t="shared" si="156"/>
        <v>-83661.318268999996</v>
      </c>
      <c r="AV81" s="44">
        <f t="shared" si="156"/>
        <v>-114983.6715720444</v>
      </c>
      <c r="AW81" s="44">
        <f t="shared" si="156"/>
        <v>-183842.2475939467</v>
      </c>
      <c r="AX81" s="44">
        <f t="shared" si="156"/>
        <v>-233980.33328259873</v>
      </c>
      <c r="AY81" s="170">
        <f>AX81/AW81-1</f>
        <v>0.27272341556328383</v>
      </c>
      <c r="AZ81" s="49"/>
      <c r="BA81" s="44"/>
      <c r="BB81" s="44">
        <f t="shared" ref="BB81:BH81" si="157">BB71+BB72+BB73+BB75+BB76+BB77+BB78+BB79+BB80+BB70</f>
        <v>0</v>
      </c>
      <c r="BC81" s="44">
        <f t="shared" si="157"/>
        <v>0</v>
      </c>
      <c r="BD81" s="44">
        <f t="shared" si="157"/>
        <v>0</v>
      </c>
      <c r="BE81" s="44">
        <f t="shared" si="157"/>
        <v>-13783.696040000003</v>
      </c>
      <c r="BF81" s="44">
        <f t="shared" si="157"/>
        <v>-27646.02476</v>
      </c>
      <c r="BG81" s="44">
        <f t="shared" si="157"/>
        <v>-32049.74526</v>
      </c>
      <c r="BH81" s="44">
        <f t="shared" si="157"/>
        <v>-32785.334038377412</v>
      </c>
    </row>
    <row r="82" spans="3:60" s="45" customFormat="1" x14ac:dyDescent="0.3">
      <c r="C82" s="88" t="s">
        <v>43</v>
      </c>
      <c r="D82" s="117"/>
      <c r="E82" s="88"/>
      <c r="F82" s="89">
        <f t="shared" ref="F82:K82" si="158">F35+F62+F81+F67</f>
        <v>360783.97811999999</v>
      </c>
      <c r="G82" s="89">
        <f t="shared" si="158"/>
        <v>534515.21249672002</v>
      </c>
      <c r="H82" s="89">
        <f t="shared" si="158"/>
        <v>527038.24889966717</v>
      </c>
      <c r="I82" s="89">
        <f t="shared" si="158"/>
        <v>662089.71897699987</v>
      </c>
      <c r="J82" s="89">
        <f t="shared" si="158"/>
        <v>747117.86013795552</v>
      </c>
      <c r="K82" s="89">
        <f t="shared" si="158"/>
        <v>1017441.9633690534</v>
      </c>
      <c r="L82" s="89">
        <f>L35+L62+L81+L67</f>
        <v>998989.48681057326</v>
      </c>
      <c r="M82" s="177">
        <f t="shared" si="144"/>
        <v>-1.8136146554618704E-2</v>
      </c>
      <c r="O82" s="88"/>
      <c r="P82" s="89">
        <f t="shared" ref="P82:U82" si="159">P35+P62+P81+P67</f>
        <v>335687.49411999999</v>
      </c>
      <c r="Q82" s="89">
        <f t="shared" si="159"/>
        <v>506952.94461999997</v>
      </c>
      <c r="R82" s="89">
        <f t="shared" si="159"/>
        <v>503352.85505000001</v>
      </c>
      <c r="S82" s="89">
        <f t="shared" si="159"/>
        <v>619760.22627999994</v>
      </c>
      <c r="T82" s="89">
        <f t="shared" si="159"/>
        <v>684295.82479999994</v>
      </c>
      <c r="U82" s="89">
        <f t="shared" si="159"/>
        <v>879527.49827000033</v>
      </c>
      <c r="V82" s="89">
        <f>V35+V62+V81+V67</f>
        <v>780379.31824154931</v>
      </c>
      <c r="W82" s="177">
        <f t="shared" si="151"/>
        <v>-0.11272891435853005</v>
      </c>
      <c r="X82" s="90"/>
      <c r="Y82" s="89"/>
      <c r="Z82" s="89">
        <f t="shared" ref="Z82:AE82" si="160">Z35+Z62+Z81+Z67</f>
        <v>4327.8170000000009</v>
      </c>
      <c r="AA82" s="89">
        <f t="shared" si="160"/>
        <v>1890.7388767199955</v>
      </c>
      <c r="AB82" s="89">
        <f t="shared" si="160"/>
        <v>1438.9548496672796</v>
      </c>
      <c r="AC82" s="89">
        <f t="shared" si="160"/>
        <v>30952.898999999979</v>
      </c>
      <c r="AD82" s="89">
        <f t="shared" si="160"/>
        <v>66195.101817955569</v>
      </c>
      <c r="AE82" s="89">
        <f t="shared" si="160"/>
        <v>134993.2745930533</v>
      </c>
      <c r="AF82" s="89">
        <f>AF35+AF62+AF81+AF67</f>
        <v>205324.30678740118</v>
      </c>
      <c r="AG82" s="90"/>
      <c r="AH82" s="89"/>
      <c r="AI82" s="89">
        <f t="shared" ref="AI82:AN82" si="161">AI35+AI62+AI81+AI67</f>
        <v>20768.666999999994</v>
      </c>
      <c r="AJ82" s="89">
        <f t="shared" si="161"/>
        <v>25671.528999999999</v>
      </c>
      <c r="AK82" s="89">
        <f t="shared" si="161"/>
        <v>22246.438999999998</v>
      </c>
      <c r="AL82" s="89">
        <f t="shared" si="161"/>
        <v>23761.06386699999</v>
      </c>
      <c r="AM82" s="89">
        <f t="shared" si="161"/>
        <v>16470.945580000007</v>
      </c>
      <c r="AN82" s="89">
        <f t="shared" si="161"/>
        <v>30865.318836000013</v>
      </c>
      <c r="AO82" s="89">
        <f>AO35+AO62+AO81+AO67</f>
        <v>39263.39877</v>
      </c>
      <c r="AP82" s="90"/>
      <c r="AQ82" s="89"/>
      <c r="AR82" s="89">
        <f t="shared" ref="AR82:AW82" si="162">AR35+AR62+AR81+AR67</f>
        <v>25096.483999999997</v>
      </c>
      <c r="AS82" s="89">
        <f t="shared" si="162"/>
        <v>27562.267876720005</v>
      </c>
      <c r="AT82" s="89">
        <f t="shared" si="162"/>
        <v>23685.393849667285</v>
      </c>
      <c r="AU82" s="89">
        <f t="shared" si="162"/>
        <v>54713.962866999966</v>
      </c>
      <c r="AV82" s="89">
        <f t="shared" si="162"/>
        <v>82666.047397955583</v>
      </c>
      <c r="AW82" s="89">
        <f t="shared" si="162"/>
        <v>165858.59342905335</v>
      </c>
      <c r="AX82" s="89">
        <f>AX35+AX62+AX81+AX67</f>
        <v>244587.7055574012</v>
      </c>
      <c r="AY82" s="177">
        <f>AX82/AW82-1</f>
        <v>0.47467611114177544</v>
      </c>
      <c r="AZ82" s="91"/>
      <c r="BA82" s="89"/>
      <c r="BB82" s="89">
        <f t="shared" ref="BB82:BG82" si="163">BB35+BB62+BB81+BB67</f>
        <v>0</v>
      </c>
      <c r="BC82" s="89">
        <f t="shared" si="163"/>
        <v>0</v>
      </c>
      <c r="BD82" s="89">
        <f t="shared" si="163"/>
        <v>0</v>
      </c>
      <c r="BE82" s="89">
        <f t="shared" si="163"/>
        <v>-12385.470170000002</v>
      </c>
      <c r="BF82" s="89">
        <f t="shared" si="163"/>
        <v>-19844.012060000001</v>
      </c>
      <c r="BG82" s="89">
        <f t="shared" si="163"/>
        <v>-27944.12833</v>
      </c>
      <c r="BH82" s="89">
        <f>BH35+BH62+BH81+BH67</f>
        <v>-25977.536988377418</v>
      </c>
    </row>
    <row r="83" spans="3:60" x14ac:dyDescent="0.3">
      <c r="C83" s="36" t="s">
        <v>6</v>
      </c>
      <c r="D83" s="110">
        <v>23</v>
      </c>
      <c r="F83" s="42">
        <f>VLOOKUP($C83,Segment!$B$4:$G$71,6,0)/1000</f>
        <v>-62969.283770000002</v>
      </c>
      <c r="G83" s="42">
        <f>VLOOKUP($C83,Segment!$B$77:$G$146,6,0)/1000</f>
        <v>-128002.14601</v>
      </c>
      <c r="H83" s="42">
        <f>VLOOKUP($C83,Segment!$B$152:$G$223,6,0)/1000</f>
        <v>-159626.30319000001</v>
      </c>
      <c r="I83" s="42">
        <f>VLOOKUP($C83,Segment!$B$229:$G$300,6,0)/1000</f>
        <v>-184028.67831699995</v>
      </c>
      <c r="J83" s="42">
        <f>VLOOKUP($C83,Segment!$B$306:$G$377,6,0)/1000</f>
        <v>-218334.63802999997</v>
      </c>
      <c r="K83" s="42">
        <f>VLOOKUP($C83,Segment!$B$383:$G$454,6,0)/1000</f>
        <v>-289373.66887000005</v>
      </c>
      <c r="L83" s="42">
        <f>VLOOKUP($C83,Segment!$B$460:$G$531,6,0)/1000</f>
        <v>-269034.68595000001</v>
      </c>
      <c r="M83" s="132">
        <f t="shared" si="144"/>
        <v>-7.0286225417203529E-2</v>
      </c>
      <c r="P83" s="42">
        <f>VLOOKUP($C83,Segment!$B$4:$G$71,2,0)/1000</f>
        <v>-57332.397770000003</v>
      </c>
      <c r="Q83" s="42">
        <f>VLOOKUP($C83,Segment!$B$77:$G$146,2,0)/1000</f>
        <v>-116210.72100999999</v>
      </c>
      <c r="R83" s="42">
        <f>VLOOKUP($C83,Segment!$B$152:$G$223,2,0)/1000</f>
        <v>-151055.08418999999</v>
      </c>
      <c r="S83" s="42">
        <f>VLOOKUP($C83,Segment!$B$229:$G$300,2,0)/1000</f>
        <v>-172605.13411999994</v>
      </c>
      <c r="T83" s="42">
        <f>VLOOKUP($C83,Segment!$B$306:$G$377,2,0)/1000</f>
        <v>-196877.11834999998</v>
      </c>
      <c r="U83" s="42">
        <f>VLOOKUP($C83,Segment!$B$383:$G$454,2,0)/1000</f>
        <v>-241714.66155000005</v>
      </c>
      <c r="V83" s="42">
        <f>VLOOKUP($C83,Segment!$B$460:$G$531,2,0)/1000</f>
        <v>-210786.50553999995</v>
      </c>
      <c r="W83" s="132">
        <f t="shared" si="151"/>
        <v>-0.12795316515627431</v>
      </c>
      <c r="Z83" s="42">
        <f>VLOOKUP($C83,Segment!$B$4:$G$71,3,0)/1000</f>
        <v>-978.68399999999997</v>
      </c>
      <c r="AA83" s="42">
        <f>VLOOKUP($C83,Segment!$B$77:$G$146,3,0)/1000</f>
        <v>-5973.7430000000004</v>
      </c>
      <c r="AB83" s="42">
        <f>VLOOKUP($C83,Segment!$B$152:$G$223,3,0)/1000</f>
        <v>-4048.1590000000001</v>
      </c>
      <c r="AC83" s="42">
        <f>VLOOKUP($C83,Segment!$B$229:$G$300,3,0)/1000</f>
        <v>-8199.5</v>
      </c>
      <c r="AD83" s="42">
        <f>VLOOKUP($C83,Segment!$B$306:$G$377,3,0)/1000</f>
        <v>-15507.306</v>
      </c>
      <c r="AE83" s="42">
        <f>VLOOKUP($C83,Segment!$B$383:$G$454,3,0)/1000</f>
        <v>-37109.046000000002</v>
      </c>
      <c r="AF83" s="42">
        <f>VLOOKUP($C83,Segment!$B$460:$G$531,3,0)/1000</f>
        <v>-46859.154999999999</v>
      </c>
      <c r="AI83" s="42">
        <f>VLOOKUP($C83,Segment!$B$4:$G$71,4,0)/1000</f>
        <v>-4658.2020000000002</v>
      </c>
      <c r="AJ83" s="42">
        <f>VLOOKUP($C83,Segment!$B$77:$G$146,4,0)/1000</f>
        <v>-5817.6819999999998</v>
      </c>
      <c r="AK83" s="42">
        <f>VLOOKUP($C83,Segment!$B$152:$G$223,4,0)/1000</f>
        <v>-4523.0600000000004</v>
      </c>
      <c r="AL83" s="42">
        <f>VLOOKUP($C83,Segment!$B$229:$G$300,4,0)/1000</f>
        <v>-2977.7136069999997</v>
      </c>
      <c r="AM83" s="42">
        <f>VLOOKUP($C83,Segment!$B$306:$G$377,4,0)/1000</f>
        <v>-2689.55627</v>
      </c>
      <c r="AN83" s="42">
        <f>VLOOKUP($C83,Segment!$B$383:$G$454,4,0)/1000</f>
        <v>-7223.7612700000009</v>
      </c>
      <c r="AO83" s="42">
        <f>VLOOKUP($C83,Segment!$B$460:$G$531,4,0)/1000</f>
        <v>-8032.6866500000006</v>
      </c>
      <c r="AR83" s="42">
        <f t="shared" ref="AR83:AX83" si="164">Z83+AI83</f>
        <v>-5636.8860000000004</v>
      </c>
      <c r="AS83" s="42">
        <f t="shared" si="164"/>
        <v>-11791.424999999999</v>
      </c>
      <c r="AT83" s="42">
        <f t="shared" si="164"/>
        <v>-8571.219000000001</v>
      </c>
      <c r="AU83" s="42">
        <f t="shared" si="164"/>
        <v>-11177.213607</v>
      </c>
      <c r="AV83" s="42">
        <f t="shared" si="164"/>
        <v>-18196.862270000001</v>
      </c>
      <c r="AW83" s="42">
        <f t="shared" si="164"/>
        <v>-44332.807270000005</v>
      </c>
      <c r="AX83" s="42">
        <f t="shared" si="164"/>
        <v>-54891.841650000002</v>
      </c>
      <c r="AY83" s="132">
        <f>AX83/AW83-1</f>
        <v>0.23817653404379135</v>
      </c>
      <c r="BB83" s="42">
        <f>VLOOKUP($C83,Segment!$B$4:$G$71,5,0)/1000</f>
        <v>0</v>
      </c>
      <c r="BC83" s="42">
        <f>VLOOKUP($C83,Segment!$B$77:$G$146,5,0)/1000</f>
        <v>0</v>
      </c>
      <c r="BD83" s="42">
        <f>VLOOKUP($C83,Segment!$B$152:$G$223,5,0)/1000</f>
        <v>0</v>
      </c>
      <c r="BE83" s="42">
        <f>VLOOKUP($C83,Segment!$B$229:$G$300,5,0)/1000</f>
        <v>-246.33059</v>
      </c>
      <c r="BF83" s="42">
        <f>VLOOKUP($C83,Segment!$B$306:$G$377,5,0)/1000</f>
        <v>-3260.6574099999998</v>
      </c>
      <c r="BG83" s="42">
        <f>VLOOKUP($C83,Segment!$B$383:$G$454,5,0)/1000</f>
        <v>-3326.2000500000004</v>
      </c>
      <c r="BH83" s="42">
        <f>VLOOKUP($C83,Segment!$B$460:$G$531,5,0)/1000</f>
        <v>-3356.3387599999996</v>
      </c>
    </row>
    <row r="84" spans="3:60" x14ac:dyDescent="0.3">
      <c r="C84" s="39" t="s">
        <v>65</v>
      </c>
      <c r="D84" s="109"/>
      <c r="E84" s="39"/>
      <c r="F84" s="40">
        <f t="shared" ref="F84:K84" si="165">-F83/F82</f>
        <v>0.1745345901947338</v>
      </c>
      <c r="G84" s="40">
        <f t="shared" si="165"/>
        <v>0.23947334522454861</v>
      </c>
      <c r="H84" s="40">
        <f t="shared" si="165"/>
        <v>0.30287422881216391</v>
      </c>
      <c r="I84" s="40">
        <f t="shared" si="165"/>
        <v>0.27795127011086074</v>
      </c>
      <c r="J84" s="40">
        <f t="shared" si="165"/>
        <v>0.29223587024098768</v>
      </c>
      <c r="K84" s="40">
        <f t="shared" si="165"/>
        <v>0.28441294863816863</v>
      </c>
      <c r="L84" s="40">
        <f>-L83/L82</f>
        <v>0.26930682404770284</v>
      </c>
      <c r="M84" s="169"/>
      <c r="O84" s="41"/>
      <c r="P84" s="40">
        <f t="shared" ref="P84:U84" si="166">-P83/P82</f>
        <v>0.17079098499125228</v>
      </c>
      <c r="Q84" s="40">
        <f t="shared" si="166"/>
        <v>0.22923374298004881</v>
      </c>
      <c r="R84" s="40">
        <f t="shared" si="166"/>
        <v>0.30009779953467253</v>
      </c>
      <c r="S84" s="40">
        <f t="shared" si="166"/>
        <v>0.27850308361353138</v>
      </c>
      <c r="T84" s="40">
        <f t="shared" si="166"/>
        <v>0.28770761301596648</v>
      </c>
      <c r="U84" s="40">
        <f t="shared" si="166"/>
        <v>0.27482331368313589</v>
      </c>
      <c r="V84" s="40">
        <f>-V83/V82</f>
        <v>0.27010775479669441</v>
      </c>
      <c r="W84" s="169"/>
      <c r="Y84" s="41"/>
      <c r="Z84" s="40">
        <f t="shared" ref="Z84:AE84" si="167">-Z83/Z82</f>
        <v>0.2261380275552316</v>
      </c>
      <c r="AA84" s="40">
        <f t="shared" si="167"/>
        <v>3.1594754164906655</v>
      </c>
      <c r="AB84" s="40">
        <f t="shared" si="167"/>
        <v>2.8132633910897415</v>
      </c>
      <c r="AC84" s="40">
        <f t="shared" si="167"/>
        <v>0.26490248942433486</v>
      </c>
      <c r="AD84" s="40">
        <f t="shared" si="167"/>
        <v>0.23426666889412667</v>
      </c>
      <c r="AE84" s="40">
        <f t="shared" si="167"/>
        <v>0.27489551692014158</v>
      </c>
      <c r="AF84" s="40">
        <f>-AF83/AF82</f>
        <v>0.22822020311759458</v>
      </c>
      <c r="AH84" s="41"/>
      <c r="AI84" s="40">
        <f t="shared" ref="AI84:AN84" si="168">-AI83/AI82</f>
        <v>0.22428988822441043</v>
      </c>
      <c r="AJ84" s="40">
        <f t="shared" si="168"/>
        <v>0.22662000381823771</v>
      </c>
      <c r="AK84" s="40">
        <f t="shared" si="168"/>
        <v>0.20331613522505784</v>
      </c>
      <c r="AL84" s="40">
        <f t="shared" si="168"/>
        <v>0.12531903553087659</v>
      </c>
      <c r="AM84" s="40">
        <f t="shared" si="168"/>
        <v>0.16329094507274786</v>
      </c>
      <c r="AN84" s="40">
        <f t="shared" si="168"/>
        <v>0.23404136235827599</v>
      </c>
      <c r="AO84" s="40">
        <f>-AO83/AO82</f>
        <v>0.20458459791151698</v>
      </c>
      <c r="AQ84" s="41"/>
      <c r="AR84" s="40">
        <f t="shared" ref="AR84:AW84" si="169">-AR83/AR82</f>
        <v>0.22460859457444321</v>
      </c>
      <c r="AS84" s="40">
        <f t="shared" si="169"/>
        <v>0.42781040561467815</v>
      </c>
      <c r="AT84" s="40">
        <f t="shared" si="169"/>
        <v>0.36187783299708159</v>
      </c>
      <c r="AU84" s="40">
        <f t="shared" si="169"/>
        <v>0.20428448281419212</v>
      </c>
      <c r="AV84" s="40">
        <f t="shared" si="169"/>
        <v>0.22012498290138435</v>
      </c>
      <c r="AW84" s="40">
        <f t="shared" si="169"/>
        <v>0.26729279655300786</v>
      </c>
      <c r="AX84" s="40">
        <f>-AX83/AX82</f>
        <v>0.22442600508028265</v>
      </c>
      <c r="AY84" s="169"/>
      <c r="BA84" s="41"/>
      <c r="BB84" s="40" t="e">
        <f t="shared" ref="BB84:BG84" si="170">-BB83/BB82</f>
        <v>#DIV/0!</v>
      </c>
      <c r="BC84" s="40" t="e">
        <f t="shared" si="170"/>
        <v>#DIV/0!</v>
      </c>
      <c r="BD84" s="40" t="e">
        <f t="shared" si="170"/>
        <v>#DIV/0!</v>
      </c>
      <c r="BE84" s="40">
        <f t="shared" si="170"/>
        <v>-1.9888674924643572E-2</v>
      </c>
      <c r="BF84" s="40">
        <f t="shared" si="170"/>
        <v>-0.16431442392501749</v>
      </c>
      <c r="BG84" s="40">
        <f t="shared" si="170"/>
        <v>-0.11903037413513054</v>
      </c>
      <c r="BH84" s="40">
        <f>-BH83/BH82</f>
        <v>-0.12920157755916797</v>
      </c>
    </row>
    <row r="85" spans="3:60" s="45" customFormat="1" x14ac:dyDescent="0.3">
      <c r="C85" s="86" t="s">
        <v>7</v>
      </c>
      <c r="D85" s="118"/>
      <c r="E85" s="86"/>
      <c r="F85" s="87">
        <f t="shared" ref="F85:K85" si="171">SUM(F82:F83)</f>
        <v>297814.69435000001</v>
      </c>
      <c r="G85" s="87">
        <f t="shared" si="171"/>
        <v>406513.06648672</v>
      </c>
      <c r="H85" s="87">
        <f t="shared" si="171"/>
        <v>367411.94570966717</v>
      </c>
      <c r="I85" s="87">
        <f t="shared" si="171"/>
        <v>478061.04065999994</v>
      </c>
      <c r="J85" s="87">
        <f t="shared" si="171"/>
        <v>528783.22210795549</v>
      </c>
      <c r="K85" s="87">
        <f t="shared" si="171"/>
        <v>728068.29449905339</v>
      </c>
      <c r="L85" s="87">
        <f>SUM(L82:L83)</f>
        <v>729954.8008605733</v>
      </c>
      <c r="M85" s="178">
        <f>L85/K85-1</f>
        <v>2.5911118170829361E-3</v>
      </c>
      <c r="O85" s="86"/>
      <c r="P85" s="87">
        <f t="shared" ref="P85:U85" si="172">SUM(P82:P83)</f>
        <v>278355.09635000001</v>
      </c>
      <c r="Q85" s="87">
        <f t="shared" si="172"/>
        <v>390742.22360999999</v>
      </c>
      <c r="R85" s="87">
        <f t="shared" si="172"/>
        <v>352297.77086000005</v>
      </c>
      <c r="S85" s="87">
        <f t="shared" si="172"/>
        <v>447155.09216</v>
      </c>
      <c r="T85" s="87">
        <f t="shared" si="172"/>
        <v>487418.70644999994</v>
      </c>
      <c r="U85" s="87">
        <f t="shared" si="172"/>
        <v>637812.83672000025</v>
      </c>
      <c r="V85" s="87">
        <f>SUM(V82:V83)</f>
        <v>569592.81270154938</v>
      </c>
      <c r="W85" s="178">
        <f>V85/U85-1</f>
        <v>-0.10695931485054044</v>
      </c>
      <c r="X85" s="49"/>
      <c r="Y85" s="87"/>
      <c r="Z85" s="87">
        <f t="shared" ref="Z85:AE85" si="173">SUM(Z82:Z83)</f>
        <v>3349.1330000000007</v>
      </c>
      <c r="AA85" s="87">
        <f t="shared" si="173"/>
        <v>-4083.0041232800049</v>
      </c>
      <c r="AB85" s="87">
        <f t="shared" si="173"/>
        <v>-2609.2041503327205</v>
      </c>
      <c r="AC85" s="87">
        <f t="shared" si="173"/>
        <v>22753.398999999979</v>
      </c>
      <c r="AD85" s="87">
        <f t="shared" si="173"/>
        <v>50687.795817955572</v>
      </c>
      <c r="AE85" s="87">
        <f t="shared" si="173"/>
        <v>97884.228593053296</v>
      </c>
      <c r="AF85" s="87">
        <f>SUM(AF82:AF83)</f>
        <v>158465.15178740118</v>
      </c>
      <c r="AG85" s="49"/>
      <c r="AH85" s="87"/>
      <c r="AI85" s="87">
        <f t="shared" ref="AI85:AN85" si="174">SUM(AI82:AI83)</f>
        <v>16110.464999999993</v>
      </c>
      <c r="AJ85" s="87">
        <f t="shared" si="174"/>
        <v>19853.846999999998</v>
      </c>
      <c r="AK85" s="87">
        <f t="shared" si="174"/>
        <v>17723.378999999997</v>
      </c>
      <c r="AL85" s="87">
        <f t="shared" si="174"/>
        <v>20783.350259999992</v>
      </c>
      <c r="AM85" s="87">
        <f t="shared" si="174"/>
        <v>13781.389310000006</v>
      </c>
      <c r="AN85" s="87">
        <f t="shared" si="174"/>
        <v>23641.55756600001</v>
      </c>
      <c r="AO85" s="87">
        <f>SUM(AO82:AO83)</f>
        <v>31230.71212</v>
      </c>
      <c r="AP85" s="49"/>
      <c r="AQ85" s="87"/>
      <c r="AR85" s="87">
        <f t="shared" ref="AR85:AW85" si="175">SUM(AR82:AR83)</f>
        <v>19459.597999999998</v>
      </c>
      <c r="AS85" s="87">
        <f t="shared" si="175"/>
        <v>15770.842876720006</v>
      </c>
      <c r="AT85" s="87">
        <f t="shared" si="175"/>
        <v>15114.174849667284</v>
      </c>
      <c r="AU85" s="87">
        <f t="shared" si="175"/>
        <v>43536.749259999968</v>
      </c>
      <c r="AV85" s="87">
        <f t="shared" si="175"/>
        <v>64469.185127955585</v>
      </c>
      <c r="AW85" s="87">
        <f t="shared" si="175"/>
        <v>121525.78615905334</v>
      </c>
      <c r="AX85" s="87">
        <f>SUM(AX82:AX83)</f>
        <v>189695.86390740122</v>
      </c>
      <c r="AY85" s="178">
        <f>AX85/AW85-1</f>
        <v>0.56095154701675121</v>
      </c>
      <c r="AZ85" s="49"/>
      <c r="BA85" s="87"/>
      <c r="BB85" s="87">
        <f t="shared" ref="BB85:BG85" si="176">SUM(BB82:BB83)</f>
        <v>0</v>
      </c>
      <c r="BC85" s="87">
        <f t="shared" si="176"/>
        <v>0</v>
      </c>
      <c r="BD85" s="87">
        <f t="shared" si="176"/>
        <v>0</v>
      </c>
      <c r="BE85" s="87">
        <f t="shared" si="176"/>
        <v>-12631.800760000002</v>
      </c>
      <c r="BF85" s="87">
        <f t="shared" si="176"/>
        <v>-23104.669470000001</v>
      </c>
      <c r="BG85" s="87">
        <f t="shared" si="176"/>
        <v>-31270.328379999999</v>
      </c>
      <c r="BH85" s="87">
        <f>SUM(BH82:BH83)</f>
        <v>-29333.875748377417</v>
      </c>
    </row>
    <row r="86" spans="3:60" x14ac:dyDescent="0.3">
      <c r="C86" s="36" t="s">
        <v>8</v>
      </c>
      <c r="F86" s="42">
        <f>VLOOKUP($C86,Segment!$B$4:$G$71,6,0)/1000</f>
        <v>-15062.933605765198</v>
      </c>
      <c r="G86" s="42">
        <f>VLOOKUP($C86,Segment!$B$77:$G$146,6,0)/1000</f>
        <v>-17801.03630388137</v>
      </c>
      <c r="H86" s="42">
        <f>VLOOKUP($C86,Segment!$B$152:$G$223,6,0)/1000</f>
        <v>-14736.391574849269</v>
      </c>
      <c r="I86" s="42">
        <f>VLOOKUP($C86,Segment!$B$229:$G$300,6,0)/1000</f>
        <v>-13241.541565975465</v>
      </c>
      <c r="J86" s="42">
        <f>VLOOKUP($C86,Segment!$B$306:$G$377,6,0)/1000</f>
        <v>-18069.581925090351</v>
      </c>
      <c r="K86" s="42">
        <f>VLOOKUP($C86,Segment!$B$383:$G$454,6,0)/1000</f>
        <v>-35860.245656473635</v>
      </c>
      <c r="L86" s="42">
        <f>VLOOKUP($C86,Segment!$B$460:$G$531,6,0)/1000</f>
        <v>-72287.101538636896</v>
      </c>
      <c r="M86" s="132">
        <f>L86/K86-1</f>
        <v>1.0158005115502422</v>
      </c>
      <c r="P86" s="42">
        <f>VLOOKUP($C86,Segment!$B$4:$G$71,2,0)/1000</f>
        <v>-11278.319571465197</v>
      </c>
      <c r="Q86" s="42">
        <f>VLOOKUP($C86,Segment!$B$77:$G$146,2,0)/1000</f>
        <v>-14521.304261981371</v>
      </c>
      <c r="R86" s="42">
        <f>VLOOKUP($C86,Segment!$B$152:$G$223,2,0)/1000</f>
        <v>-12100.292496049269</v>
      </c>
      <c r="S86" s="42">
        <f>VLOOKUP($C86,Segment!$B$229:$G$300,2,0)/1000</f>
        <v>-5262.0928722834715</v>
      </c>
      <c r="T86" s="42">
        <f>VLOOKUP($C86,Segment!$B$306:$G$377,2,0)/1000</f>
        <v>-7109.8019725583481</v>
      </c>
      <c r="U86" s="42">
        <f>VLOOKUP($C86,Segment!$B$383:$G$454,2,0)/1000</f>
        <v>-12893.216692769638</v>
      </c>
      <c r="V86" s="42">
        <f>VLOOKUP($C86,Segment!$B$460:$G$531,2,0)/1000</f>
        <v>-36412.279649136894</v>
      </c>
      <c r="W86" s="132">
        <f>V86/U86-1</f>
        <v>1.8241423778719601</v>
      </c>
      <c r="Z86" s="42">
        <f>VLOOKUP($C86,Segment!$B$4:$G$71,3,0)/1000</f>
        <v>-584.72223429999985</v>
      </c>
      <c r="AA86" s="42">
        <f>VLOOKUP($C86,Segment!$B$77:$G$146,3,0)/1000</f>
        <v>678.76835810000011</v>
      </c>
      <c r="AB86" s="42">
        <f>VLOOKUP($C86,Segment!$B$152:$G$223,3,0)/1000</f>
        <v>906.17672119999952</v>
      </c>
      <c r="AC86" s="42">
        <f>VLOOKUP($C86,Segment!$B$229:$G$300,3,0)/1000</f>
        <v>-3825.0918747999995</v>
      </c>
      <c r="AD86" s="42">
        <f>VLOOKUP($C86,Segment!$B$306:$G$377,3,0)/1000</f>
        <v>-8504.3568400000004</v>
      </c>
      <c r="AE86" s="42">
        <f>VLOOKUP($C86,Segment!$B$383:$G$454,3,0)/1000</f>
        <v>-17969.454786999999</v>
      </c>
      <c r="AF86" s="42">
        <f>VLOOKUP($C86,Segment!$B$460:$G$531,3,0)/1000</f>
        <v>-29707.234293699999</v>
      </c>
      <c r="AI86" s="42">
        <f>VLOOKUP($C86,Segment!$B$4:$G$71,4,0)/1000</f>
        <v>-3199.8917999999994</v>
      </c>
      <c r="AJ86" s="42">
        <f>VLOOKUP($C86,Segment!$B$77:$G$146,4,0)/1000</f>
        <v>-3958.500399999999</v>
      </c>
      <c r="AK86" s="42">
        <f>VLOOKUP($C86,Segment!$B$152:$G$223,4,0)/1000</f>
        <v>-3542.2757999999994</v>
      </c>
      <c r="AL86" s="42">
        <f>VLOOKUP($C86,Segment!$B$229:$G$300,4,0)/1000</f>
        <v>-4154.2700519999953</v>
      </c>
      <c r="AM86" s="42">
        <f>VLOOKUP($C86,Segment!$B$306:$G$377,4,0)/1000</f>
        <v>-2451.4860660000004</v>
      </c>
      <c r="AN86" s="42">
        <f>VLOOKUP($C86,Segment!$B$383:$G$454,4,0)/1000</f>
        <v>-4994.0151372000009</v>
      </c>
      <c r="AO86" s="42">
        <f>VLOOKUP($C86,Segment!$B$460:$G$531,4,0)/1000</f>
        <v>-6163.7302440000003</v>
      </c>
      <c r="AR86" s="42">
        <f t="shared" ref="AR86:AX86" si="177">Z86+AI86</f>
        <v>-3784.6140342999993</v>
      </c>
      <c r="AS86" s="42">
        <f t="shared" si="177"/>
        <v>-3279.7320418999989</v>
      </c>
      <c r="AT86" s="42">
        <f t="shared" si="177"/>
        <v>-2636.0990787999999</v>
      </c>
      <c r="AU86" s="42">
        <f t="shared" si="177"/>
        <v>-7979.3619267999948</v>
      </c>
      <c r="AV86" s="42">
        <f t="shared" si="177"/>
        <v>-10955.842906000002</v>
      </c>
      <c r="AW86" s="42">
        <f t="shared" si="177"/>
        <v>-22963.469924199999</v>
      </c>
      <c r="AX86" s="42">
        <f t="shared" si="177"/>
        <v>-35870.964537699998</v>
      </c>
      <c r="AY86" s="132">
        <f>AX86/AW86-1</f>
        <v>0.56208816246439586</v>
      </c>
      <c r="BB86" s="42">
        <f>VLOOKUP($C86,Segment!$B$4:$G$71,5,0)/1000</f>
        <v>0</v>
      </c>
      <c r="BC86" s="42">
        <f>VLOOKUP($C86,Segment!$B$77:$G$146,5,0)/1000</f>
        <v>0</v>
      </c>
      <c r="BD86" s="42">
        <f>VLOOKUP($C86,Segment!$B$152:$G$223,5,0)/1000</f>
        <v>0</v>
      </c>
      <c r="BE86" s="42">
        <f>VLOOKUP($C86,Segment!$B$229:$G$300,5,0)/1000</f>
        <v>-8.6766891999990436E-2</v>
      </c>
      <c r="BF86" s="42">
        <f>VLOOKUP($C86,Segment!$B$306:$G$377,5,0)/1000</f>
        <v>-3.9370465319995658</v>
      </c>
      <c r="BG86" s="42">
        <f>VLOOKUP($C86,Segment!$B$383:$G$454,5,0)/1000</f>
        <v>-3.5590395039996077</v>
      </c>
      <c r="BH86" s="42">
        <f>VLOOKUP($C86,Segment!$B$460:$G$531,5,0)/1000</f>
        <v>-3.857351799999575</v>
      </c>
    </row>
    <row r="87" spans="3:60" x14ac:dyDescent="0.3">
      <c r="C87" s="39" t="s">
        <v>66</v>
      </c>
      <c r="D87" s="109"/>
      <c r="E87" s="39"/>
      <c r="F87" s="40">
        <f t="shared" ref="F87:K87" si="178">-F86/F85</f>
        <v>5.0578208166125023E-2</v>
      </c>
      <c r="G87" s="40">
        <f t="shared" si="178"/>
        <v>4.3789579650480671E-2</v>
      </c>
      <c r="H87" s="40">
        <f t="shared" si="178"/>
        <v>4.0108634863206441E-2</v>
      </c>
      <c r="I87" s="40">
        <f t="shared" si="178"/>
        <v>2.7698432709962102E-2</v>
      </c>
      <c r="J87" s="40">
        <f t="shared" si="178"/>
        <v>3.4172003137802463E-2</v>
      </c>
      <c r="K87" s="40">
        <f t="shared" si="178"/>
        <v>4.925395862917948E-2</v>
      </c>
      <c r="L87" s="40">
        <f>-L86/L85</f>
        <v>9.9029558341714716E-2</v>
      </c>
      <c r="M87" s="169"/>
      <c r="O87" s="41"/>
      <c r="P87" s="40">
        <f t="shared" ref="P87:U87" si="179">-P86/P85</f>
        <v>4.0517740538452321E-2</v>
      </c>
      <c r="Q87" s="40">
        <f t="shared" si="179"/>
        <v>3.7163386459291618E-2</v>
      </c>
      <c r="R87" s="40">
        <f t="shared" si="179"/>
        <v>3.4346775645247601E-2</v>
      </c>
      <c r="S87" s="40">
        <f t="shared" si="179"/>
        <v>1.1767936817771052E-2</v>
      </c>
      <c r="T87" s="40">
        <f t="shared" si="179"/>
        <v>1.4586641584482727E-2</v>
      </c>
      <c r="U87" s="40">
        <f t="shared" si="179"/>
        <v>2.0214733775309322E-2</v>
      </c>
      <c r="V87" s="40">
        <f>-V86/V85</f>
        <v>6.3926859393529434E-2</v>
      </c>
      <c r="W87" s="169"/>
      <c r="Y87" s="41"/>
      <c r="Z87" s="40">
        <f t="shared" ref="Z87:AE87" si="180">-Z86/Z85</f>
        <v>0.1745891352478387</v>
      </c>
      <c r="AA87" s="40">
        <f t="shared" si="180"/>
        <v>0.16624238859566084</v>
      </c>
      <c r="AB87" s="40">
        <f t="shared" si="180"/>
        <v>0.34730004591033847</v>
      </c>
      <c r="AC87" s="40">
        <f t="shared" si="180"/>
        <v>0.16811078972420793</v>
      </c>
      <c r="AD87" s="40">
        <f t="shared" si="180"/>
        <v>0.1677791804272426</v>
      </c>
      <c r="AE87" s="40">
        <f t="shared" si="180"/>
        <v>0.1835786525090444</v>
      </c>
      <c r="AF87" s="40">
        <f>-AF86/AF85</f>
        <v>0.18746856301602258</v>
      </c>
      <c r="AH87" s="41"/>
      <c r="AI87" s="40">
        <f t="shared" ref="AI87:AN87" si="181">-AI86/AI85</f>
        <v>0.19862193921776938</v>
      </c>
      <c r="AJ87" s="40">
        <f t="shared" si="181"/>
        <v>0.19938203412164904</v>
      </c>
      <c r="AK87" s="40">
        <f t="shared" si="181"/>
        <v>0.19986458564137233</v>
      </c>
      <c r="AL87" s="40">
        <f t="shared" si="181"/>
        <v>0.1998845229489</v>
      </c>
      <c r="AM87" s="40">
        <f t="shared" si="181"/>
        <v>0.17788381206393764</v>
      </c>
      <c r="AN87" s="40">
        <f t="shared" si="181"/>
        <v>0.21123883751137104</v>
      </c>
      <c r="AO87" s="40">
        <f>-AO86/AO85</f>
        <v>0.19736118152915177</v>
      </c>
      <c r="AQ87" s="41"/>
      <c r="AR87" s="40">
        <f t="shared" ref="AR87:AW87" si="182">-AR86/AR85</f>
        <v>0.19448572546565451</v>
      </c>
      <c r="AS87" s="40">
        <f t="shared" si="182"/>
        <v>0.20796174735475598</v>
      </c>
      <c r="AT87" s="40">
        <f t="shared" si="182"/>
        <v>0.17441237150025624</v>
      </c>
      <c r="AU87" s="40">
        <f t="shared" si="182"/>
        <v>0.18327877166821804</v>
      </c>
      <c r="AV87" s="40">
        <f t="shared" si="182"/>
        <v>0.16993921800400191</v>
      </c>
      <c r="AW87" s="40">
        <f t="shared" si="182"/>
        <v>0.188959649223296</v>
      </c>
      <c r="AX87" s="40">
        <f>-AX86/AX85</f>
        <v>0.1890972412303632</v>
      </c>
      <c r="AY87" s="169"/>
      <c r="BA87" s="41"/>
      <c r="BB87" s="40" t="e">
        <f t="shared" ref="BB87:BG87" si="183">-BB86/BB85</f>
        <v>#DIV/0!</v>
      </c>
      <c r="BC87" s="40" t="e">
        <f t="shared" si="183"/>
        <v>#DIV/0!</v>
      </c>
      <c r="BD87" s="40" t="e">
        <f t="shared" si="183"/>
        <v>#DIV/0!</v>
      </c>
      <c r="BE87" s="40">
        <f t="shared" si="183"/>
        <v>-6.8689249971981366E-6</v>
      </c>
      <c r="BF87" s="40">
        <f t="shared" si="183"/>
        <v>-1.7040046978865375E-4</v>
      </c>
      <c r="BG87" s="40">
        <f t="shared" si="183"/>
        <v>-1.1381522639448559E-4</v>
      </c>
      <c r="BH87" s="40">
        <f>-BH86/BH85</f>
        <v>-1.3149819795677499E-4</v>
      </c>
    </row>
    <row r="88" spans="3:60" s="45" customFormat="1" x14ac:dyDescent="0.3">
      <c r="C88" s="86" t="s">
        <v>9</v>
      </c>
      <c r="D88" s="118"/>
      <c r="E88" s="86"/>
      <c r="F88" s="87">
        <f t="shared" ref="F88:K88" si="184">SUM(F85:F86)</f>
        <v>282751.76074423478</v>
      </c>
      <c r="G88" s="87">
        <f t="shared" si="184"/>
        <v>388712.03018283861</v>
      </c>
      <c r="H88" s="87">
        <f t="shared" si="184"/>
        <v>352675.55413481791</v>
      </c>
      <c r="I88" s="87">
        <f t="shared" si="184"/>
        <v>464819.49909402448</v>
      </c>
      <c r="J88" s="87">
        <f t="shared" si="184"/>
        <v>510713.64018286514</v>
      </c>
      <c r="K88" s="87">
        <f t="shared" si="184"/>
        <v>692208.04884257971</v>
      </c>
      <c r="L88" s="87">
        <f>SUM(L85:L86)</f>
        <v>657667.69932193635</v>
      </c>
      <c r="M88" s="178">
        <f>L88/K88-1</f>
        <v>-4.9898797880777668E-2</v>
      </c>
      <c r="O88" s="87"/>
      <c r="P88" s="87">
        <f t="shared" ref="P88:U88" si="185">SUM(P85:P86)</f>
        <v>267076.77677853481</v>
      </c>
      <c r="Q88" s="87">
        <f t="shared" si="185"/>
        <v>376220.91934801859</v>
      </c>
      <c r="R88" s="87">
        <f t="shared" si="185"/>
        <v>340197.4783639508</v>
      </c>
      <c r="S88" s="87">
        <f t="shared" si="185"/>
        <v>441892.99928771652</v>
      </c>
      <c r="T88" s="87">
        <f t="shared" si="185"/>
        <v>480308.90447744157</v>
      </c>
      <c r="U88" s="87">
        <f t="shared" si="185"/>
        <v>624919.62002723059</v>
      </c>
      <c r="V88" s="87">
        <f>SUM(V85:V86)</f>
        <v>533180.53305241244</v>
      </c>
      <c r="W88" s="178">
        <f>V88/U88-1</f>
        <v>-0.14680141899020649</v>
      </c>
      <c r="X88" s="49"/>
      <c r="Y88" s="87"/>
      <c r="Z88" s="87">
        <f t="shared" ref="Z88:AE88" si="186">SUM(Z85:Z86)</f>
        <v>2764.4107657000009</v>
      </c>
      <c r="AA88" s="87">
        <f t="shared" si="186"/>
        <v>-3404.2357651800048</v>
      </c>
      <c r="AB88" s="87">
        <f t="shared" si="186"/>
        <v>-1703.027429132721</v>
      </c>
      <c r="AC88" s="87">
        <f t="shared" si="186"/>
        <v>18928.307125199979</v>
      </c>
      <c r="AD88" s="87">
        <f t="shared" si="186"/>
        <v>42183.438977955571</v>
      </c>
      <c r="AE88" s="87">
        <f t="shared" si="186"/>
        <v>79914.773806053301</v>
      </c>
      <c r="AF88" s="87">
        <f>SUM(AF85:AF86)</f>
        <v>128757.91749370118</v>
      </c>
      <c r="AG88" s="172">
        <f>AF88/AE88-1</f>
        <v>0.61119041400512808</v>
      </c>
      <c r="AH88" s="87"/>
      <c r="AI88" s="87">
        <f t="shared" ref="AI88:AN88" si="187">SUM(AI85:AI86)</f>
        <v>12910.573199999993</v>
      </c>
      <c r="AJ88" s="87">
        <f t="shared" si="187"/>
        <v>15895.346599999999</v>
      </c>
      <c r="AK88" s="87">
        <f t="shared" si="187"/>
        <v>14181.103199999998</v>
      </c>
      <c r="AL88" s="87">
        <f t="shared" si="187"/>
        <v>16629.080207999996</v>
      </c>
      <c r="AM88" s="87">
        <f t="shared" si="187"/>
        <v>11329.903244000005</v>
      </c>
      <c r="AN88" s="87">
        <f t="shared" si="187"/>
        <v>18647.54242880001</v>
      </c>
      <c r="AO88" s="87">
        <f>SUM(AO85:AO86)</f>
        <v>25066.981875999998</v>
      </c>
      <c r="AP88" s="49"/>
      <c r="AQ88" s="87"/>
      <c r="AR88" s="87">
        <f t="shared" ref="AR88:AW88" si="188">SUM(AR85:AR86)</f>
        <v>15674.983965699999</v>
      </c>
      <c r="AS88" s="87">
        <f t="shared" si="188"/>
        <v>12491.110834820007</v>
      </c>
      <c r="AT88" s="87">
        <f t="shared" si="188"/>
        <v>12478.075770867285</v>
      </c>
      <c r="AU88" s="87">
        <f t="shared" si="188"/>
        <v>35557.387333199971</v>
      </c>
      <c r="AV88" s="87">
        <f t="shared" si="188"/>
        <v>53513.34222195558</v>
      </c>
      <c r="AW88" s="87">
        <f t="shared" si="188"/>
        <v>98562.316234853351</v>
      </c>
      <c r="AX88" s="87">
        <f>SUM(AX85:AX86)</f>
        <v>153824.89936970122</v>
      </c>
      <c r="AY88" s="178">
        <f>AX88/AW88-1</f>
        <v>0.56068673348918363</v>
      </c>
      <c r="AZ88" s="49"/>
      <c r="BA88" s="87"/>
      <c r="BB88" s="87">
        <f t="shared" ref="BB88:BG88" si="189">SUM(BB85:BB86)</f>
        <v>0</v>
      </c>
      <c r="BC88" s="87">
        <f t="shared" si="189"/>
        <v>0</v>
      </c>
      <c r="BD88" s="87">
        <f t="shared" si="189"/>
        <v>0</v>
      </c>
      <c r="BE88" s="87">
        <f t="shared" si="189"/>
        <v>-12631.887526892002</v>
      </c>
      <c r="BF88" s="87">
        <f t="shared" si="189"/>
        <v>-23108.606516532</v>
      </c>
      <c r="BG88" s="87">
        <f t="shared" si="189"/>
        <v>-31273.887419503997</v>
      </c>
      <c r="BH88" s="87">
        <f>SUM(BH85:BH86)</f>
        <v>-29337.733100177418</v>
      </c>
    </row>
    <row r="89" spans="3:60" x14ac:dyDescent="0.3">
      <c r="C89" s="59" t="s">
        <v>51</v>
      </c>
      <c r="D89" s="119"/>
      <c r="E89" s="59"/>
      <c r="F89" s="60">
        <f>F88-Segment!G71/1000</f>
        <v>5.711800028802827E-2</v>
      </c>
      <c r="G89" s="60">
        <f>G88-Segment!G146/1000</f>
        <v>-1.8983000132720917E-2</v>
      </c>
      <c r="H89" s="60">
        <f>H88-Segment!G223/1000</f>
        <v>0.24880329985171556</v>
      </c>
      <c r="I89" s="60">
        <f>I88-Segment!G300/1000</f>
        <v>0.4678875399986282</v>
      </c>
      <c r="J89" s="60">
        <f>J88-Segment!G377/1000</f>
        <v>0.2779029049561359</v>
      </c>
      <c r="K89" s="60">
        <f>K88-Segment!G454/1000</f>
        <v>-3.1992795877158642E-2</v>
      </c>
      <c r="L89" s="60">
        <f>L88-Segment!G531/1000</f>
        <v>-0.36355299060232937</v>
      </c>
      <c r="M89" s="222"/>
      <c r="N89" s="59"/>
      <c r="O89" s="61"/>
      <c r="P89" s="60">
        <f>P88-Segment!C71/1000</f>
        <v>5.711800028802827E-2</v>
      </c>
      <c r="Q89" s="60">
        <f>Q88-Segment!C146/1000</f>
        <v>-1.8983000074513257E-2</v>
      </c>
      <c r="R89" s="60">
        <f>R88-Segment!C223/1000</f>
        <v>0.24880330008454621</v>
      </c>
      <c r="S89" s="60">
        <f>S88-Segment!C300/1000</f>
        <v>-0.29651246004505083</v>
      </c>
      <c r="T89" s="60">
        <f>T88-Segment!C377/1000</f>
        <v>-0.21245973702752963</v>
      </c>
      <c r="U89" s="60">
        <f>U88-Segment!C454/1000</f>
        <v>-0.3838388544972986</v>
      </c>
      <c r="V89" s="60">
        <f>V88-Segment!C531/1000</f>
        <v>-0.11804900283459574</v>
      </c>
      <c r="W89" s="222"/>
      <c r="X89" s="59"/>
      <c r="Y89" s="61"/>
      <c r="Z89" s="60">
        <f>Z88-Segment!D71/1000</f>
        <v>0</v>
      </c>
      <c r="AA89" s="60">
        <f>AA88-Segment!D146/1000</f>
        <v>-4.5474735088646412E-12</v>
      </c>
      <c r="AB89" s="60">
        <f>AB88-Segment!D223/1000</f>
        <v>-2.3874235921539366E-11</v>
      </c>
      <c r="AC89" s="60">
        <f>AC88-Segment!D300/1000</f>
        <v>0</v>
      </c>
      <c r="AD89" s="60">
        <f>AD88-Segment!D377/1000</f>
        <v>0</v>
      </c>
      <c r="AE89" s="60">
        <f>AE88-Segment!D454/1000</f>
        <v>0</v>
      </c>
      <c r="AF89" s="60">
        <f>AF88-Segment!D531/1000</f>
        <v>-1.4551915228366852E-10</v>
      </c>
      <c r="AG89" s="59"/>
      <c r="AH89" s="61"/>
      <c r="AI89" s="60">
        <f>AI88-Segment!E71/1000</f>
        <v>0</v>
      </c>
      <c r="AJ89" s="60">
        <f>AJ88-Segment!E146/1000</f>
        <v>0</v>
      </c>
      <c r="AK89" s="60">
        <f>AK88-Segment!E223/1000</f>
        <v>0</v>
      </c>
      <c r="AL89" s="60">
        <f>AL88-Segment!E300/1000</f>
        <v>0</v>
      </c>
      <c r="AM89" s="60">
        <f>AM88-Segment!E377/1000</f>
        <v>0</v>
      </c>
      <c r="AN89" s="60">
        <f>AN88-Segment!E454/1000</f>
        <v>0</v>
      </c>
      <c r="AO89" s="60">
        <f>AO88-Segment!E531/1000</f>
        <v>0</v>
      </c>
      <c r="AP89" s="59"/>
      <c r="AQ89" s="61"/>
      <c r="AR89" s="60">
        <f t="shared" ref="AR89:AX89" si="190">AR88-Z88-AI88</f>
        <v>0</v>
      </c>
      <c r="AS89" s="60">
        <f t="shared" si="190"/>
        <v>0</v>
      </c>
      <c r="AT89" s="60">
        <f t="shared" si="190"/>
        <v>0</v>
      </c>
      <c r="AU89" s="60">
        <f t="shared" si="190"/>
        <v>0</v>
      </c>
      <c r="AV89" s="60">
        <f t="shared" si="190"/>
        <v>0</v>
      </c>
      <c r="AW89" s="60">
        <f t="shared" si="190"/>
        <v>4.0017766878008842E-11</v>
      </c>
      <c r="AX89" s="60">
        <f t="shared" si="190"/>
        <v>3.637978807091713E-11</v>
      </c>
      <c r="AY89" s="222"/>
      <c r="AZ89" s="59"/>
      <c r="BA89" s="61"/>
      <c r="BB89" s="60">
        <f>BB88-Segment!F71/1000</f>
        <v>0</v>
      </c>
      <c r="BC89" s="60">
        <f>BC88-Segment!F146/1000</f>
        <v>0</v>
      </c>
      <c r="BD89" s="60">
        <f>BD88-Segment!F223/1000</f>
        <v>0</v>
      </c>
      <c r="BE89" s="60">
        <f>BE88-Segment!F300/1000</f>
        <v>-0.23559999999815773</v>
      </c>
      <c r="BF89" s="60">
        <f>BF88-Segment!F377/1000</f>
        <v>0.49036264197638957</v>
      </c>
      <c r="BG89" s="60">
        <f>BG88-Segment!F454/1000</f>
        <v>0.35184605874383124</v>
      </c>
      <c r="BH89" s="60">
        <f>BH88-Segment!F531/1000</f>
        <v>-0.24550398772043991</v>
      </c>
    </row>
    <row r="90" spans="3:60" x14ac:dyDescent="0.3">
      <c r="C90" s="39" t="s">
        <v>83</v>
      </c>
      <c r="D90" s="109"/>
      <c r="E90" s="39"/>
      <c r="F90" s="40">
        <f t="shared" ref="F90:L90" si="191">F88/AVERAGE(E107:F107)</f>
        <v>0.2469282713812001</v>
      </c>
      <c r="G90" s="40">
        <f t="shared" si="191"/>
        <v>0.21721003713104559</v>
      </c>
      <c r="H90" s="40">
        <f t="shared" si="191"/>
        <v>0.17350070917282903</v>
      </c>
      <c r="I90" s="40">
        <f t="shared" si="191"/>
        <v>0.20792839979493399</v>
      </c>
      <c r="J90" s="40">
        <f t="shared" si="191"/>
        <v>0.20810144033067049</v>
      </c>
      <c r="K90" s="40">
        <f t="shared" si="191"/>
        <v>0.25430734710005931</v>
      </c>
      <c r="L90" s="40">
        <f t="shared" si="191"/>
        <v>0.20610237793776487</v>
      </c>
      <c r="M90" s="169"/>
      <c r="O90" s="41"/>
      <c r="P90" s="40">
        <f t="shared" ref="P90:V90" si="192">P88/AVERAGE(O108:P108)</f>
        <v>0.24225714469327705</v>
      </c>
      <c r="Q90" s="40">
        <f t="shared" si="192"/>
        <v>0.22312388818642725</v>
      </c>
      <c r="R90" s="40">
        <f t="shared" si="192"/>
        <v>0.17986333382897254</v>
      </c>
      <c r="S90" s="40">
        <f t="shared" si="192"/>
        <v>0.21420082595958637</v>
      </c>
      <c r="T90" s="40">
        <f t="shared" si="192"/>
        <v>0.21266037762292167</v>
      </c>
      <c r="U90" s="40">
        <f t="shared" si="192"/>
        <v>0.25251829951836735</v>
      </c>
      <c r="V90" s="40">
        <f t="shared" si="192"/>
        <v>0.18686077626567482</v>
      </c>
      <c r="W90" s="169"/>
      <c r="Y90" s="41"/>
      <c r="Z90" s="40">
        <f t="shared" ref="Z90:AF90" si="193">Z88/AVERAGE(Y109:Z109)</f>
        <v>6.4854363663023273E-2</v>
      </c>
      <c r="AA90" s="40">
        <f t="shared" si="193"/>
        <v>-3.2918215666508474E-2</v>
      </c>
      <c r="AB90" s="40">
        <f t="shared" si="193"/>
        <v>-1.2054121540591602E-2</v>
      </c>
      <c r="AC90" s="40">
        <f t="shared" si="193"/>
        <v>0.11333563631983465</v>
      </c>
      <c r="AD90" s="40">
        <f t="shared" si="193"/>
        <v>0.22931292065924141</v>
      </c>
      <c r="AE90" s="40">
        <f t="shared" si="193"/>
        <v>0.34774956588037442</v>
      </c>
      <c r="AF90" s="40">
        <f t="shared" si="193"/>
        <v>0.41159912667932802</v>
      </c>
      <c r="AH90" s="41"/>
      <c r="AI90" s="41"/>
      <c r="AJ90" s="40"/>
      <c r="AK90" s="40"/>
      <c r="AL90" s="40"/>
      <c r="AM90" s="40">
        <f>AM88/AVERAGE(AL110:AM110)</f>
        <v>0.97430000166510944</v>
      </c>
      <c r="AN90" s="40">
        <f>AN88/AVERAGE(AM110:AN110)</f>
        <v>1.0729585610264041</v>
      </c>
      <c r="AO90" s="40">
        <f>AO88/AVERAGE(AN110:AO110)</f>
        <v>1.0109673045883152</v>
      </c>
      <c r="AQ90" s="41"/>
      <c r="AR90" s="41"/>
      <c r="AS90" s="40"/>
      <c r="AT90" s="40"/>
      <c r="AU90" s="40"/>
      <c r="AV90" s="40">
        <f>AV88/AVERAGE(SUM(AU109:AU110),SUM(AV109:AV110))</f>
        <v>0.27360720545507256</v>
      </c>
      <c r="AW90" s="40">
        <f>AW88/AVERAGE(SUM(AV109:AV110),SUM(AW109:AW110))</f>
        <v>0.39873892718596615</v>
      </c>
      <c r="AX90" s="40">
        <f>AX88/AVERAGE(SUM(AW109:AW110),SUM(AX109:AX110))</f>
        <v>0.4556173188787383</v>
      </c>
      <c r="AY90" s="169"/>
      <c r="BA90" s="41"/>
      <c r="BB90" s="41"/>
      <c r="BC90" s="40"/>
      <c r="BD90" s="40"/>
      <c r="BE90" s="40"/>
      <c r="BF90" s="40"/>
      <c r="BG90" s="40"/>
      <c r="BH90" s="40"/>
    </row>
    <row r="91" spans="3:60" x14ac:dyDescent="0.3">
      <c r="C91" s="39" t="s">
        <v>132</v>
      </c>
      <c r="D91" s="109"/>
      <c r="E91" s="39"/>
      <c r="F91" s="40">
        <f t="shared" ref="F91:K91" si="194">F88/F112</f>
        <v>0.30458526782436429</v>
      </c>
      <c r="G91" s="40">
        <f t="shared" si="194"/>
        <v>0.21691770489736872</v>
      </c>
      <c r="H91" s="40">
        <f t="shared" si="194"/>
        <v>0.17861112306160873</v>
      </c>
      <c r="I91" s="40">
        <f t="shared" si="194"/>
        <v>0.21571408502807352</v>
      </c>
      <c r="J91" s="40">
        <f t="shared" si="194"/>
        <v>0.21540930621024909</v>
      </c>
      <c r="K91" s="40">
        <f t="shared" si="194"/>
        <v>0.27243659267606279</v>
      </c>
      <c r="L91" s="40">
        <f>L88/L112</f>
        <v>0.21164174869497457</v>
      </c>
      <c r="M91" s="40"/>
      <c r="O91" s="41"/>
      <c r="P91" s="40">
        <f t="shared" ref="P91:U91" si="195">P88/P113</f>
        <v>0.28991855887981888</v>
      </c>
      <c r="Q91" s="40">
        <f t="shared" si="195"/>
        <v>0.22199297999589235</v>
      </c>
      <c r="R91" s="40">
        <f t="shared" si="195"/>
        <v>0.18638065263415704</v>
      </c>
      <c r="S91" s="40">
        <f t="shared" si="195"/>
        <v>0.22380565510148445</v>
      </c>
      <c r="T91" s="40">
        <f t="shared" si="195"/>
        <v>0.22153974344513402</v>
      </c>
      <c r="U91" s="40">
        <f t="shared" si="195"/>
        <v>0.27124594695373777</v>
      </c>
      <c r="V91" s="40">
        <f>V88/V113</f>
        <v>0.19271134080424487</v>
      </c>
      <c r="W91" s="169"/>
      <c r="Y91" s="41"/>
      <c r="Z91" s="40">
        <f t="shared" ref="Z91:AE91" si="196">Z88/Z114</f>
        <v>0.38912618197813964</v>
      </c>
      <c r="AA91" s="40">
        <f t="shared" si="196"/>
        <v>-3.5009728171592265E-2</v>
      </c>
      <c r="AB91" s="40">
        <f t="shared" si="196"/>
        <v>-1.140973115504436E-2</v>
      </c>
      <c r="AC91" s="40">
        <f t="shared" si="196"/>
        <v>0.11175138439166653</v>
      </c>
      <c r="AD91" s="40">
        <f t="shared" si="196"/>
        <v>0.21840209969073007</v>
      </c>
      <c r="AE91" s="40">
        <f t="shared" si="196"/>
        <v>0.34681155663107888</v>
      </c>
      <c r="AF91" s="40">
        <f>AF88/AF114</f>
        <v>0.40077823660145112</v>
      </c>
      <c r="AH91" s="41"/>
      <c r="AI91" s="41"/>
      <c r="AJ91" s="40"/>
      <c r="AK91" s="40"/>
      <c r="AL91" s="40"/>
      <c r="AM91" s="40">
        <f>AM88/AM115</f>
        <v>1.1674965574304517</v>
      </c>
      <c r="AN91" s="40">
        <f>AN88/AN115</f>
        <v>2.8725652415635676</v>
      </c>
      <c r="AO91" s="40">
        <f>AO88/AO115</f>
        <v>1.2883869312597174</v>
      </c>
      <c r="AQ91" s="41"/>
      <c r="AR91" s="41"/>
      <c r="AS91" s="40"/>
      <c r="AT91" s="40"/>
      <c r="AU91" s="40">
        <f>AU88/SUM(AU114:AU115)</f>
        <v>0.19716344418481635</v>
      </c>
      <c r="AV91" s="40">
        <f>AV88/SUM(AV114:AV115)</f>
        <v>0.2638071947778452</v>
      </c>
      <c r="AW91" s="40">
        <f>AW88/SUM(AW114:AW115)</f>
        <v>0.41601750075694893</v>
      </c>
      <c r="AX91" s="40">
        <f>AX88/SUM(AX114:AX115)</f>
        <v>0.45146239314434178</v>
      </c>
      <c r="AY91" s="169"/>
      <c r="BA91" s="41"/>
      <c r="BB91" s="41"/>
      <c r="BC91" s="40"/>
      <c r="BD91" s="40"/>
      <c r="BE91" s="40"/>
      <c r="BF91" s="40"/>
      <c r="BG91" s="40"/>
      <c r="BH91" s="40"/>
    </row>
    <row r="92" spans="3:60" x14ac:dyDescent="0.3">
      <c r="C92" s="39" t="s">
        <v>84</v>
      </c>
      <c r="D92" s="109"/>
      <c r="E92" s="39"/>
      <c r="F92" s="40"/>
      <c r="G92" s="40"/>
      <c r="H92" s="40"/>
      <c r="I92" s="40"/>
      <c r="J92" s="40"/>
      <c r="K92" s="41"/>
      <c r="L92" s="41"/>
      <c r="M92" s="40"/>
      <c r="O92" s="40"/>
      <c r="P92" s="40">
        <f t="shared" ref="P92:V92" si="197">P85/AVERAGE(O130:P130)</f>
        <v>5.0003200098637006E-2</v>
      </c>
      <c r="Q92" s="40">
        <f t="shared" si="197"/>
        <v>6.1077417977967945E-2</v>
      </c>
      <c r="R92" s="40">
        <f t="shared" si="197"/>
        <v>4.9099976795248398E-2</v>
      </c>
      <c r="S92" s="40">
        <f t="shared" si="197"/>
        <v>4.9580734689703879E-2</v>
      </c>
      <c r="T92" s="40">
        <f t="shared" si="197"/>
        <v>3.8758336467793857E-2</v>
      </c>
      <c r="U92" s="40">
        <f t="shared" si="197"/>
        <v>3.5441489992888341E-2</v>
      </c>
      <c r="V92" s="40">
        <f t="shared" si="197"/>
        <v>2.6950117976088251E-2</v>
      </c>
      <c r="W92" s="40"/>
      <c r="Y92" s="41"/>
      <c r="Z92" s="41"/>
      <c r="AA92" s="40"/>
      <c r="AB92" s="40"/>
      <c r="AC92" s="40"/>
      <c r="AD92" s="40"/>
      <c r="AE92" s="40"/>
      <c r="AF92" s="40"/>
      <c r="AG92" s="40"/>
      <c r="AH92" s="41"/>
      <c r="AI92" s="41"/>
      <c r="AJ92" s="40"/>
      <c r="AK92" s="40"/>
      <c r="AL92" s="40"/>
      <c r="AM92" s="40"/>
      <c r="AN92" s="40"/>
      <c r="AO92" s="40"/>
      <c r="AQ92" s="41"/>
      <c r="AR92" s="41"/>
      <c r="AS92" s="40"/>
      <c r="AT92" s="40"/>
      <c r="AU92" s="40"/>
      <c r="AV92" s="40"/>
      <c r="AW92" s="40"/>
      <c r="AX92" s="40"/>
      <c r="AY92" s="40"/>
      <c r="BA92" s="41"/>
      <c r="BB92" s="41"/>
      <c r="BC92" s="40"/>
      <c r="BD92" s="40"/>
      <c r="BE92" s="40"/>
      <c r="BF92" s="40"/>
      <c r="BG92" s="40"/>
      <c r="BH92" s="40"/>
    </row>
    <row r="93" spans="3:60" x14ac:dyDescent="0.3">
      <c r="C93" s="45"/>
      <c r="D93" s="112"/>
      <c r="E93" s="45"/>
      <c r="F93" s="45"/>
      <c r="G93" s="143"/>
      <c r="H93" s="143"/>
      <c r="I93" s="143"/>
      <c r="J93" s="143"/>
      <c r="K93" s="62"/>
      <c r="L93" s="62"/>
      <c r="M93" s="131"/>
      <c r="O93" s="45"/>
      <c r="P93" s="143"/>
      <c r="Q93" s="143"/>
      <c r="R93" s="143"/>
      <c r="S93" s="143"/>
      <c r="T93" s="143"/>
      <c r="U93" s="143"/>
      <c r="V93" s="143"/>
      <c r="W93" s="131"/>
      <c r="Y93" s="45"/>
      <c r="Z93" s="45"/>
      <c r="AA93" s="62"/>
      <c r="AB93" s="62"/>
      <c r="AC93" s="62"/>
      <c r="AD93" s="62"/>
      <c r="AE93" s="62"/>
      <c r="AF93" s="62"/>
      <c r="AH93" s="45"/>
      <c r="AI93" s="45"/>
      <c r="AJ93" s="62"/>
      <c r="AK93" s="62"/>
      <c r="AL93" s="62"/>
      <c r="AM93" s="62"/>
      <c r="AN93" s="62"/>
      <c r="AO93" s="62"/>
      <c r="AQ93" s="45"/>
      <c r="AR93" s="45"/>
      <c r="AS93" s="62"/>
      <c r="AT93" s="62"/>
      <c r="AU93" s="62"/>
      <c r="AV93" s="62"/>
      <c r="AW93" s="62"/>
      <c r="AX93" s="62"/>
      <c r="AY93" s="131"/>
      <c r="BA93" s="45"/>
      <c r="BB93" s="45"/>
      <c r="BC93" s="62"/>
      <c r="BD93" s="62"/>
      <c r="BE93" s="62"/>
      <c r="BF93" s="62"/>
      <c r="BG93" s="62"/>
      <c r="BH93" s="62"/>
    </row>
    <row r="94" spans="3:60" x14ac:dyDescent="0.3">
      <c r="C94" s="30" t="s">
        <v>171</v>
      </c>
      <c r="D94" s="30"/>
      <c r="E94" s="30"/>
      <c r="F94" s="30"/>
      <c r="G94" s="30"/>
      <c r="H94" s="30"/>
      <c r="I94" s="30"/>
      <c r="J94" s="30"/>
      <c r="K94" s="30"/>
      <c r="L94" s="30"/>
      <c r="M94" s="30"/>
      <c r="O94" s="45"/>
      <c r="P94" s="143"/>
      <c r="Q94" s="143"/>
      <c r="R94" s="143"/>
      <c r="S94" s="143"/>
      <c r="T94" s="143"/>
      <c r="U94" s="62"/>
      <c r="V94" s="143"/>
      <c r="W94" s="83"/>
      <c r="Y94" s="45"/>
      <c r="Z94" s="45"/>
      <c r="AA94" s="62"/>
      <c r="AB94" s="62"/>
      <c r="AC94" s="62"/>
      <c r="AD94" s="62"/>
      <c r="AE94" s="62"/>
      <c r="AF94" s="62"/>
      <c r="AH94" s="45"/>
      <c r="AI94" s="45"/>
      <c r="AJ94" s="62"/>
      <c r="AK94" s="62"/>
      <c r="AL94" s="62"/>
      <c r="AM94" s="62"/>
      <c r="AN94" s="62"/>
      <c r="AO94" s="62"/>
      <c r="AQ94" s="45"/>
      <c r="AR94" s="45"/>
      <c r="AS94" s="62"/>
      <c r="AT94" s="62"/>
      <c r="AU94" s="62"/>
      <c r="AV94" s="62"/>
      <c r="AW94" s="62"/>
      <c r="AX94" s="62"/>
      <c r="AY94" s="83"/>
      <c r="BA94" s="45"/>
      <c r="BB94" s="45"/>
      <c r="BC94" s="62"/>
      <c r="BD94" s="62"/>
      <c r="BE94" s="62"/>
      <c r="BF94" s="62"/>
      <c r="BG94" s="62"/>
      <c r="BH94" s="62"/>
    </row>
    <row r="95" spans="3:60" x14ac:dyDescent="0.3">
      <c r="C95" s="63" t="s">
        <v>172</v>
      </c>
      <c r="D95" s="150"/>
      <c r="E95" s="150"/>
      <c r="F95" s="150">
        <f t="shared" ref="F95:L95" si="198">F88</f>
        <v>282751.76074423478</v>
      </c>
      <c r="G95" s="150">
        <f t="shared" si="198"/>
        <v>388712.03018283861</v>
      </c>
      <c r="H95" s="150">
        <f t="shared" si="198"/>
        <v>352675.55413481791</v>
      </c>
      <c r="I95" s="150">
        <f t="shared" si="198"/>
        <v>464819.49909402448</v>
      </c>
      <c r="J95" s="150">
        <f t="shared" si="198"/>
        <v>510713.64018286514</v>
      </c>
      <c r="K95" s="150">
        <f t="shared" si="198"/>
        <v>692208.04884257971</v>
      </c>
      <c r="L95" s="150">
        <f t="shared" si="198"/>
        <v>657667.69932193635</v>
      </c>
      <c r="M95" s="168">
        <f>L95/K95-1</f>
        <v>-4.9898797880777668E-2</v>
      </c>
      <c r="O95" s="45"/>
      <c r="P95" s="143"/>
      <c r="Q95" s="143"/>
      <c r="R95" s="143"/>
      <c r="S95" s="143"/>
      <c r="T95" s="143"/>
      <c r="U95" s="143"/>
      <c r="V95" s="143"/>
      <c r="W95" s="212"/>
      <c r="Y95" s="45"/>
      <c r="Z95" s="45"/>
      <c r="AA95" s="62"/>
      <c r="AB95" s="62"/>
      <c r="AC95" s="62"/>
      <c r="AD95" s="62"/>
      <c r="AE95" s="62"/>
      <c r="AF95" s="62"/>
      <c r="AH95" s="45"/>
      <c r="AI95" s="45"/>
      <c r="AJ95" s="62"/>
      <c r="AK95" s="62"/>
      <c r="AL95" s="62"/>
      <c r="AM95" s="62"/>
      <c r="AN95" s="62"/>
      <c r="AO95" s="62"/>
      <c r="AQ95" s="45"/>
      <c r="AR95" s="45"/>
      <c r="AS95" s="62"/>
      <c r="AT95" s="62"/>
      <c r="AU95" s="62"/>
      <c r="AV95" s="62"/>
      <c r="AW95" s="62"/>
      <c r="AX95" s="62"/>
      <c r="AY95" s="212"/>
      <c r="BA95" s="45"/>
      <c r="BB95" s="45"/>
      <c r="BC95" s="62"/>
      <c r="BD95" s="62"/>
      <c r="BE95" s="62"/>
      <c r="BF95" s="62"/>
      <c r="BG95" s="62"/>
      <c r="BH95" s="62"/>
    </row>
    <row r="96" spans="3:60" x14ac:dyDescent="0.3">
      <c r="C96" s="65" t="str">
        <f>'Quarterly I.S'!C96</f>
        <v>Net effect of new Rent standard</v>
      </c>
      <c r="D96" s="70"/>
      <c r="E96" s="70"/>
      <c r="F96" s="70"/>
      <c r="G96" s="70"/>
      <c r="H96" s="70"/>
      <c r="I96" s="70">
        <f>SUM('Quarterly I.S'!G96:J96)</f>
        <v>10036</v>
      </c>
      <c r="J96" s="70">
        <f>SUM('Quarterly I.S'!K96:N96)</f>
        <v>30632</v>
      </c>
      <c r="K96" s="70">
        <f>SUM('Quarterly I.S'!O96:R96)</f>
        <v>36840.922526741197</v>
      </c>
      <c r="L96" s="70">
        <f>SUM('Quarterly I.S'!S96:V96)</f>
        <v>24277.117131756</v>
      </c>
      <c r="O96" s="45"/>
      <c r="P96" s="143"/>
      <c r="Q96" s="143"/>
      <c r="R96" s="143"/>
      <c r="S96" s="143"/>
      <c r="T96" s="143"/>
      <c r="U96" s="143"/>
      <c r="V96" s="143"/>
      <c r="W96" s="213"/>
      <c r="Y96" s="45"/>
      <c r="Z96" s="45"/>
      <c r="AA96" s="62"/>
      <c r="AB96" s="62"/>
      <c r="AC96" s="62"/>
      <c r="AD96" s="62"/>
      <c r="AE96" s="62"/>
      <c r="AF96" s="62"/>
      <c r="AH96" s="45"/>
      <c r="AI96" s="45"/>
      <c r="AJ96" s="62"/>
      <c r="AK96" s="62"/>
      <c r="AL96" s="62"/>
      <c r="AM96" s="62"/>
      <c r="AN96" s="62"/>
      <c r="AO96" s="62"/>
      <c r="AQ96" s="45"/>
      <c r="AR96" s="45"/>
      <c r="AS96" s="62"/>
      <c r="AT96" s="62"/>
      <c r="AU96" s="62"/>
      <c r="AV96" s="62"/>
      <c r="AW96" s="62"/>
      <c r="AX96" s="62"/>
      <c r="AY96" s="213"/>
      <c r="BA96" s="45"/>
      <c r="BB96" s="45"/>
      <c r="BC96" s="62"/>
      <c r="BD96" s="62"/>
      <c r="BE96" s="62"/>
      <c r="BF96" s="62"/>
      <c r="BG96" s="62"/>
      <c r="BH96" s="62"/>
    </row>
    <row r="97" spans="2:60" x14ac:dyDescent="0.3">
      <c r="C97" s="65" t="str">
        <f>'Quarterly I.S'!C97</f>
        <v>Non-recurring sale of assets post tax</v>
      </c>
      <c r="D97" s="70"/>
      <c r="E97" s="70"/>
      <c r="F97" s="70"/>
      <c r="G97" s="70"/>
      <c r="H97" s="70"/>
      <c r="I97" s="70">
        <f>SUM('Quarterly I.S'!G97:J97)</f>
        <v>0</v>
      </c>
      <c r="J97" s="70">
        <f>SUM('Quarterly I.S'!K97:N97)</f>
        <v>0</v>
      </c>
      <c r="K97" s="70">
        <f>SUM('Quarterly I.S'!O97:R97)</f>
        <v>-147274.58600000001</v>
      </c>
      <c r="L97" s="70">
        <f>SUM('Quarterly I.S'!S97:V97)</f>
        <v>0</v>
      </c>
      <c r="O97" s="45"/>
      <c r="P97" s="143"/>
      <c r="Q97" s="143"/>
      <c r="R97" s="143"/>
      <c r="S97" s="143"/>
      <c r="T97" s="143"/>
      <c r="U97" s="62">
        <f>K97</f>
        <v>-147274.58600000001</v>
      </c>
      <c r="V97" s="143"/>
      <c r="W97" s="213"/>
      <c r="Y97" s="45"/>
      <c r="Z97" s="45"/>
      <c r="AA97" s="62"/>
      <c r="AB97" s="62"/>
      <c r="AC97" s="62"/>
      <c r="AD97" s="62"/>
      <c r="AE97" s="62"/>
      <c r="AF97" s="62"/>
      <c r="AH97" s="45"/>
      <c r="AI97" s="45"/>
      <c r="AJ97" s="62"/>
      <c r="AK97" s="62"/>
      <c r="AL97" s="62"/>
      <c r="AM97" s="62"/>
      <c r="AN97" s="62"/>
      <c r="AO97" s="62"/>
      <c r="AQ97" s="45"/>
      <c r="AR97" s="45"/>
      <c r="AS97" s="62"/>
      <c r="AT97" s="62"/>
      <c r="AU97" s="62"/>
      <c r="AV97" s="62"/>
      <c r="AW97" s="62"/>
      <c r="AX97" s="62"/>
      <c r="AY97" s="213"/>
      <c r="BA97" s="45"/>
      <c r="BB97" s="45"/>
      <c r="BC97" s="62"/>
      <c r="BD97" s="62"/>
      <c r="BE97" s="62"/>
      <c r="BF97" s="62"/>
      <c r="BG97" s="62"/>
      <c r="BH97" s="62"/>
    </row>
    <row r="98" spans="2:60" x14ac:dyDescent="0.3">
      <c r="C98" s="65" t="str">
        <f>'Quarterly I.S'!C98</f>
        <v>Tech Investments</v>
      </c>
      <c r="D98" s="70"/>
      <c r="E98" s="70"/>
      <c r="F98" s="70"/>
      <c r="G98" s="70"/>
      <c r="H98" s="70">
        <v>9104.500716005874</v>
      </c>
      <c r="I98" s="70">
        <f>SUM('Quarterly I.S'!G98:J98)</f>
        <v>12848</v>
      </c>
      <c r="J98" s="70">
        <f>SUM('Quarterly I.S'!K98:N98)</f>
        <v>32379.902460000001</v>
      </c>
      <c r="K98" s="70">
        <f>SUM('Quarterly I.S'!O98:R98)</f>
        <v>37596</v>
      </c>
      <c r="L98" s="70">
        <f>SUM('Quarterly I.S'!S98:V98)</f>
        <v>37165.678209778693</v>
      </c>
      <c r="O98" s="45"/>
      <c r="P98" s="143"/>
      <c r="Q98" s="143"/>
      <c r="R98" s="143"/>
      <c r="S98" s="143"/>
      <c r="T98" s="143"/>
      <c r="U98" s="143"/>
      <c r="V98" s="143"/>
      <c r="W98" s="213"/>
      <c r="Y98" s="45"/>
      <c r="Z98" s="45"/>
      <c r="AA98" s="62"/>
      <c r="AB98" s="62"/>
      <c r="AC98" s="62"/>
      <c r="AD98" s="62"/>
      <c r="AE98" s="62"/>
      <c r="AF98" s="62"/>
      <c r="AH98" s="45"/>
      <c r="AI98" s="45"/>
      <c r="AJ98" s="62"/>
      <c r="AK98" s="62"/>
      <c r="AL98" s="62"/>
      <c r="AM98" s="62"/>
      <c r="AN98" s="62"/>
      <c r="AO98" s="62"/>
      <c r="AQ98" s="45"/>
      <c r="AR98" s="45"/>
      <c r="AS98" s="62"/>
      <c r="AT98" s="62"/>
      <c r="AU98" s="62"/>
      <c r="AV98" s="62"/>
      <c r="AW98" s="62"/>
      <c r="AX98" s="62"/>
      <c r="AY98" s="213"/>
      <c r="BA98" s="45"/>
      <c r="BB98" s="45"/>
      <c r="BC98" s="62"/>
      <c r="BD98" s="62"/>
      <c r="BE98" s="62"/>
      <c r="BF98" s="62"/>
      <c r="BG98" s="62"/>
      <c r="BH98" s="62"/>
    </row>
    <row r="99" spans="2:60" x14ac:dyDescent="0.3">
      <c r="C99" s="65" t="str">
        <f>'Quarterly I.S'!C99</f>
        <v>Non-recurring marketing expense</v>
      </c>
      <c r="D99" s="70"/>
      <c r="E99" s="70"/>
      <c r="F99" s="70"/>
      <c r="G99" s="70"/>
      <c r="H99" s="70"/>
      <c r="I99" s="70"/>
      <c r="J99" s="70"/>
      <c r="K99" s="70">
        <f>SUM('Quarterly I.S'!O99:R99)</f>
        <v>0</v>
      </c>
      <c r="L99" s="70">
        <f>SUM('Quarterly I.S'!S99:V99)</f>
        <v>0</v>
      </c>
      <c r="O99" s="45"/>
      <c r="P99" s="143"/>
      <c r="Q99" s="143"/>
      <c r="R99" s="143"/>
      <c r="S99" s="143"/>
      <c r="T99" s="143"/>
      <c r="U99" s="143"/>
      <c r="V99" s="143"/>
      <c r="W99" s="213"/>
      <c r="Y99" s="45"/>
      <c r="Z99" s="45"/>
      <c r="AA99" s="62"/>
      <c r="AB99" s="62"/>
      <c r="AC99" s="62"/>
      <c r="AD99" s="62"/>
      <c r="AE99" s="62"/>
      <c r="AF99" s="62"/>
      <c r="AH99" s="45"/>
      <c r="AI99" s="45"/>
      <c r="AJ99" s="62"/>
      <c r="AK99" s="62"/>
      <c r="AL99" s="62"/>
      <c r="AM99" s="62"/>
      <c r="AN99" s="62"/>
      <c r="AO99" s="62"/>
      <c r="AQ99" s="45"/>
      <c r="AR99" s="45"/>
      <c r="AS99" s="62"/>
      <c r="AT99" s="62"/>
      <c r="AU99" s="62"/>
      <c r="AV99" s="62"/>
      <c r="AW99" s="62"/>
      <c r="AX99" s="62"/>
      <c r="AY99" s="213"/>
      <c r="BA99" s="45"/>
      <c r="BB99" s="45"/>
      <c r="BC99" s="62"/>
      <c r="BD99" s="62"/>
      <c r="BE99" s="62"/>
      <c r="BF99" s="62"/>
      <c r="BG99" s="62"/>
      <c r="BH99" s="62"/>
    </row>
    <row r="100" spans="2:60" x14ac:dyDescent="0.3">
      <c r="C100" s="65" t="str">
        <f>'Quarterly I.S'!C100</f>
        <v>ESOP</v>
      </c>
      <c r="D100" s="70"/>
      <c r="E100" s="70"/>
      <c r="F100" s="70"/>
      <c r="G100" s="70"/>
      <c r="H100" s="70">
        <v>14832.02</v>
      </c>
      <c r="I100" s="70">
        <f>SUM('Quarterly I.S'!G100:J100)</f>
        <v>0</v>
      </c>
      <c r="J100" s="70">
        <f>SUM('Quarterly I.S'!K100:N100)</f>
        <v>0</v>
      </c>
      <c r="K100" s="70">
        <f>SUM('Quarterly I.S'!O100:R100)</f>
        <v>0</v>
      </c>
      <c r="L100" s="70">
        <f>SUM('Quarterly I.S'!S100:V100)</f>
        <v>3009</v>
      </c>
      <c r="O100" s="45"/>
      <c r="P100" s="143"/>
      <c r="Q100" s="143"/>
      <c r="R100" s="143"/>
      <c r="S100" s="143"/>
      <c r="T100" s="143"/>
      <c r="U100" s="143"/>
      <c r="V100" s="143"/>
      <c r="W100" s="213"/>
      <c r="Y100" s="45"/>
      <c r="Z100" s="45"/>
      <c r="AA100" s="62"/>
      <c r="AB100" s="62"/>
      <c r="AC100" s="62"/>
      <c r="AD100" s="62"/>
      <c r="AE100" s="62"/>
      <c r="AF100" s="62"/>
      <c r="AH100" s="45"/>
      <c r="AI100" s="45"/>
      <c r="AJ100" s="62"/>
      <c r="AK100" s="62"/>
      <c r="AL100" s="62"/>
      <c r="AM100" s="62"/>
      <c r="AN100" s="62"/>
      <c r="AO100" s="62"/>
      <c r="AQ100" s="45"/>
      <c r="AR100" s="45"/>
      <c r="AS100" s="62"/>
      <c r="AT100" s="62"/>
      <c r="AU100" s="62"/>
      <c r="AV100" s="62"/>
      <c r="AW100" s="62"/>
      <c r="AX100" s="62"/>
      <c r="AY100" s="213"/>
      <c r="BA100" s="45"/>
      <c r="BB100" s="45"/>
      <c r="BC100" s="62"/>
      <c r="BD100" s="62"/>
      <c r="BE100" s="62"/>
      <c r="BF100" s="62"/>
      <c r="BG100" s="62"/>
      <c r="BH100" s="62"/>
    </row>
    <row r="101" spans="2:60" x14ac:dyDescent="0.3">
      <c r="C101" s="65" t="str">
        <f>'Quarterly I.S'!C101</f>
        <v>Tax adjustments</v>
      </c>
      <c r="D101" s="70"/>
      <c r="E101" s="70"/>
      <c r="F101" s="70"/>
      <c r="G101" s="70"/>
      <c r="H101" s="70">
        <v>15591.95</v>
      </c>
      <c r="I101" s="70">
        <f>SUM('Quarterly I.S'!G101:J101)</f>
        <v>13752</v>
      </c>
      <c r="J101" s="70">
        <f>SUM('Quarterly I.S'!K101:N101)</f>
        <v>27392</v>
      </c>
      <c r="K101" s="70">
        <f>SUM('Quarterly I.S'!O101:R101)</f>
        <v>58438.7960845657</v>
      </c>
      <c r="L101" s="70">
        <f>SUM('Quarterly I.S'!S101:V101)</f>
        <v>35339.275470643479</v>
      </c>
      <c r="O101" s="45"/>
      <c r="P101" s="143"/>
      <c r="Q101" s="143"/>
      <c r="R101" s="143"/>
      <c r="S101" s="143"/>
      <c r="T101" s="143"/>
      <c r="U101" s="143"/>
      <c r="V101" s="143"/>
      <c r="W101" s="213"/>
      <c r="Y101" s="45"/>
      <c r="Z101" s="45"/>
      <c r="AA101" s="62"/>
      <c r="AB101" s="62"/>
      <c r="AC101" s="62"/>
      <c r="AD101" s="62"/>
      <c r="AE101" s="62"/>
      <c r="AF101" s="62"/>
      <c r="AH101" s="45"/>
      <c r="AI101" s="45"/>
      <c r="AJ101" s="62"/>
      <c r="AK101" s="62"/>
      <c r="AL101" s="62"/>
      <c r="AM101" s="62"/>
      <c r="AN101" s="62"/>
      <c r="AO101" s="62"/>
      <c r="AQ101" s="45"/>
      <c r="AR101" s="45"/>
      <c r="AS101" s="62"/>
      <c r="AT101" s="62"/>
      <c r="AU101" s="62"/>
      <c r="AV101" s="62"/>
      <c r="AW101" s="62"/>
      <c r="AX101" s="62"/>
      <c r="AY101" s="213"/>
      <c r="BA101" s="45"/>
      <c r="BB101" s="45"/>
      <c r="BC101" s="62"/>
      <c r="BD101" s="62"/>
      <c r="BE101" s="62"/>
      <c r="BF101" s="62"/>
      <c r="BG101" s="62"/>
      <c r="BH101" s="62"/>
    </row>
    <row r="102" spans="2:60" x14ac:dyDescent="0.3">
      <c r="C102" s="65" t="str">
        <f>'Quarterly I.S'!C102</f>
        <v>Special provision</v>
      </c>
      <c r="D102" s="70"/>
      <c r="E102" s="70"/>
      <c r="F102" s="70"/>
      <c r="G102" s="70"/>
      <c r="H102" s="70"/>
      <c r="I102" s="70">
        <f>SUM('Quarterly I.S'!G102:J102)</f>
        <v>0</v>
      </c>
      <c r="J102" s="70">
        <f>SUM('Quarterly I.S'!K102:N102)</f>
        <v>8000</v>
      </c>
      <c r="K102" s="70">
        <f>SUM('Quarterly I.S'!O102:R102)</f>
        <v>15000</v>
      </c>
      <c r="L102" s="70">
        <f>SUM('Quarterly I.S'!S102:V102)</f>
        <v>-21880</v>
      </c>
      <c r="O102" s="45"/>
      <c r="P102" s="143"/>
      <c r="Q102" s="143"/>
      <c r="R102" s="143"/>
      <c r="S102" s="143"/>
      <c r="T102" s="143"/>
      <c r="U102" s="143"/>
      <c r="V102" s="143"/>
      <c r="W102" s="213"/>
      <c r="Y102" s="45"/>
      <c r="Z102" s="45"/>
      <c r="AA102" s="62"/>
      <c r="AB102" s="62"/>
      <c r="AC102" s="62"/>
      <c r="AD102" s="62"/>
      <c r="AE102" s="62"/>
      <c r="AF102" s="62"/>
      <c r="AH102" s="45"/>
      <c r="AI102" s="45"/>
      <c r="AJ102" s="62"/>
      <c r="AK102" s="62"/>
      <c r="AL102" s="62"/>
      <c r="AM102" s="62"/>
      <c r="AN102" s="62"/>
      <c r="AO102" s="62"/>
      <c r="AQ102" s="45"/>
      <c r="AR102" s="45"/>
      <c r="AS102" s="62"/>
      <c r="AT102" s="62"/>
      <c r="AU102" s="62"/>
      <c r="AV102" s="62"/>
      <c r="AW102" s="62"/>
      <c r="AX102" s="62"/>
      <c r="AY102" s="213"/>
      <c r="BA102" s="45"/>
      <c r="BB102" s="45"/>
      <c r="BC102" s="62"/>
      <c r="BD102" s="62"/>
      <c r="BE102" s="62"/>
      <c r="BF102" s="62"/>
      <c r="BG102" s="62"/>
      <c r="BH102" s="62"/>
    </row>
    <row r="103" spans="2:60" ht="13.5" thickBot="1" x14ac:dyDescent="0.35">
      <c r="C103" s="151" t="s">
        <v>171</v>
      </c>
      <c r="D103" s="154"/>
      <c r="E103" s="154"/>
      <c r="F103" s="154"/>
      <c r="G103" s="154"/>
      <c r="H103" s="154">
        <f>SUM(H95:H102)</f>
        <v>392204.0248508238</v>
      </c>
      <c r="I103" s="154">
        <f>SUM(I95:I102)</f>
        <v>501455.49909402448</v>
      </c>
      <c r="J103" s="154">
        <f>SUM(J95:J102)</f>
        <v>609117.5426428651</v>
      </c>
      <c r="K103" s="154">
        <f>SUM(K95:K102)</f>
        <v>692809.18145388656</v>
      </c>
      <c r="L103" s="154">
        <f>SUM(L95:L102)</f>
        <v>735578.77013411466</v>
      </c>
      <c r="M103" s="175">
        <f>L103/K103-1</f>
        <v>6.1733576611202601E-2</v>
      </c>
      <c r="O103" s="45"/>
      <c r="P103" s="143"/>
      <c r="Q103" s="143"/>
      <c r="R103" s="143"/>
      <c r="S103" s="143"/>
      <c r="T103" s="143"/>
      <c r="U103" s="62">
        <f>U88+U97</f>
        <v>477645.03402723058</v>
      </c>
      <c r="V103" s="62">
        <f>V88+V97</f>
        <v>533180.53305241244</v>
      </c>
      <c r="W103" s="178">
        <f>V103/U103-1</f>
        <v>0.11626939477824827</v>
      </c>
      <c r="Y103" s="45"/>
      <c r="Z103" s="45"/>
      <c r="AA103" s="62"/>
      <c r="AB103" s="62"/>
      <c r="AC103" s="62"/>
      <c r="AD103" s="62"/>
      <c r="AE103" s="62"/>
      <c r="AF103" s="62"/>
      <c r="AH103" s="45"/>
      <c r="AI103" s="45"/>
      <c r="AJ103" s="62"/>
      <c r="AK103" s="62"/>
      <c r="AL103" s="62"/>
      <c r="AM103" s="62"/>
      <c r="AN103" s="62"/>
      <c r="AO103" s="62"/>
      <c r="AQ103" s="45"/>
      <c r="AR103" s="45"/>
      <c r="AS103" s="62"/>
      <c r="AT103" s="62"/>
      <c r="AU103" s="62"/>
      <c r="AV103" s="62"/>
      <c r="AW103" s="62"/>
      <c r="AX103" s="62"/>
      <c r="AY103" s="213"/>
      <c r="BA103" s="45"/>
      <c r="BB103" s="45"/>
      <c r="BC103" s="62"/>
      <c r="BD103" s="62"/>
      <c r="BE103" s="62"/>
      <c r="BF103" s="62"/>
      <c r="BG103" s="62"/>
      <c r="BH103" s="62"/>
    </row>
    <row r="104" spans="2:60" ht="13.5" thickTop="1" x14ac:dyDescent="0.3">
      <c r="C104" s="45"/>
      <c r="D104" s="112"/>
      <c r="E104" s="45"/>
      <c r="F104" s="45"/>
      <c r="G104" s="143"/>
      <c r="H104" s="143"/>
      <c r="I104" s="131">
        <f>(I107-H107)/I95</f>
        <v>0.57365958295579611</v>
      </c>
      <c r="J104" s="131">
        <f>(J107-I107)/J95</f>
        <v>0.33425552855372492</v>
      </c>
      <c r="K104" s="131">
        <f>(K107-J107)/K95</f>
        <v>0.52707659489164993</v>
      </c>
      <c r="L104" s="131">
        <f>(L107-K107)/L95</f>
        <v>0.87161812375596814</v>
      </c>
      <c r="M104" s="131"/>
      <c r="O104" s="45"/>
      <c r="P104" s="143"/>
      <c r="Q104" s="143"/>
      <c r="R104" s="143"/>
      <c r="S104" s="143"/>
      <c r="T104" s="143"/>
      <c r="U104" s="143"/>
      <c r="V104" s="143"/>
      <c r="W104" s="131"/>
      <c r="Y104" s="45"/>
      <c r="Z104" s="45"/>
      <c r="AA104" s="62"/>
      <c r="AB104" s="62"/>
      <c r="AC104" s="62"/>
      <c r="AD104" s="62"/>
      <c r="AE104" s="62"/>
      <c r="AF104" s="62"/>
      <c r="AH104" s="45"/>
      <c r="AI104" s="45"/>
      <c r="AJ104" s="62"/>
      <c r="AK104" s="62"/>
      <c r="AL104" s="62"/>
      <c r="AM104" s="62"/>
      <c r="AN104" s="62"/>
      <c r="AO104" s="62"/>
      <c r="AQ104" s="45"/>
      <c r="AR104" s="45"/>
      <c r="AS104" s="62"/>
      <c r="AT104" s="62"/>
      <c r="AU104" s="62"/>
      <c r="AV104" s="62"/>
      <c r="AW104" s="62"/>
      <c r="AX104" s="62"/>
      <c r="AY104" s="131"/>
      <c r="BA104" s="45"/>
      <c r="BB104" s="45"/>
      <c r="BC104" s="62"/>
      <c r="BD104" s="62"/>
      <c r="BE104" s="62"/>
      <c r="BF104" s="62"/>
      <c r="BG104" s="62"/>
      <c r="BH104" s="62"/>
    </row>
    <row r="105" spans="2:60" s="32" customFormat="1" x14ac:dyDescent="0.3">
      <c r="B105" s="29"/>
      <c r="C105" s="30" t="s">
        <v>102</v>
      </c>
      <c r="D105" s="30"/>
      <c r="E105" s="30"/>
      <c r="F105" s="31"/>
      <c r="G105" s="31"/>
      <c r="H105" s="31"/>
      <c r="I105" s="31"/>
      <c r="J105" s="31"/>
      <c r="K105" s="31"/>
      <c r="L105" s="31"/>
      <c r="M105" s="180"/>
      <c r="O105" s="31"/>
      <c r="P105" s="31"/>
      <c r="Q105" s="31"/>
      <c r="R105" s="31"/>
      <c r="S105" s="31"/>
      <c r="T105" s="31"/>
      <c r="U105" s="31"/>
      <c r="V105" s="31"/>
      <c r="W105" s="180"/>
      <c r="Y105" s="31"/>
      <c r="Z105" s="31"/>
      <c r="AA105" s="31"/>
      <c r="AB105" s="31"/>
      <c r="AC105" s="31"/>
      <c r="AD105" s="31"/>
      <c r="AE105" s="31"/>
      <c r="AF105" s="31"/>
      <c r="AH105" s="31"/>
      <c r="AI105" s="31"/>
      <c r="AJ105" s="31"/>
      <c r="AK105" s="31"/>
      <c r="AL105" s="31"/>
      <c r="AM105" s="31"/>
      <c r="AN105" s="31"/>
      <c r="AO105" s="31"/>
      <c r="AQ105" s="31"/>
      <c r="AR105" s="31"/>
      <c r="AS105" s="31"/>
      <c r="AT105" s="31"/>
      <c r="AU105" s="31"/>
      <c r="AV105" s="31"/>
      <c r="AW105" s="31"/>
      <c r="AX105" s="31"/>
      <c r="AY105" s="180"/>
      <c r="AZ105" s="36"/>
      <c r="BA105" s="31"/>
      <c r="BB105" s="31"/>
      <c r="BC105" s="31"/>
      <c r="BD105" s="31"/>
      <c r="BE105" s="31"/>
      <c r="BF105" s="31"/>
      <c r="BG105" s="31"/>
      <c r="BH105" s="31"/>
    </row>
    <row r="106" spans="2:60" s="35" customFormat="1" x14ac:dyDescent="0.3">
      <c r="B106" s="33"/>
      <c r="C106" s="63" t="s">
        <v>103</v>
      </c>
      <c r="D106" s="63"/>
      <c r="E106" s="34"/>
      <c r="F106" s="34"/>
      <c r="G106" s="34"/>
      <c r="H106" s="34"/>
      <c r="I106" s="34"/>
      <c r="J106" s="34"/>
      <c r="K106" s="34"/>
      <c r="L106" s="34"/>
      <c r="M106" s="168"/>
      <c r="O106" s="34"/>
      <c r="P106" s="34"/>
      <c r="Q106" s="34"/>
      <c r="R106" s="34"/>
      <c r="S106" s="34"/>
      <c r="T106" s="34"/>
      <c r="U106" s="34"/>
      <c r="V106" s="34"/>
      <c r="W106" s="168"/>
      <c r="Y106" s="34"/>
      <c r="Z106" s="34"/>
      <c r="AA106" s="34"/>
      <c r="AB106" s="34"/>
      <c r="AC106" s="34"/>
      <c r="AD106" s="34"/>
      <c r="AE106" s="34"/>
      <c r="AF106" s="34"/>
      <c r="AH106" s="34"/>
      <c r="AI106" s="34"/>
      <c r="AJ106" s="34"/>
      <c r="AK106" s="34"/>
      <c r="AL106" s="34"/>
      <c r="AM106" s="34"/>
      <c r="AN106" s="34"/>
      <c r="AO106" s="34"/>
      <c r="AQ106" s="34"/>
      <c r="AR106" s="34"/>
      <c r="AS106" s="34"/>
      <c r="AT106" s="34"/>
      <c r="AU106" s="34"/>
      <c r="AV106" s="34"/>
      <c r="AW106" s="34"/>
      <c r="AX106" s="34"/>
      <c r="AY106" s="168"/>
      <c r="AZ106" s="205"/>
      <c r="BA106" s="34"/>
      <c r="BB106" s="34"/>
      <c r="BC106" s="34"/>
      <c r="BD106" s="34"/>
      <c r="BE106" s="34"/>
      <c r="BF106" s="34"/>
      <c r="BG106" s="34"/>
      <c r="BH106" s="34"/>
    </row>
    <row r="107" spans="2:60" s="64" customFormat="1" x14ac:dyDescent="0.3">
      <c r="C107" s="65" t="s">
        <v>81</v>
      </c>
      <c r="D107" s="77"/>
      <c r="E107" s="69">
        <v>674271</v>
      </c>
      <c r="F107" s="69">
        <v>1615882</v>
      </c>
      <c r="G107" s="69">
        <v>1963253.0649999999</v>
      </c>
      <c r="H107" s="69">
        <v>2102154.5729999999</v>
      </c>
      <c r="I107" s="69">
        <v>2368802.733</v>
      </c>
      <c r="J107" s="69">
        <f>'Quarterly I.S'!N107</f>
        <v>2539511.5907389205</v>
      </c>
      <c r="K107" s="69">
        <f>'Quarterly I.S'!R107</f>
        <v>2904358.2520794603</v>
      </c>
      <c r="L107" s="69">
        <f>'Quarterly I.S'!V107</f>
        <v>3477593.3382173507</v>
      </c>
      <c r="M107" s="182">
        <f>L107/K107-1</f>
        <v>0.19737065347481364</v>
      </c>
      <c r="O107" s="67">
        <f t="shared" ref="O107:O115" si="199">$E107</f>
        <v>674271</v>
      </c>
      <c r="P107" s="67">
        <f t="shared" ref="P107:P115" si="200">$F107</f>
        <v>1615882</v>
      </c>
      <c r="Q107" s="67">
        <f t="shared" ref="Q107:Q115" si="201">$G107</f>
        <v>1963253.0649999999</v>
      </c>
      <c r="R107" s="67">
        <f t="shared" ref="R107:R115" si="202">$H107</f>
        <v>2102154.5729999999</v>
      </c>
      <c r="S107" s="67">
        <f t="shared" ref="S107:S115" si="203">$I107</f>
        <v>2368802.733</v>
      </c>
      <c r="T107" s="67">
        <f>$J107</f>
        <v>2539511.5907389205</v>
      </c>
      <c r="U107" s="67">
        <f>$K107</f>
        <v>2904358.2520794603</v>
      </c>
      <c r="V107" s="67">
        <f>$L107</f>
        <v>3477593.3382173507</v>
      </c>
      <c r="W107" s="182">
        <f>V107/U107-1</f>
        <v>0.19737065347481364</v>
      </c>
      <c r="Y107" s="67">
        <f t="shared" ref="Y107:Y115" si="204">$E107</f>
        <v>674271</v>
      </c>
      <c r="Z107" s="67">
        <f t="shared" ref="Z107:Z115" si="205">$F107</f>
        <v>1615882</v>
      </c>
      <c r="AA107" s="67">
        <f t="shared" ref="AA107:AA115" si="206">$G107</f>
        <v>1963253.0649999999</v>
      </c>
      <c r="AB107" s="67">
        <f t="shared" ref="AB107:AB115" si="207">$H107</f>
        <v>2102154.5729999999</v>
      </c>
      <c r="AC107" s="67">
        <f t="shared" ref="AC107:AC115" si="208">$I107</f>
        <v>2368802.733</v>
      </c>
      <c r="AD107" s="67">
        <f>$J107</f>
        <v>2539511.5907389205</v>
      </c>
      <c r="AE107" s="67">
        <f>$K107</f>
        <v>2904358.2520794603</v>
      </c>
      <c r="AF107" s="67">
        <f>$L107</f>
        <v>3477593.3382173507</v>
      </c>
      <c r="AH107" s="67">
        <f t="shared" ref="AH107:AH115" si="209">$E107</f>
        <v>674271</v>
      </c>
      <c r="AI107" s="67">
        <f t="shared" ref="AI107:AI115" si="210">$F107</f>
        <v>1615882</v>
      </c>
      <c r="AJ107" s="67">
        <f t="shared" ref="AJ107:AJ115" si="211">$G107</f>
        <v>1963253.0649999999</v>
      </c>
      <c r="AK107" s="67">
        <f t="shared" ref="AK107:AK115" si="212">$H107</f>
        <v>2102154.5729999999</v>
      </c>
      <c r="AL107" s="67">
        <f t="shared" ref="AL107:AL115" si="213">$I107</f>
        <v>2368802.733</v>
      </c>
      <c r="AM107" s="67">
        <f>$J107</f>
        <v>2539511.5907389205</v>
      </c>
      <c r="AN107" s="67">
        <f>$K107</f>
        <v>2904358.2520794603</v>
      </c>
      <c r="AO107" s="67">
        <f>$L107</f>
        <v>3477593.3382173507</v>
      </c>
      <c r="AQ107" s="67">
        <f t="shared" ref="AQ107:AQ115" si="214">$E107</f>
        <v>674271</v>
      </c>
      <c r="AR107" s="67">
        <f t="shared" ref="AR107:AR115" si="215">$F107</f>
        <v>1615882</v>
      </c>
      <c r="AS107" s="67">
        <f t="shared" ref="AS107:AS115" si="216">$G107</f>
        <v>1963253.0649999999</v>
      </c>
      <c r="AT107" s="67">
        <f t="shared" ref="AT107:AT115" si="217">$H107</f>
        <v>2102154.5729999999</v>
      </c>
      <c r="AU107" s="67">
        <f t="shared" ref="AU107:AU115" si="218">$I107</f>
        <v>2368802.733</v>
      </c>
      <c r="AV107" s="67">
        <f>$J107</f>
        <v>2539511.5907389205</v>
      </c>
      <c r="AW107" s="67">
        <f>$K107</f>
        <v>2904358.2520794603</v>
      </c>
      <c r="AX107" s="67">
        <f>$L107</f>
        <v>3477593.3382173507</v>
      </c>
      <c r="AY107" s="182">
        <f>AX107/AW107-1</f>
        <v>0.19737065347481364</v>
      </c>
      <c r="BA107" s="67">
        <f t="shared" ref="BA107:BA115" si="219">$E107</f>
        <v>674271</v>
      </c>
      <c r="BB107" s="67">
        <f t="shared" ref="BB107:BB115" si="220">$F107</f>
        <v>1615882</v>
      </c>
      <c r="BC107" s="67">
        <f t="shared" ref="BC107:BC115" si="221">$G107</f>
        <v>1963253.0649999999</v>
      </c>
      <c r="BD107" s="67">
        <f t="shared" ref="BD107:BD115" si="222">$H107</f>
        <v>2102154.5729999999</v>
      </c>
      <c r="BE107" s="67">
        <f t="shared" ref="BE107:BE115" si="223">$I107</f>
        <v>2368802.733</v>
      </c>
      <c r="BF107" s="67">
        <f>$J107</f>
        <v>2539511.5907389205</v>
      </c>
      <c r="BG107" s="67">
        <f>$K107</f>
        <v>2904358.2520794603</v>
      </c>
      <c r="BH107" s="67">
        <f>$L107</f>
        <v>3477593.3382173507</v>
      </c>
    </row>
    <row r="108" spans="2:60" s="64" customFormat="1" x14ac:dyDescent="0.3">
      <c r="C108" s="65" t="s">
        <v>82</v>
      </c>
      <c r="D108" s="77"/>
      <c r="E108" s="67">
        <f t="shared" ref="E108:L108" si="224">E107-E109-E110</f>
        <v>674271</v>
      </c>
      <c r="F108" s="67">
        <f t="shared" si="224"/>
        <v>1530632.2</v>
      </c>
      <c r="G108" s="67">
        <f t="shared" si="224"/>
        <v>1841672.9566193018</v>
      </c>
      <c r="H108" s="67">
        <f t="shared" si="224"/>
        <v>1941171.174218792</v>
      </c>
      <c r="I108" s="67">
        <f t="shared" si="224"/>
        <v>2184797.9700000002</v>
      </c>
      <c r="J108" s="67">
        <f t="shared" si="224"/>
        <v>2332347.2532545202</v>
      </c>
      <c r="K108" s="67">
        <f t="shared" si="224"/>
        <v>2617152.4164260603</v>
      </c>
      <c r="L108" s="67">
        <f t="shared" si="224"/>
        <v>3089561.8947073505</v>
      </c>
      <c r="M108" s="183">
        <f>L108/K108-1</f>
        <v>0.18050514571344856</v>
      </c>
      <c r="O108" s="67">
        <f t="shared" si="199"/>
        <v>674271</v>
      </c>
      <c r="P108" s="67">
        <f t="shared" si="200"/>
        <v>1530632.2</v>
      </c>
      <c r="Q108" s="67">
        <f t="shared" si="201"/>
        <v>1841672.9566193018</v>
      </c>
      <c r="R108" s="67">
        <f t="shared" si="202"/>
        <v>1941171.174218792</v>
      </c>
      <c r="S108" s="67">
        <f t="shared" si="203"/>
        <v>2184797.9700000002</v>
      </c>
      <c r="T108" s="67">
        <f t="shared" ref="T108:T115" si="225">$J108</f>
        <v>2332347.2532545202</v>
      </c>
      <c r="U108" s="67">
        <f>$K108</f>
        <v>2617152.4164260603</v>
      </c>
      <c r="V108" s="67">
        <f>$L108</f>
        <v>3089561.8947073505</v>
      </c>
      <c r="W108" s="183">
        <f>V108/U108-1</f>
        <v>0.18050514571344856</v>
      </c>
      <c r="Y108" s="67">
        <f t="shared" si="204"/>
        <v>674271</v>
      </c>
      <c r="Z108" s="67">
        <f t="shared" si="205"/>
        <v>1530632.2</v>
      </c>
      <c r="AA108" s="67">
        <f t="shared" si="206"/>
        <v>1841672.9566193018</v>
      </c>
      <c r="AB108" s="67">
        <f t="shared" si="207"/>
        <v>1941171.174218792</v>
      </c>
      <c r="AC108" s="67">
        <f t="shared" si="208"/>
        <v>2184797.9700000002</v>
      </c>
      <c r="AD108" s="67">
        <f t="shared" ref="AD108:AD115" si="226">$J108</f>
        <v>2332347.2532545202</v>
      </c>
      <c r="AE108" s="67">
        <f>$K108</f>
        <v>2617152.4164260603</v>
      </c>
      <c r="AF108" s="67">
        <f>$L108</f>
        <v>3089561.8947073505</v>
      </c>
      <c r="AH108" s="67">
        <f t="shared" si="209"/>
        <v>674271</v>
      </c>
      <c r="AI108" s="67">
        <f t="shared" si="210"/>
        <v>1530632.2</v>
      </c>
      <c r="AJ108" s="67">
        <f t="shared" si="211"/>
        <v>1841672.9566193018</v>
      </c>
      <c r="AK108" s="67">
        <f t="shared" si="212"/>
        <v>1941171.174218792</v>
      </c>
      <c r="AL108" s="67">
        <f t="shared" si="213"/>
        <v>2184797.9700000002</v>
      </c>
      <c r="AM108" s="67">
        <f t="shared" ref="AM108:AM115" si="227">$J108</f>
        <v>2332347.2532545202</v>
      </c>
      <c r="AN108" s="67">
        <f>$K108</f>
        <v>2617152.4164260603</v>
      </c>
      <c r="AO108" s="67">
        <f>$L108</f>
        <v>3089561.8947073505</v>
      </c>
      <c r="AQ108" s="67">
        <f t="shared" si="214"/>
        <v>674271</v>
      </c>
      <c r="AR108" s="67">
        <f t="shared" si="215"/>
        <v>1530632.2</v>
      </c>
      <c r="AS108" s="67">
        <f t="shared" si="216"/>
        <v>1841672.9566193018</v>
      </c>
      <c r="AT108" s="67">
        <f t="shared" si="217"/>
        <v>1941171.174218792</v>
      </c>
      <c r="AU108" s="67">
        <f t="shared" si="218"/>
        <v>2184797.9700000002</v>
      </c>
      <c r="AV108" s="67">
        <f t="shared" ref="AV108:AV115" si="228">$J108</f>
        <v>2332347.2532545202</v>
      </c>
      <c r="AW108" s="67">
        <f>$K108</f>
        <v>2617152.4164260603</v>
      </c>
      <c r="AX108" s="67">
        <f>$L108</f>
        <v>3089561.8947073505</v>
      </c>
      <c r="AY108" s="183">
        <f>AX108/AW108-1</f>
        <v>0.18050514571344856</v>
      </c>
      <c r="BA108" s="67">
        <f t="shared" si="219"/>
        <v>674271</v>
      </c>
      <c r="BB108" s="67">
        <f t="shared" si="220"/>
        <v>1530632.2</v>
      </c>
      <c r="BC108" s="67">
        <f t="shared" si="221"/>
        <v>1841672.9566193018</v>
      </c>
      <c r="BD108" s="67">
        <f t="shared" si="222"/>
        <v>1941171.174218792</v>
      </c>
      <c r="BE108" s="67">
        <f t="shared" si="223"/>
        <v>2184797.9700000002</v>
      </c>
      <c r="BF108" s="67">
        <f t="shared" ref="BF108:BF115" si="229">$J108</f>
        <v>2332347.2532545202</v>
      </c>
      <c r="BG108" s="67">
        <f>$K108</f>
        <v>2617152.4164260603</v>
      </c>
      <c r="BH108" s="67">
        <f>$L108</f>
        <v>3089561.8947073505</v>
      </c>
    </row>
    <row r="109" spans="2:60" s="64" customFormat="1" x14ac:dyDescent="0.3">
      <c r="C109" s="65" t="s">
        <v>80</v>
      </c>
      <c r="D109" s="77"/>
      <c r="E109" s="69">
        <v>0</v>
      </c>
      <c r="F109" s="69">
        <v>85249.8</v>
      </c>
      <c r="G109" s="69">
        <v>121580.10838069815</v>
      </c>
      <c r="H109" s="69">
        <v>160983.39878120794</v>
      </c>
      <c r="I109" s="69">
        <v>173038.76300000001</v>
      </c>
      <c r="J109" s="69">
        <f>'Quarterly I.S'!N109</f>
        <v>194872.81264679998</v>
      </c>
      <c r="K109" s="69">
        <f>'Quarterly I.S'!R109</f>
        <v>264738.25029579998</v>
      </c>
      <c r="L109" s="69">
        <f>'Quarterly I.S'!V109</f>
        <v>360908.93478200003</v>
      </c>
      <c r="M109" s="182">
        <f>L109/K109-1</f>
        <v>0.36326705483150112</v>
      </c>
      <c r="O109" s="67">
        <f t="shared" si="199"/>
        <v>0</v>
      </c>
      <c r="P109" s="67">
        <f t="shared" si="200"/>
        <v>85249.8</v>
      </c>
      <c r="Q109" s="67">
        <f t="shared" si="201"/>
        <v>121580.10838069815</v>
      </c>
      <c r="R109" s="67">
        <f t="shared" si="202"/>
        <v>160983.39878120794</v>
      </c>
      <c r="S109" s="67">
        <f t="shared" si="203"/>
        <v>173038.76300000001</v>
      </c>
      <c r="T109" s="67">
        <f t="shared" si="225"/>
        <v>194872.81264679998</v>
      </c>
      <c r="U109" s="67">
        <f>$K109</f>
        <v>264738.25029579998</v>
      </c>
      <c r="V109" s="67">
        <f>$L109</f>
        <v>360908.93478200003</v>
      </c>
      <c r="W109" s="182">
        <f>V109/U109-1</f>
        <v>0.36326705483150112</v>
      </c>
      <c r="Y109" s="67">
        <f t="shared" si="204"/>
        <v>0</v>
      </c>
      <c r="Z109" s="67">
        <f t="shared" si="205"/>
        <v>85249.8</v>
      </c>
      <c r="AA109" s="67">
        <f t="shared" si="206"/>
        <v>121580.10838069815</v>
      </c>
      <c r="AB109" s="67">
        <f t="shared" si="207"/>
        <v>160983.39878120794</v>
      </c>
      <c r="AC109" s="67">
        <f t="shared" si="208"/>
        <v>173038.76300000001</v>
      </c>
      <c r="AD109" s="67">
        <f t="shared" si="226"/>
        <v>194872.81264679998</v>
      </c>
      <c r="AE109" s="67">
        <f>$K109</f>
        <v>264738.25029579998</v>
      </c>
      <c r="AF109" s="67">
        <f>$L109</f>
        <v>360908.93478200003</v>
      </c>
      <c r="AH109" s="67">
        <f t="shared" si="209"/>
        <v>0</v>
      </c>
      <c r="AI109" s="67">
        <f t="shared" si="210"/>
        <v>85249.8</v>
      </c>
      <c r="AJ109" s="67">
        <f t="shared" si="211"/>
        <v>121580.10838069815</v>
      </c>
      <c r="AK109" s="67">
        <f t="shared" si="212"/>
        <v>160983.39878120794</v>
      </c>
      <c r="AL109" s="67">
        <f t="shared" si="213"/>
        <v>173038.76300000001</v>
      </c>
      <c r="AM109" s="67">
        <f t="shared" si="227"/>
        <v>194872.81264679998</v>
      </c>
      <c r="AN109" s="67">
        <f>$K109</f>
        <v>264738.25029579998</v>
      </c>
      <c r="AO109" s="67">
        <f>$L109</f>
        <v>360908.93478200003</v>
      </c>
      <c r="AQ109" s="67">
        <f t="shared" si="214"/>
        <v>0</v>
      </c>
      <c r="AR109" s="67">
        <f t="shared" si="215"/>
        <v>85249.8</v>
      </c>
      <c r="AS109" s="67">
        <f t="shared" si="216"/>
        <v>121580.10838069815</v>
      </c>
      <c r="AT109" s="67">
        <f t="shared" si="217"/>
        <v>160983.39878120794</v>
      </c>
      <c r="AU109" s="67">
        <f t="shared" si="218"/>
        <v>173038.76300000001</v>
      </c>
      <c r="AV109" s="67">
        <f t="shared" si="228"/>
        <v>194872.81264679998</v>
      </c>
      <c r="AW109" s="67">
        <f>$K109</f>
        <v>264738.25029579998</v>
      </c>
      <c r="AX109" s="67">
        <f>$L109</f>
        <v>360908.93478200003</v>
      </c>
      <c r="AY109" s="182">
        <f>AX109/AW109-1</f>
        <v>0.36326705483150112</v>
      </c>
      <c r="BA109" s="67">
        <f t="shared" si="219"/>
        <v>0</v>
      </c>
      <c r="BB109" s="67">
        <f t="shared" si="220"/>
        <v>85249.8</v>
      </c>
      <c r="BC109" s="67">
        <f t="shared" si="221"/>
        <v>121580.10838069815</v>
      </c>
      <c r="BD109" s="67">
        <f t="shared" si="222"/>
        <v>160983.39878120794</v>
      </c>
      <c r="BE109" s="67">
        <f t="shared" si="223"/>
        <v>173038.76300000001</v>
      </c>
      <c r="BF109" s="67">
        <f t="shared" si="229"/>
        <v>194872.81264679998</v>
      </c>
      <c r="BG109" s="67">
        <f>$K109</f>
        <v>264738.25029579998</v>
      </c>
      <c r="BH109" s="67">
        <f>$L109</f>
        <v>360908.93478200003</v>
      </c>
    </row>
    <row r="110" spans="2:60" s="64" customFormat="1" x14ac:dyDescent="0.3">
      <c r="C110" s="65" t="s">
        <v>190</v>
      </c>
      <c r="D110" s="77"/>
      <c r="E110" s="69"/>
      <c r="F110" s="69"/>
      <c r="G110" s="69"/>
      <c r="H110" s="69"/>
      <c r="I110" s="69">
        <v>10966</v>
      </c>
      <c r="J110" s="69">
        <f>'Quarterly I.S'!N110</f>
        <v>12291.524837600005</v>
      </c>
      <c r="K110" s="69">
        <f>'Quarterly I.S'!R110</f>
        <v>22467.585357600008</v>
      </c>
      <c r="L110" s="69">
        <f>'Quarterly I.S'!V110</f>
        <v>27122.508728000004</v>
      </c>
      <c r="M110" s="182">
        <f>L110/K110-1</f>
        <v>0.20718396286521257</v>
      </c>
      <c r="O110" s="67">
        <f t="shared" si="199"/>
        <v>0</v>
      </c>
      <c r="P110" s="67">
        <f t="shared" si="200"/>
        <v>0</v>
      </c>
      <c r="Q110" s="67">
        <f t="shared" si="201"/>
        <v>0</v>
      </c>
      <c r="R110" s="67">
        <f t="shared" si="202"/>
        <v>0</v>
      </c>
      <c r="S110" s="67">
        <f t="shared" si="203"/>
        <v>10966</v>
      </c>
      <c r="T110" s="67">
        <f t="shared" si="225"/>
        <v>12291.524837600005</v>
      </c>
      <c r="U110" s="67">
        <f>$K110</f>
        <v>22467.585357600008</v>
      </c>
      <c r="V110" s="67">
        <f>$L110</f>
        <v>27122.508728000004</v>
      </c>
      <c r="W110" s="182">
        <f>V110/U110-1</f>
        <v>0.20718396286521257</v>
      </c>
      <c r="Y110" s="67">
        <f t="shared" si="204"/>
        <v>0</v>
      </c>
      <c r="Z110" s="67">
        <f t="shared" si="205"/>
        <v>0</v>
      </c>
      <c r="AA110" s="67">
        <f t="shared" si="206"/>
        <v>0</v>
      </c>
      <c r="AB110" s="67">
        <f t="shared" si="207"/>
        <v>0</v>
      </c>
      <c r="AC110" s="67">
        <f t="shared" si="208"/>
        <v>10966</v>
      </c>
      <c r="AD110" s="67">
        <f t="shared" si="226"/>
        <v>12291.524837600005</v>
      </c>
      <c r="AE110" s="67">
        <f>$K110</f>
        <v>22467.585357600008</v>
      </c>
      <c r="AF110" s="67">
        <f>$L110</f>
        <v>27122.508728000004</v>
      </c>
      <c r="AH110" s="67">
        <f t="shared" si="209"/>
        <v>0</v>
      </c>
      <c r="AI110" s="67">
        <f t="shared" si="210"/>
        <v>0</v>
      </c>
      <c r="AJ110" s="67">
        <f t="shared" si="211"/>
        <v>0</v>
      </c>
      <c r="AK110" s="67">
        <f t="shared" si="212"/>
        <v>0</v>
      </c>
      <c r="AL110" s="67">
        <f t="shared" si="213"/>
        <v>10966</v>
      </c>
      <c r="AM110" s="67">
        <f t="shared" si="227"/>
        <v>12291.524837600005</v>
      </c>
      <c r="AN110" s="67">
        <f>$K110</f>
        <v>22467.585357600008</v>
      </c>
      <c r="AO110" s="67">
        <f>$L110</f>
        <v>27122.508728000004</v>
      </c>
      <c r="AQ110" s="67">
        <f t="shared" si="214"/>
        <v>0</v>
      </c>
      <c r="AR110" s="67">
        <f t="shared" si="215"/>
        <v>0</v>
      </c>
      <c r="AS110" s="67">
        <f t="shared" si="216"/>
        <v>0</v>
      </c>
      <c r="AT110" s="67">
        <f t="shared" si="217"/>
        <v>0</v>
      </c>
      <c r="AU110" s="67">
        <f t="shared" si="218"/>
        <v>10966</v>
      </c>
      <c r="AV110" s="67">
        <f t="shared" si="228"/>
        <v>12291.524837600005</v>
      </c>
      <c r="AW110" s="67">
        <f>$K110</f>
        <v>22467.585357600008</v>
      </c>
      <c r="AX110" s="67">
        <f>$L110</f>
        <v>27122.508728000004</v>
      </c>
      <c r="AY110" s="182">
        <f>AX110/AW110-1</f>
        <v>0.20718396286521257</v>
      </c>
      <c r="BA110" s="67">
        <f t="shared" si="219"/>
        <v>0</v>
      </c>
      <c r="BB110" s="67">
        <f t="shared" si="220"/>
        <v>0</v>
      </c>
      <c r="BC110" s="67">
        <f t="shared" si="221"/>
        <v>0</v>
      </c>
      <c r="BD110" s="67">
        <f t="shared" si="222"/>
        <v>0</v>
      </c>
      <c r="BE110" s="67">
        <f t="shared" si="223"/>
        <v>10966</v>
      </c>
      <c r="BF110" s="67">
        <f t="shared" si="229"/>
        <v>12291.524837600005</v>
      </c>
      <c r="BG110" s="67">
        <f>$K110</f>
        <v>22467.585357600008</v>
      </c>
      <c r="BH110" s="67">
        <f>$L110</f>
        <v>27122.508728000004</v>
      </c>
    </row>
    <row r="111" spans="2:60" x14ac:dyDescent="0.3">
      <c r="C111" s="71"/>
      <c r="D111" s="120"/>
      <c r="E111" s="68"/>
      <c r="F111" s="68"/>
      <c r="G111" s="68"/>
      <c r="H111" s="68"/>
      <c r="I111" s="68"/>
      <c r="J111" s="68"/>
      <c r="K111" s="68"/>
      <c r="L111" s="248"/>
      <c r="M111" s="209"/>
      <c r="O111" s="70"/>
      <c r="P111" s="70"/>
      <c r="Q111" s="70"/>
      <c r="R111" s="70"/>
      <c r="S111" s="70"/>
      <c r="T111" s="70"/>
      <c r="U111" s="70"/>
      <c r="V111" s="70"/>
      <c r="W111" s="209"/>
      <c r="Y111" s="70"/>
      <c r="Z111" s="70"/>
      <c r="AA111" s="70"/>
      <c r="AB111" s="70"/>
      <c r="AC111" s="70"/>
      <c r="AD111" s="70"/>
      <c r="AE111" s="70"/>
      <c r="AF111" s="70"/>
      <c r="AH111" s="70"/>
      <c r="AI111" s="70"/>
      <c r="AJ111" s="70"/>
      <c r="AK111" s="70"/>
      <c r="AL111" s="70"/>
      <c r="AM111" s="70"/>
      <c r="AN111" s="70"/>
      <c r="AO111" s="70"/>
      <c r="AQ111" s="70"/>
      <c r="AR111" s="70"/>
      <c r="AS111" s="70"/>
      <c r="AT111" s="70"/>
      <c r="AU111" s="70"/>
      <c r="AV111" s="70"/>
      <c r="AW111" s="70"/>
      <c r="AX111" s="70"/>
      <c r="AY111" s="209"/>
      <c r="BA111" s="70"/>
      <c r="BB111" s="70"/>
      <c r="BC111" s="70"/>
      <c r="BD111" s="70"/>
      <c r="BE111" s="70"/>
      <c r="BF111" s="70"/>
      <c r="BG111" s="70"/>
      <c r="BH111" s="70"/>
    </row>
    <row r="112" spans="2:60" s="64" customFormat="1" x14ac:dyDescent="0.3">
      <c r="C112" s="65" t="s">
        <v>129</v>
      </c>
      <c r="D112" s="77"/>
      <c r="E112" s="69">
        <v>619936.75</v>
      </c>
      <c r="F112" s="69">
        <v>928317.25829655176</v>
      </c>
      <c r="G112" s="69">
        <v>1791979.2686666667</v>
      </c>
      <c r="H112" s="69">
        <v>1974544.1834166665</v>
      </c>
      <c r="I112" s="69">
        <v>2154794.384583333</v>
      </c>
      <c r="J112" s="69">
        <f>AVERAGE('Quarterly I.S'!K112:N112)</f>
        <v>2370898.6819928098</v>
      </c>
      <c r="K112" s="69">
        <f>AVERAGE('Quarterly I.S'!O112:R112)</f>
        <v>2540804.2364765615</v>
      </c>
      <c r="L112" s="69">
        <f>AVERAGE('Quarterly I.S'!S112:V112)</f>
        <v>3107457.3111271625</v>
      </c>
      <c r="M112" s="182"/>
      <c r="O112" s="67">
        <f t="shared" si="199"/>
        <v>619936.75</v>
      </c>
      <c r="P112" s="67">
        <f t="shared" si="200"/>
        <v>928317.25829655176</v>
      </c>
      <c r="Q112" s="67">
        <f t="shared" si="201"/>
        <v>1791979.2686666667</v>
      </c>
      <c r="R112" s="67">
        <f t="shared" si="202"/>
        <v>1974544.1834166665</v>
      </c>
      <c r="S112" s="67">
        <f t="shared" si="203"/>
        <v>2154794.384583333</v>
      </c>
      <c r="T112" s="67">
        <f t="shared" si="225"/>
        <v>2370898.6819928098</v>
      </c>
      <c r="U112" s="67">
        <f>$K112</f>
        <v>2540804.2364765615</v>
      </c>
      <c r="V112" s="67">
        <f>$L112</f>
        <v>3107457.3111271625</v>
      </c>
      <c r="W112" s="182"/>
      <c r="Y112" s="67">
        <f t="shared" si="204"/>
        <v>619936.75</v>
      </c>
      <c r="Z112" s="67">
        <f t="shared" si="205"/>
        <v>928317.25829655176</v>
      </c>
      <c r="AA112" s="67">
        <f t="shared" si="206"/>
        <v>1791979.2686666667</v>
      </c>
      <c r="AB112" s="67">
        <f t="shared" si="207"/>
        <v>1974544.1834166665</v>
      </c>
      <c r="AC112" s="67">
        <f t="shared" si="208"/>
        <v>2154794.384583333</v>
      </c>
      <c r="AD112" s="67">
        <f t="shared" si="226"/>
        <v>2370898.6819928098</v>
      </c>
      <c r="AE112" s="67">
        <f>$K112</f>
        <v>2540804.2364765615</v>
      </c>
      <c r="AF112" s="67">
        <f>$L112</f>
        <v>3107457.3111271625</v>
      </c>
      <c r="AH112" s="67">
        <f t="shared" si="209"/>
        <v>619936.75</v>
      </c>
      <c r="AI112" s="67">
        <f t="shared" si="210"/>
        <v>928317.25829655176</v>
      </c>
      <c r="AJ112" s="67">
        <f t="shared" si="211"/>
        <v>1791979.2686666667</v>
      </c>
      <c r="AK112" s="67">
        <f t="shared" si="212"/>
        <v>1974544.1834166665</v>
      </c>
      <c r="AL112" s="67">
        <f t="shared" si="213"/>
        <v>2154794.384583333</v>
      </c>
      <c r="AM112" s="67">
        <f t="shared" si="227"/>
        <v>2370898.6819928098</v>
      </c>
      <c r="AN112" s="67">
        <f>$K112</f>
        <v>2540804.2364765615</v>
      </c>
      <c r="AO112" s="67">
        <f>$L112</f>
        <v>3107457.3111271625</v>
      </c>
      <c r="AQ112" s="67">
        <f t="shared" si="214"/>
        <v>619936.75</v>
      </c>
      <c r="AR112" s="67">
        <f t="shared" si="215"/>
        <v>928317.25829655176</v>
      </c>
      <c r="AS112" s="67">
        <f t="shared" si="216"/>
        <v>1791979.2686666667</v>
      </c>
      <c r="AT112" s="67">
        <f t="shared" si="217"/>
        <v>1974544.1834166665</v>
      </c>
      <c r="AU112" s="67">
        <f t="shared" si="218"/>
        <v>2154794.384583333</v>
      </c>
      <c r="AV112" s="67">
        <f t="shared" si="228"/>
        <v>2370898.6819928098</v>
      </c>
      <c r="AW112" s="67">
        <f>$K112</f>
        <v>2540804.2364765615</v>
      </c>
      <c r="AX112" s="67">
        <f>$L112</f>
        <v>3107457.3111271625</v>
      </c>
      <c r="AY112" s="182"/>
      <c r="BA112" s="67">
        <f t="shared" si="219"/>
        <v>619936.75</v>
      </c>
      <c r="BB112" s="67">
        <f t="shared" si="220"/>
        <v>928317.25829655176</v>
      </c>
      <c r="BC112" s="67">
        <f t="shared" si="221"/>
        <v>1791979.2686666667</v>
      </c>
      <c r="BD112" s="67">
        <f t="shared" si="222"/>
        <v>1974544.1834166665</v>
      </c>
      <c r="BE112" s="67">
        <f t="shared" si="223"/>
        <v>2154794.384583333</v>
      </c>
      <c r="BF112" s="67">
        <f t="shared" si="229"/>
        <v>2370898.6819928098</v>
      </c>
      <c r="BG112" s="67">
        <f>$K112</f>
        <v>2540804.2364765615</v>
      </c>
      <c r="BH112" s="67">
        <f>$L112</f>
        <v>3107457.3111271625</v>
      </c>
    </row>
    <row r="113" spans="2:60" s="64" customFormat="1" x14ac:dyDescent="0.3">
      <c r="C113" s="65" t="s">
        <v>130</v>
      </c>
      <c r="D113" s="77"/>
      <c r="E113" s="70">
        <f>E112-E114</f>
        <v>619936.75</v>
      </c>
      <c r="F113" s="70">
        <f t="shared" ref="F113:L113" si="230">F112-F114-F115</f>
        <v>921213.10829655174</v>
      </c>
      <c r="G113" s="70">
        <f t="shared" si="230"/>
        <v>1694742.4164267718</v>
      </c>
      <c r="H113" s="70">
        <f t="shared" si="230"/>
        <v>1825283.22310212</v>
      </c>
      <c r="I113" s="70">
        <f t="shared" si="230"/>
        <v>1974449.6585099271</v>
      </c>
      <c r="J113" s="70">
        <f t="shared" si="230"/>
        <v>2168048.4819934517</v>
      </c>
      <c r="K113" s="70">
        <f t="shared" si="230"/>
        <v>2303885.558643254</v>
      </c>
      <c r="L113" s="70">
        <f t="shared" si="230"/>
        <v>2766731.4794618874</v>
      </c>
      <c r="M113" s="181"/>
      <c r="O113" s="67">
        <f t="shared" si="199"/>
        <v>619936.75</v>
      </c>
      <c r="P113" s="67">
        <f t="shared" si="200"/>
        <v>921213.10829655174</v>
      </c>
      <c r="Q113" s="67">
        <f t="shared" si="201"/>
        <v>1694742.4164267718</v>
      </c>
      <c r="R113" s="67">
        <f t="shared" si="202"/>
        <v>1825283.22310212</v>
      </c>
      <c r="S113" s="67">
        <f t="shared" si="203"/>
        <v>1974449.6585099271</v>
      </c>
      <c r="T113" s="67">
        <f t="shared" si="225"/>
        <v>2168048.4819934517</v>
      </c>
      <c r="U113" s="67">
        <f>$K113</f>
        <v>2303885.558643254</v>
      </c>
      <c r="V113" s="67">
        <f>$L113</f>
        <v>2766731.4794618874</v>
      </c>
      <c r="W113" s="181"/>
      <c r="Y113" s="67">
        <f t="shared" si="204"/>
        <v>619936.75</v>
      </c>
      <c r="Z113" s="67">
        <f t="shared" si="205"/>
        <v>921213.10829655174</v>
      </c>
      <c r="AA113" s="67">
        <f t="shared" si="206"/>
        <v>1694742.4164267718</v>
      </c>
      <c r="AB113" s="67">
        <f t="shared" si="207"/>
        <v>1825283.22310212</v>
      </c>
      <c r="AC113" s="67">
        <f t="shared" si="208"/>
        <v>1974449.6585099271</v>
      </c>
      <c r="AD113" s="67">
        <f t="shared" si="226"/>
        <v>2168048.4819934517</v>
      </c>
      <c r="AE113" s="67">
        <f>$K113</f>
        <v>2303885.558643254</v>
      </c>
      <c r="AF113" s="67">
        <f>$L113</f>
        <v>2766731.4794618874</v>
      </c>
      <c r="AH113" s="67">
        <f t="shared" si="209"/>
        <v>619936.75</v>
      </c>
      <c r="AI113" s="67">
        <f t="shared" si="210"/>
        <v>921213.10829655174</v>
      </c>
      <c r="AJ113" s="67">
        <f t="shared" si="211"/>
        <v>1694742.4164267718</v>
      </c>
      <c r="AK113" s="67">
        <f t="shared" si="212"/>
        <v>1825283.22310212</v>
      </c>
      <c r="AL113" s="67">
        <f t="shared" si="213"/>
        <v>1974449.6585099271</v>
      </c>
      <c r="AM113" s="67">
        <f t="shared" si="227"/>
        <v>2168048.4819934517</v>
      </c>
      <c r="AN113" s="67">
        <f>$K113</f>
        <v>2303885.558643254</v>
      </c>
      <c r="AO113" s="67">
        <f>$L113</f>
        <v>2766731.4794618874</v>
      </c>
      <c r="AQ113" s="67">
        <f t="shared" si="214"/>
        <v>619936.75</v>
      </c>
      <c r="AR113" s="67">
        <f t="shared" si="215"/>
        <v>921213.10829655174</v>
      </c>
      <c r="AS113" s="67">
        <f t="shared" si="216"/>
        <v>1694742.4164267718</v>
      </c>
      <c r="AT113" s="67">
        <f t="shared" si="217"/>
        <v>1825283.22310212</v>
      </c>
      <c r="AU113" s="67">
        <f t="shared" si="218"/>
        <v>1974449.6585099271</v>
      </c>
      <c r="AV113" s="67">
        <f t="shared" si="228"/>
        <v>2168048.4819934517</v>
      </c>
      <c r="AW113" s="67">
        <f>$K113</f>
        <v>2303885.558643254</v>
      </c>
      <c r="AX113" s="67">
        <f>$L113</f>
        <v>2766731.4794618874</v>
      </c>
      <c r="AY113" s="181"/>
      <c r="BA113" s="67">
        <f t="shared" si="219"/>
        <v>619936.75</v>
      </c>
      <c r="BB113" s="67">
        <f t="shared" si="220"/>
        <v>921213.10829655174</v>
      </c>
      <c r="BC113" s="67">
        <f t="shared" si="221"/>
        <v>1694742.4164267718</v>
      </c>
      <c r="BD113" s="67">
        <f t="shared" si="222"/>
        <v>1825283.22310212</v>
      </c>
      <c r="BE113" s="67">
        <f t="shared" si="223"/>
        <v>1974449.6585099271</v>
      </c>
      <c r="BF113" s="67">
        <f t="shared" si="229"/>
        <v>2168048.4819934517</v>
      </c>
      <c r="BG113" s="67">
        <f>$K113</f>
        <v>2303885.558643254</v>
      </c>
      <c r="BH113" s="67">
        <f>$L113</f>
        <v>2766731.4794618874</v>
      </c>
    </row>
    <row r="114" spans="2:60" s="64" customFormat="1" x14ac:dyDescent="0.3">
      <c r="C114" s="65" t="s">
        <v>131</v>
      </c>
      <c r="D114" s="77"/>
      <c r="E114" s="69"/>
      <c r="F114" s="69">
        <v>7104.1500000000005</v>
      </c>
      <c r="G114" s="69">
        <v>97236.852239894957</v>
      </c>
      <c r="H114" s="69">
        <v>149260.96031454648</v>
      </c>
      <c r="I114" s="69">
        <v>169378.72607340597</v>
      </c>
      <c r="J114" s="69">
        <f>AVERAGE('Quarterly I.S'!K114:N114)</f>
        <v>193145.75747069166</v>
      </c>
      <c r="K114" s="69">
        <f>AVERAGE('Quarterly I.S'!O114:R114)</f>
        <v>230427.07856204087</v>
      </c>
      <c r="L114" s="69">
        <f>AVERAGE('Quarterly I.S'!S114:V114)</f>
        <v>321269.73406927503</v>
      </c>
      <c r="M114" s="182"/>
      <c r="O114" s="67">
        <f t="shared" si="199"/>
        <v>0</v>
      </c>
      <c r="P114" s="67">
        <f t="shared" si="200"/>
        <v>7104.1500000000005</v>
      </c>
      <c r="Q114" s="67">
        <f t="shared" si="201"/>
        <v>97236.852239894957</v>
      </c>
      <c r="R114" s="67">
        <f t="shared" si="202"/>
        <v>149260.96031454648</v>
      </c>
      <c r="S114" s="67">
        <f t="shared" si="203"/>
        <v>169378.72607340597</v>
      </c>
      <c r="T114" s="67">
        <f t="shared" si="225"/>
        <v>193145.75747069166</v>
      </c>
      <c r="U114" s="67">
        <f>$K114</f>
        <v>230427.07856204087</v>
      </c>
      <c r="V114" s="67">
        <f>$L114</f>
        <v>321269.73406927503</v>
      </c>
      <c r="W114" s="182"/>
      <c r="Y114" s="67">
        <f t="shared" si="204"/>
        <v>0</v>
      </c>
      <c r="Z114" s="67">
        <f t="shared" si="205"/>
        <v>7104.1500000000005</v>
      </c>
      <c r="AA114" s="67">
        <f t="shared" si="206"/>
        <v>97236.852239894957</v>
      </c>
      <c r="AB114" s="67">
        <f t="shared" si="207"/>
        <v>149260.96031454648</v>
      </c>
      <c r="AC114" s="67">
        <f t="shared" si="208"/>
        <v>169378.72607340597</v>
      </c>
      <c r="AD114" s="67">
        <f t="shared" si="226"/>
        <v>193145.75747069166</v>
      </c>
      <c r="AE114" s="67">
        <f>$K114</f>
        <v>230427.07856204087</v>
      </c>
      <c r="AF114" s="67">
        <f>$L114</f>
        <v>321269.73406927503</v>
      </c>
      <c r="AH114" s="67">
        <f t="shared" si="209"/>
        <v>0</v>
      </c>
      <c r="AI114" s="67">
        <f t="shared" si="210"/>
        <v>7104.1500000000005</v>
      </c>
      <c r="AJ114" s="67">
        <f t="shared" si="211"/>
        <v>97236.852239894957</v>
      </c>
      <c r="AK114" s="67">
        <f t="shared" si="212"/>
        <v>149260.96031454648</v>
      </c>
      <c r="AL114" s="67">
        <f t="shared" si="213"/>
        <v>169378.72607340597</v>
      </c>
      <c r="AM114" s="67">
        <f t="shared" si="227"/>
        <v>193145.75747069166</v>
      </c>
      <c r="AN114" s="67">
        <f>$K114</f>
        <v>230427.07856204087</v>
      </c>
      <c r="AO114" s="67">
        <f>$L114</f>
        <v>321269.73406927503</v>
      </c>
      <c r="AQ114" s="67">
        <f t="shared" si="214"/>
        <v>0</v>
      </c>
      <c r="AR114" s="67">
        <f t="shared" si="215"/>
        <v>7104.1500000000005</v>
      </c>
      <c r="AS114" s="67">
        <f t="shared" si="216"/>
        <v>97236.852239894957</v>
      </c>
      <c r="AT114" s="67">
        <f t="shared" si="217"/>
        <v>149260.96031454648</v>
      </c>
      <c r="AU114" s="67">
        <f t="shared" si="218"/>
        <v>169378.72607340597</v>
      </c>
      <c r="AV114" s="67">
        <f t="shared" si="228"/>
        <v>193145.75747069166</v>
      </c>
      <c r="AW114" s="67">
        <f>$K114</f>
        <v>230427.07856204087</v>
      </c>
      <c r="AX114" s="67">
        <f>$L114</f>
        <v>321269.73406927503</v>
      </c>
      <c r="AY114" s="182"/>
      <c r="BA114" s="67">
        <f t="shared" si="219"/>
        <v>0</v>
      </c>
      <c r="BB114" s="67">
        <f t="shared" si="220"/>
        <v>7104.1500000000005</v>
      </c>
      <c r="BC114" s="67">
        <f t="shared" si="221"/>
        <v>97236.852239894957</v>
      </c>
      <c r="BD114" s="67">
        <f t="shared" si="222"/>
        <v>149260.96031454648</v>
      </c>
      <c r="BE114" s="67">
        <f t="shared" si="223"/>
        <v>169378.72607340597</v>
      </c>
      <c r="BF114" s="67">
        <f t="shared" si="229"/>
        <v>193145.75747069166</v>
      </c>
      <c r="BG114" s="67">
        <f>$K114</f>
        <v>230427.07856204087</v>
      </c>
      <c r="BH114" s="67">
        <f>$L114</f>
        <v>321269.73406927503</v>
      </c>
    </row>
    <row r="115" spans="2:60" s="64" customFormat="1" x14ac:dyDescent="0.3">
      <c r="C115" s="65" t="s">
        <v>191</v>
      </c>
      <c r="D115" s="77"/>
      <c r="E115" s="69"/>
      <c r="F115" s="69"/>
      <c r="G115" s="69"/>
      <c r="H115" s="69"/>
      <c r="I115" s="69">
        <v>10966</v>
      </c>
      <c r="J115" s="69">
        <f>AVERAGE('Quarterly I.S'!K115:N115)</f>
        <v>9704.4425286666701</v>
      </c>
      <c r="K115" s="69">
        <f>AVERAGE('Quarterly I.S'!O115:R115)</f>
        <v>6491.5992712666666</v>
      </c>
      <c r="L115" s="69">
        <f>AVERAGE('Quarterly I.S'!S115:V115)</f>
        <v>19456.097595999996</v>
      </c>
      <c r="M115" s="182"/>
      <c r="O115" s="67">
        <f t="shared" si="199"/>
        <v>0</v>
      </c>
      <c r="P115" s="67">
        <f t="shared" si="200"/>
        <v>0</v>
      </c>
      <c r="Q115" s="67">
        <f t="shared" si="201"/>
        <v>0</v>
      </c>
      <c r="R115" s="67">
        <f t="shared" si="202"/>
        <v>0</v>
      </c>
      <c r="S115" s="67">
        <f t="shared" si="203"/>
        <v>10966</v>
      </c>
      <c r="T115" s="67">
        <f t="shared" si="225"/>
        <v>9704.4425286666701</v>
      </c>
      <c r="U115" s="67">
        <f>$K115</f>
        <v>6491.5992712666666</v>
      </c>
      <c r="V115" s="67">
        <f>$L115</f>
        <v>19456.097595999996</v>
      </c>
      <c r="W115" s="182"/>
      <c r="Y115" s="67">
        <f t="shared" si="204"/>
        <v>0</v>
      </c>
      <c r="Z115" s="67">
        <f t="shared" si="205"/>
        <v>0</v>
      </c>
      <c r="AA115" s="67">
        <f t="shared" si="206"/>
        <v>0</v>
      </c>
      <c r="AB115" s="67">
        <f t="shared" si="207"/>
        <v>0</v>
      </c>
      <c r="AC115" s="67">
        <f t="shared" si="208"/>
        <v>10966</v>
      </c>
      <c r="AD115" s="67">
        <f t="shared" si="226"/>
        <v>9704.4425286666701</v>
      </c>
      <c r="AE115" s="67">
        <f>$K115</f>
        <v>6491.5992712666666</v>
      </c>
      <c r="AF115" s="67">
        <f>$L115</f>
        <v>19456.097595999996</v>
      </c>
      <c r="AH115" s="67">
        <f t="shared" si="209"/>
        <v>0</v>
      </c>
      <c r="AI115" s="67">
        <f t="shared" si="210"/>
        <v>0</v>
      </c>
      <c r="AJ115" s="67">
        <f t="shared" si="211"/>
        <v>0</v>
      </c>
      <c r="AK115" s="67">
        <f t="shared" si="212"/>
        <v>0</v>
      </c>
      <c r="AL115" s="67">
        <f t="shared" si="213"/>
        <v>10966</v>
      </c>
      <c r="AM115" s="67">
        <f t="shared" si="227"/>
        <v>9704.4425286666701</v>
      </c>
      <c r="AN115" s="67">
        <f>$K115</f>
        <v>6491.5992712666666</v>
      </c>
      <c r="AO115" s="67">
        <f>$L115</f>
        <v>19456.097595999996</v>
      </c>
      <c r="AQ115" s="67">
        <f t="shared" si="214"/>
        <v>0</v>
      </c>
      <c r="AR115" s="67">
        <f t="shared" si="215"/>
        <v>0</v>
      </c>
      <c r="AS115" s="67">
        <f t="shared" si="216"/>
        <v>0</v>
      </c>
      <c r="AT115" s="67">
        <f t="shared" si="217"/>
        <v>0</v>
      </c>
      <c r="AU115" s="67">
        <f t="shared" si="218"/>
        <v>10966</v>
      </c>
      <c r="AV115" s="67">
        <f t="shared" si="228"/>
        <v>9704.4425286666701</v>
      </c>
      <c r="AW115" s="67">
        <f>$K115</f>
        <v>6491.5992712666666</v>
      </c>
      <c r="AX115" s="67">
        <f>$L115</f>
        <v>19456.097595999996</v>
      </c>
      <c r="AY115" s="182"/>
      <c r="BA115" s="67">
        <f t="shared" si="219"/>
        <v>0</v>
      </c>
      <c r="BB115" s="67">
        <f t="shared" si="220"/>
        <v>0</v>
      </c>
      <c r="BC115" s="67">
        <f t="shared" si="221"/>
        <v>0</v>
      </c>
      <c r="BD115" s="67">
        <f t="shared" si="222"/>
        <v>0</v>
      </c>
      <c r="BE115" s="67">
        <f t="shared" si="223"/>
        <v>10966</v>
      </c>
      <c r="BF115" s="67">
        <f t="shared" si="229"/>
        <v>9704.4425286666701</v>
      </c>
      <c r="BG115" s="67">
        <f>$K115</f>
        <v>6491.5992712666666</v>
      </c>
      <c r="BH115" s="67">
        <f>$L115</f>
        <v>19456.097595999996</v>
      </c>
    </row>
    <row r="116" spans="2:60" x14ac:dyDescent="0.3">
      <c r="C116" s="39" t="s">
        <v>104</v>
      </c>
      <c r="D116" s="109"/>
      <c r="E116" s="39"/>
      <c r="F116" s="40">
        <f t="shared" ref="F116:K117" si="231">F90</f>
        <v>0.2469282713812001</v>
      </c>
      <c r="G116" s="40">
        <f t="shared" si="231"/>
        <v>0.21721003713104559</v>
      </c>
      <c r="H116" s="40">
        <f t="shared" si="231"/>
        <v>0.17350070917282903</v>
      </c>
      <c r="I116" s="40">
        <f t="shared" si="231"/>
        <v>0.20792839979493399</v>
      </c>
      <c r="J116" s="40">
        <f t="shared" si="231"/>
        <v>0.20810144033067049</v>
      </c>
      <c r="K116" s="40">
        <f t="shared" si="231"/>
        <v>0.25430734710005931</v>
      </c>
      <c r="L116" s="40">
        <f>L90</f>
        <v>0.20610237793776487</v>
      </c>
      <c r="M116" s="169"/>
      <c r="O116" s="41"/>
      <c r="P116" s="40">
        <f t="shared" ref="P116:U117" si="232">P90</f>
        <v>0.24225714469327705</v>
      </c>
      <c r="Q116" s="40">
        <f t="shared" si="232"/>
        <v>0.22312388818642725</v>
      </c>
      <c r="R116" s="40">
        <f t="shared" si="232"/>
        <v>0.17986333382897254</v>
      </c>
      <c r="S116" s="40">
        <f t="shared" si="232"/>
        <v>0.21420082595958637</v>
      </c>
      <c r="T116" s="40">
        <f t="shared" si="232"/>
        <v>0.21266037762292167</v>
      </c>
      <c r="U116" s="40">
        <f t="shared" si="232"/>
        <v>0.25251829951836735</v>
      </c>
      <c r="V116" s="40">
        <f>V90</f>
        <v>0.18686077626567482</v>
      </c>
      <c r="W116" s="169"/>
      <c r="Y116" s="41"/>
      <c r="Z116" s="40">
        <f t="shared" ref="Z116:AF117" si="233">Z90</f>
        <v>6.4854363663023273E-2</v>
      </c>
      <c r="AA116" s="40">
        <f t="shared" si="233"/>
        <v>-3.2918215666508474E-2</v>
      </c>
      <c r="AB116" s="40">
        <f t="shared" si="233"/>
        <v>-1.2054121540591602E-2</v>
      </c>
      <c r="AC116" s="40">
        <f t="shared" si="233"/>
        <v>0.11333563631983465</v>
      </c>
      <c r="AD116" s="40">
        <f t="shared" si="233"/>
        <v>0.22931292065924141</v>
      </c>
      <c r="AE116" s="40">
        <f t="shared" si="233"/>
        <v>0.34774956588037442</v>
      </c>
      <c r="AF116" s="40">
        <f t="shared" si="233"/>
        <v>0.41159912667932802</v>
      </c>
      <c r="AH116" s="41"/>
      <c r="AI116" s="40"/>
      <c r="AJ116" s="40"/>
      <c r="AK116" s="40"/>
      <c r="AL116" s="40"/>
      <c r="AM116" s="40"/>
      <c r="AN116" s="40"/>
      <c r="AO116" s="40"/>
      <c r="AQ116" s="41"/>
      <c r="AR116" s="40"/>
      <c r="AS116" s="40"/>
      <c r="AT116" s="40"/>
      <c r="AU116" s="40"/>
      <c r="AV116" s="40"/>
      <c r="AW116" s="40"/>
      <c r="AX116" s="40"/>
      <c r="AY116" s="169"/>
      <c r="BA116" s="41"/>
      <c r="BB116" s="40"/>
      <c r="BC116" s="40"/>
      <c r="BD116" s="40"/>
      <c r="BE116" s="40"/>
      <c r="BF116" s="40"/>
      <c r="BG116" s="40"/>
      <c r="BH116" s="40"/>
    </row>
    <row r="117" spans="2:60" x14ac:dyDescent="0.3">
      <c r="C117" s="39" t="s">
        <v>132</v>
      </c>
      <c r="D117" s="109"/>
      <c r="E117" s="39"/>
      <c r="F117" s="40">
        <f t="shared" si="231"/>
        <v>0.30458526782436429</v>
      </c>
      <c r="G117" s="40">
        <f t="shared" si="231"/>
        <v>0.21691770489736872</v>
      </c>
      <c r="H117" s="40">
        <f t="shared" si="231"/>
        <v>0.17861112306160873</v>
      </c>
      <c r="I117" s="40">
        <f t="shared" si="231"/>
        <v>0.21571408502807352</v>
      </c>
      <c r="J117" s="40">
        <f t="shared" si="231"/>
        <v>0.21540930621024909</v>
      </c>
      <c r="K117" s="40">
        <f t="shared" si="231"/>
        <v>0.27243659267606279</v>
      </c>
      <c r="L117" s="40">
        <f>L91</f>
        <v>0.21164174869497457</v>
      </c>
      <c r="M117" s="169"/>
      <c r="O117" s="41"/>
      <c r="P117" s="40">
        <f t="shared" si="232"/>
        <v>0.28991855887981888</v>
      </c>
      <c r="Q117" s="40">
        <f t="shared" si="232"/>
        <v>0.22199297999589235</v>
      </c>
      <c r="R117" s="40">
        <f t="shared" si="232"/>
        <v>0.18638065263415704</v>
      </c>
      <c r="S117" s="40">
        <f t="shared" si="232"/>
        <v>0.22380565510148445</v>
      </c>
      <c r="T117" s="40">
        <f t="shared" si="232"/>
        <v>0.22153974344513402</v>
      </c>
      <c r="U117" s="40">
        <f t="shared" si="232"/>
        <v>0.27124594695373777</v>
      </c>
      <c r="V117" s="40">
        <f>V91</f>
        <v>0.19271134080424487</v>
      </c>
      <c r="W117" s="169"/>
      <c r="Y117" s="41"/>
      <c r="Z117" s="40">
        <f t="shared" ref="Z117:AE117" si="234">Z91</f>
        <v>0.38912618197813964</v>
      </c>
      <c r="AA117" s="40">
        <f t="shared" si="234"/>
        <v>-3.5009728171592265E-2</v>
      </c>
      <c r="AB117" s="40">
        <f t="shared" si="234"/>
        <v>-1.140973115504436E-2</v>
      </c>
      <c r="AC117" s="40">
        <f t="shared" si="234"/>
        <v>0.11175138439166653</v>
      </c>
      <c r="AD117" s="40">
        <f t="shared" si="234"/>
        <v>0.21840209969073007</v>
      </c>
      <c r="AE117" s="40">
        <f t="shared" si="234"/>
        <v>0.34681155663107888</v>
      </c>
      <c r="AF117" s="40">
        <f t="shared" si="233"/>
        <v>0.40077823660145112</v>
      </c>
      <c r="AH117" s="41"/>
      <c r="AI117" s="40"/>
      <c r="AJ117" s="40"/>
      <c r="AK117" s="40"/>
      <c r="AL117" s="40"/>
      <c r="AM117" s="40"/>
      <c r="AN117" s="40"/>
      <c r="AO117" s="40"/>
      <c r="AQ117" s="41"/>
      <c r="AR117" s="40"/>
      <c r="AS117" s="40"/>
      <c r="AT117" s="40"/>
      <c r="AU117" s="40"/>
      <c r="AV117" s="40"/>
      <c r="AW117" s="40"/>
      <c r="AX117" s="40"/>
      <c r="AY117" s="169"/>
      <c r="BA117" s="41"/>
      <c r="BB117" s="40"/>
      <c r="BC117" s="40"/>
      <c r="BD117" s="40"/>
      <c r="BE117" s="40"/>
      <c r="BF117" s="40"/>
      <c r="BG117" s="40"/>
      <c r="BH117" s="40"/>
    </row>
    <row r="118" spans="2:60" s="64" customFormat="1" x14ac:dyDescent="0.3">
      <c r="C118" s="65"/>
      <c r="D118" s="77"/>
      <c r="E118" s="66"/>
      <c r="F118" s="66"/>
      <c r="G118" s="66"/>
      <c r="H118" s="66"/>
      <c r="I118" s="66"/>
      <c r="J118" s="66"/>
      <c r="K118" s="66"/>
      <c r="L118" s="66"/>
      <c r="M118" s="184"/>
      <c r="O118" s="67"/>
      <c r="P118" s="67"/>
      <c r="Q118" s="67"/>
      <c r="R118" s="67"/>
      <c r="S118" s="67"/>
      <c r="T118" s="67"/>
      <c r="U118" s="67"/>
      <c r="V118" s="67"/>
      <c r="W118" s="184"/>
      <c r="Y118" s="67"/>
      <c r="Z118" s="67"/>
      <c r="AA118" s="67"/>
      <c r="AB118" s="67"/>
      <c r="AC118" s="67"/>
      <c r="AD118" s="67"/>
      <c r="AE118" s="67"/>
      <c r="AF118" s="67"/>
      <c r="AH118" s="67"/>
      <c r="AI118" s="67"/>
      <c r="AJ118" s="67"/>
      <c r="AK118" s="67"/>
      <c r="AL118" s="67"/>
      <c r="AM118" s="67"/>
      <c r="AN118" s="67"/>
      <c r="AO118" s="67"/>
      <c r="AQ118" s="67"/>
      <c r="AR118" s="67"/>
      <c r="AS118" s="67"/>
      <c r="AT118" s="67"/>
      <c r="AU118" s="67"/>
      <c r="AV118" s="67"/>
      <c r="AW118" s="67"/>
      <c r="AX118" s="67"/>
      <c r="AY118" s="184"/>
      <c r="BA118" s="67"/>
      <c r="BB118" s="67"/>
      <c r="BC118" s="67"/>
      <c r="BD118" s="67"/>
      <c r="BE118" s="67"/>
      <c r="BF118" s="67"/>
      <c r="BG118" s="67"/>
      <c r="BH118" s="67"/>
    </row>
    <row r="119" spans="2:60" s="82" customFormat="1" x14ac:dyDescent="0.3">
      <c r="B119" s="81"/>
      <c r="C119" s="30" t="s">
        <v>116</v>
      </c>
      <c r="D119" s="30"/>
      <c r="E119" s="30"/>
      <c r="F119" s="30"/>
      <c r="G119" s="30"/>
      <c r="H119" s="30"/>
      <c r="I119" s="30"/>
      <c r="J119" s="30"/>
      <c r="K119" s="30"/>
      <c r="L119" s="30"/>
      <c r="M119" s="185"/>
      <c r="O119" s="30"/>
      <c r="P119" s="30"/>
      <c r="Q119" s="30"/>
      <c r="R119" s="30"/>
      <c r="S119" s="30"/>
      <c r="T119" s="30"/>
      <c r="U119" s="30"/>
      <c r="V119" s="30"/>
      <c r="W119" s="185"/>
      <c r="Y119" s="30"/>
      <c r="Z119" s="30"/>
      <c r="AA119" s="30"/>
      <c r="AB119" s="30"/>
      <c r="AC119" s="30"/>
      <c r="AD119" s="30"/>
      <c r="AE119" s="30"/>
      <c r="AF119" s="30"/>
      <c r="AH119" s="30"/>
      <c r="AI119" s="30"/>
      <c r="AJ119" s="30"/>
      <c r="AK119" s="30"/>
      <c r="AL119" s="30"/>
      <c r="AM119" s="30"/>
      <c r="AN119" s="30"/>
      <c r="AO119" s="30"/>
      <c r="AQ119" s="30"/>
      <c r="AR119" s="30"/>
      <c r="AS119" s="30"/>
      <c r="AT119" s="30"/>
      <c r="AU119" s="30"/>
      <c r="AV119" s="30"/>
      <c r="AW119" s="30"/>
      <c r="AX119" s="30"/>
      <c r="AY119" s="185"/>
      <c r="AZ119" s="110"/>
      <c r="BA119" s="30"/>
      <c r="BB119" s="30"/>
      <c r="BC119" s="30"/>
      <c r="BD119" s="30"/>
      <c r="BE119" s="30"/>
      <c r="BF119" s="30"/>
      <c r="BG119" s="30"/>
      <c r="BH119" s="30"/>
    </row>
    <row r="120" spans="2:60" s="85" customFormat="1" x14ac:dyDescent="0.3">
      <c r="B120" s="84"/>
      <c r="C120" s="63" t="s">
        <v>105</v>
      </c>
      <c r="D120" s="63"/>
      <c r="E120" s="63"/>
      <c r="F120" s="63"/>
      <c r="G120" s="63"/>
      <c r="H120" s="63"/>
      <c r="I120" s="63"/>
      <c r="J120" s="63"/>
      <c r="K120" s="63"/>
      <c r="L120" s="63"/>
      <c r="M120" s="186"/>
      <c r="O120" s="63"/>
      <c r="P120" s="63"/>
      <c r="Q120" s="63"/>
      <c r="R120" s="63"/>
      <c r="S120" s="63"/>
      <c r="T120" s="63"/>
      <c r="U120" s="63"/>
      <c r="V120" s="63"/>
      <c r="W120" s="186"/>
      <c r="Y120" s="63"/>
      <c r="Z120" s="63"/>
      <c r="AA120" s="63"/>
      <c r="AB120" s="63"/>
      <c r="AC120" s="63"/>
      <c r="AD120" s="63"/>
      <c r="AE120" s="63"/>
      <c r="AF120" s="63"/>
      <c r="AH120" s="63"/>
      <c r="AI120" s="63"/>
      <c r="AJ120" s="63"/>
      <c r="AK120" s="63"/>
      <c r="AL120" s="63"/>
      <c r="AM120" s="63"/>
      <c r="AN120" s="63"/>
      <c r="AO120" s="63"/>
      <c r="AQ120" s="63"/>
      <c r="AR120" s="63"/>
      <c r="AS120" s="63"/>
      <c r="AT120" s="63"/>
      <c r="AU120" s="63"/>
      <c r="AV120" s="63"/>
      <c r="AW120" s="63"/>
      <c r="AX120" s="63"/>
      <c r="AY120" s="186"/>
      <c r="AZ120" s="110"/>
      <c r="BA120" s="63"/>
      <c r="BB120" s="63"/>
      <c r="BC120" s="63"/>
      <c r="BD120" s="63"/>
      <c r="BE120" s="63"/>
      <c r="BF120" s="63"/>
      <c r="BG120" s="63"/>
      <c r="BH120" s="63"/>
    </row>
    <row r="121" spans="2:60" x14ac:dyDescent="0.3">
      <c r="C121" s="71"/>
      <c r="D121" s="120"/>
      <c r="I121" s="132"/>
      <c r="J121" s="132"/>
      <c r="K121" s="132"/>
      <c r="L121" s="132"/>
    </row>
    <row r="122" spans="2:60" x14ac:dyDescent="0.3">
      <c r="C122" s="79" t="s">
        <v>110</v>
      </c>
      <c r="D122" s="121"/>
      <c r="E122" s="100">
        <f t="shared" ref="E122:L122" si="235">E123</f>
        <v>1692003.3910559714</v>
      </c>
      <c r="F122" s="100">
        <f t="shared" si="235"/>
        <v>1898391.2360757375</v>
      </c>
      <c r="G122" s="100">
        <f t="shared" si="235"/>
        <v>2526224.1100239321</v>
      </c>
      <c r="H122" s="100">
        <f t="shared" si="235"/>
        <v>2300289.3419891847</v>
      </c>
      <c r="I122" s="100">
        <f t="shared" si="235"/>
        <v>3126330.6469800007</v>
      </c>
      <c r="J122" s="100">
        <f t="shared" si="235"/>
        <v>5792031.0701398309</v>
      </c>
      <c r="K122" s="100">
        <f t="shared" si="235"/>
        <v>8354568.9297779948</v>
      </c>
      <c r="L122" s="100">
        <f t="shared" si="235"/>
        <v>8725704.3984800037</v>
      </c>
      <c r="M122" s="187">
        <f>L122/K122-1</f>
        <v>4.4423054237924697E-2</v>
      </c>
      <c r="O122" s="100">
        <f t="shared" ref="O122:V122" si="236">O123</f>
        <v>1692003.3910559714</v>
      </c>
      <c r="P122" s="100">
        <f t="shared" si="236"/>
        <v>1898391.2360757375</v>
      </c>
      <c r="Q122" s="100">
        <f t="shared" si="236"/>
        <v>2526224.1100239321</v>
      </c>
      <c r="R122" s="100">
        <f t="shared" si="236"/>
        <v>2300289.3419891847</v>
      </c>
      <c r="S122" s="100">
        <f t="shared" si="236"/>
        <v>3126330.6469800007</v>
      </c>
      <c r="T122" s="100">
        <f t="shared" si="236"/>
        <v>5792031.0701398309</v>
      </c>
      <c r="U122" s="100">
        <f t="shared" si="236"/>
        <v>8354568.9297779948</v>
      </c>
      <c r="V122" s="100">
        <f t="shared" si="236"/>
        <v>8725704.3984800037</v>
      </c>
      <c r="W122" s="187">
        <f>V122/U122-1</f>
        <v>4.4423054237924697E-2</v>
      </c>
      <c r="Y122" s="100">
        <f t="shared" ref="Y122:AF122" si="237">Y123</f>
        <v>1692003.3910559714</v>
      </c>
      <c r="Z122" s="100">
        <f t="shared" si="237"/>
        <v>1898391.2360757375</v>
      </c>
      <c r="AA122" s="100">
        <f t="shared" si="237"/>
        <v>2526224.1100239321</v>
      </c>
      <c r="AB122" s="100">
        <f t="shared" si="237"/>
        <v>2300289.3419891847</v>
      </c>
      <c r="AC122" s="100">
        <f t="shared" si="237"/>
        <v>3126330.6469800007</v>
      </c>
      <c r="AD122" s="100">
        <f t="shared" si="237"/>
        <v>5792031.0701398309</v>
      </c>
      <c r="AE122" s="100">
        <f t="shared" si="237"/>
        <v>8354568.9297779948</v>
      </c>
      <c r="AF122" s="100">
        <f t="shared" si="237"/>
        <v>8725704.3984800037</v>
      </c>
      <c r="AH122" s="100">
        <f t="shared" ref="AH122:AO122" si="238">AH123</f>
        <v>1692003.3910559714</v>
      </c>
      <c r="AI122" s="100">
        <f t="shared" si="238"/>
        <v>1898391.2360757375</v>
      </c>
      <c r="AJ122" s="100">
        <f t="shared" si="238"/>
        <v>2526224.1100239321</v>
      </c>
      <c r="AK122" s="100">
        <f t="shared" si="238"/>
        <v>2300289.3419891847</v>
      </c>
      <c r="AL122" s="100">
        <f t="shared" si="238"/>
        <v>3126330.6469800007</v>
      </c>
      <c r="AM122" s="100">
        <f t="shared" si="238"/>
        <v>5792031.0701398309</v>
      </c>
      <c r="AN122" s="100">
        <f t="shared" si="238"/>
        <v>8354568.9297779948</v>
      </c>
      <c r="AO122" s="100">
        <f t="shared" si="238"/>
        <v>8725704.3984800037</v>
      </c>
      <c r="AQ122" s="100">
        <f t="shared" ref="AQ122:AX122" si="239">AQ123</f>
        <v>1692003.3910559714</v>
      </c>
      <c r="AR122" s="100">
        <f t="shared" si="239"/>
        <v>1898391.2360757375</v>
      </c>
      <c r="AS122" s="100">
        <f t="shared" si="239"/>
        <v>2526224.1100239321</v>
      </c>
      <c r="AT122" s="100">
        <f t="shared" si="239"/>
        <v>2300289.3419891847</v>
      </c>
      <c r="AU122" s="100">
        <f t="shared" si="239"/>
        <v>3126330.6469800007</v>
      </c>
      <c r="AV122" s="100">
        <f t="shared" si="239"/>
        <v>5792031.0701398309</v>
      </c>
      <c r="AW122" s="100">
        <f t="shared" si="239"/>
        <v>8354568.9297779948</v>
      </c>
      <c r="AX122" s="100">
        <f t="shared" si="239"/>
        <v>8725704.3984800037</v>
      </c>
      <c r="AY122" s="187">
        <f>AX122/AW122-1</f>
        <v>4.4423054237924697E-2</v>
      </c>
      <c r="BA122" s="100">
        <f t="shared" ref="BA122:BH122" si="240">BA123</f>
        <v>1692003.3910559714</v>
      </c>
      <c r="BB122" s="100">
        <f t="shared" si="240"/>
        <v>1898391.2360757375</v>
      </c>
      <c r="BC122" s="100">
        <f t="shared" si="240"/>
        <v>2526224.1100239321</v>
      </c>
      <c r="BD122" s="100">
        <f t="shared" si="240"/>
        <v>2300289.3419891847</v>
      </c>
      <c r="BE122" s="100">
        <f t="shared" si="240"/>
        <v>3126330.6469800007</v>
      </c>
      <c r="BF122" s="100">
        <f t="shared" si="240"/>
        <v>5792031.0701398309</v>
      </c>
      <c r="BG122" s="100">
        <f t="shared" si="240"/>
        <v>8354568.9297779948</v>
      </c>
      <c r="BH122" s="100">
        <f t="shared" si="240"/>
        <v>8725704.3984800037</v>
      </c>
    </row>
    <row r="123" spans="2:60" x14ac:dyDescent="0.3">
      <c r="C123" s="65" t="s">
        <v>106</v>
      </c>
      <c r="D123" s="77">
        <v>26</v>
      </c>
      <c r="E123" s="69">
        <v>1692003.3910559714</v>
      </c>
      <c r="F123" s="69">
        <v>1898391.2360757375</v>
      </c>
      <c r="G123" s="69">
        <v>2526224.1100239321</v>
      </c>
      <c r="H123" s="69">
        <v>2300289.3419891847</v>
      </c>
      <c r="I123" s="69">
        <v>3126330.6469800007</v>
      </c>
      <c r="J123" s="69">
        <f>'Quarterly I.S'!N123</f>
        <v>5792031.0701398309</v>
      </c>
      <c r="K123" s="69">
        <f>'Quarterly I.S'!R123</f>
        <v>8354568.9297779948</v>
      </c>
      <c r="L123" s="69">
        <f>'Quarterly I.S'!V123</f>
        <v>8725704.3984800037</v>
      </c>
      <c r="M123" s="182"/>
      <c r="O123" s="67">
        <f>$E123</f>
        <v>1692003.3910559714</v>
      </c>
      <c r="P123" s="67">
        <f>$F123</f>
        <v>1898391.2360757375</v>
      </c>
      <c r="Q123" s="67">
        <f>$G123</f>
        <v>2526224.1100239321</v>
      </c>
      <c r="R123" s="67">
        <f>$H123</f>
        <v>2300289.3419891847</v>
      </c>
      <c r="S123" s="67">
        <f>$I123</f>
        <v>3126330.6469800007</v>
      </c>
      <c r="T123" s="67">
        <f>$J123</f>
        <v>5792031.0701398309</v>
      </c>
      <c r="U123" s="67">
        <f>$K123</f>
        <v>8354568.9297779948</v>
      </c>
      <c r="V123" s="67">
        <f>$L123</f>
        <v>8725704.3984800037</v>
      </c>
      <c r="W123" s="182"/>
      <c r="X123" s="64"/>
      <c r="Y123" s="67">
        <f>$E123</f>
        <v>1692003.3910559714</v>
      </c>
      <c r="Z123" s="67">
        <f>$F123</f>
        <v>1898391.2360757375</v>
      </c>
      <c r="AA123" s="67">
        <f>$G123</f>
        <v>2526224.1100239321</v>
      </c>
      <c r="AB123" s="67">
        <f>$H123</f>
        <v>2300289.3419891847</v>
      </c>
      <c r="AC123" s="67">
        <f>$I123</f>
        <v>3126330.6469800007</v>
      </c>
      <c r="AD123" s="67">
        <f>$J123</f>
        <v>5792031.0701398309</v>
      </c>
      <c r="AE123" s="67">
        <f>$K123</f>
        <v>8354568.9297779948</v>
      </c>
      <c r="AF123" s="67">
        <f>$L123</f>
        <v>8725704.3984800037</v>
      </c>
      <c r="AG123" s="64"/>
      <c r="AH123" s="67">
        <f>$E123</f>
        <v>1692003.3910559714</v>
      </c>
      <c r="AI123" s="67">
        <f>$F123</f>
        <v>1898391.2360757375</v>
      </c>
      <c r="AJ123" s="67">
        <f>$G123</f>
        <v>2526224.1100239321</v>
      </c>
      <c r="AK123" s="67">
        <f>$H123</f>
        <v>2300289.3419891847</v>
      </c>
      <c r="AL123" s="67">
        <f>$I123</f>
        <v>3126330.6469800007</v>
      </c>
      <c r="AM123" s="67">
        <f>$J123</f>
        <v>5792031.0701398309</v>
      </c>
      <c r="AN123" s="67">
        <f>$K123</f>
        <v>8354568.9297779948</v>
      </c>
      <c r="AO123" s="67">
        <f>$L123</f>
        <v>8725704.3984800037</v>
      </c>
      <c r="AP123" s="64"/>
      <c r="AQ123" s="67">
        <f>$E123</f>
        <v>1692003.3910559714</v>
      </c>
      <c r="AR123" s="67">
        <f>$F123</f>
        <v>1898391.2360757375</v>
      </c>
      <c r="AS123" s="67">
        <f>$G123</f>
        <v>2526224.1100239321</v>
      </c>
      <c r="AT123" s="67">
        <f>$H123</f>
        <v>2300289.3419891847</v>
      </c>
      <c r="AU123" s="67">
        <f>$I123</f>
        <v>3126330.6469800007</v>
      </c>
      <c r="AV123" s="67">
        <f>$J123</f>
        <v>5792031.0701398309</v>
      </c>
      <c r="AW123" s="67">
        <f>$K123</f>
        <v>8354568.9297779948</v>
      </c>
      <c r="AX123" s="67">
        <f>$L123</f>
        <v>8725704.3984800037</v>
      </c>
      <c r="AY123" s="182"/>
      <c r="AZ123" s="64"/>
      <c r="BA123" s="67">
        <f>$E123</f>
        <v>1692003.3910559714</v>
      </c>
      <c r="BB123" s="67">
        <f>$F123</f>
        <v>1898391.2360757375</v>
      </c>
      <c r="BC123" s="67">
        <f>$G123</f>
        <v>2526224.1100239321</v>
      </c>
      <c r="BD123" s="67">
        <f>$H123</f>
        <v>2300289.3419891847</v>
      </c>
      <c r="BE123" s="67">
        <f>$I123</f>
        <v>3126330.6469800007</v>
      </c>
      <c r="BF123" s="67">
        <f>$J123</f>
        <v>5792031.0701398309</v>
      </c>
      <c r="BG123" s="67">
        <f>$K123</f>
        <v>8354568.9297779948</v>
      </c>
      <c r="BH123" s="67">
        <f>$L123</f>
        <v>8725704.3984800037</v>
      </c>
    </row>
    <row r="124" spans="2:60" x14ac:dyDescent="0.3">
      <c r="C124" s="71"/>
      <c r="D124" s="120"/>
    </row>
    <row r="125" spans="2:60" x14ac:dyDescent="0.3">
      <c r="C125" s="80" t="s">
        <v>140</v>
      </c>
      <c r="D125" s="122"/>
      <c r="E125" s="100">
        <f t="shared" ref="E125:J125" si="241">SUM(E126:E128)</f>
        <v>3271163.2006523358</v>
      </c>
      <c r="F125" s="100">
        <f t="shared" si="241"/>
        <v>4271933.4608100001</v>
      </c>
      <c r="G125" s="100">
        <f t="shared" si="241"/>
        <v>4098432.9243399999</v>
      </c>
      <c r="H125" s="100">
        <f t="shared" si="241"/>
        <v>5425275.1045700004</v>
      </c>
      <c r="I125" s="100">
        <f t="shared" si="241"/>
        <v>7185558.1615800001</v>
      </c>
      <c r="J125" s="100">
        <f t="shared" si="241"/>
        <v>9047763.6490500905</v>
      </c>
      <c r="K125" s="100">
        <f>SUM(K126:K128)</f>
        <v>12798075.542949991</v>
      </c>
      <c r="L125" s="100">
        <f>SUM(L126:L128)</f>
        <v>12391804.69226999</v>
      </c>
      <c r="M125" s="187">
        <f>L125/K125-1</f>
        <v>-3.1744682965541782E-2</v>
      </c>
      <c r="O125" s="100">
        <f t="shared" ref="O125:T125" si="242">SUM(O126:O128)</f>
        <v>3271163.2006523358</v>
      </c>
      <c r="P125" s="100">
        <f t="shared" si="242"/>
        <v>4271933.4608100001</v>
      </c>
      <c r="Q125" s="100">
        <f t="shared" si="242"/>
        <v>4098432.9243399999</v>
      </c>
      <c r="R125" s="100">
        <f t="shared" si="242"/>
        <v>5425275.1045700004</v>
      </c>
      <c r="S125" s="100">
        <f t="shared" si="242"/>
        <v>7185558.1615800001</v>
      </c>
      <c r="T125" s="100">
        <f t="shared" si="242"/>
        <v>9047763.6490500905</v>
      </c>
      <c r="U125" s="100">
        <f>SUM(U126:U128)</f>
        <v>12798075.542949991</v>
      </c>
      <c r="V125" s="100">
        <f>SUM(V126:V128)</f>
        <v>12391804.69226999</v>
      </c>
      <c r="W125" s="187">
        <f>V125/U125-1</f>
        <v>-3.1744682965541782E-2</v>
      </c>
      <c r="Y125" s="100">
        <f t="shared" ref="Y125:AD125" si="243">SUM(Y126:Y128)</f>
        <v>3271163.2006523358</v>
      </c>
      <c r="Z125" s="100">
        <f t="shared" si="243"/>
        <v>4271933.4608100001</v>
      </c>
      <c r="AA125" s="100">
        <f t="shared" si="243"/>
        <v>4098432.9243399999</v>
      </c>
      <c r="AB125" s="100">
        <f t="shared" si="243"/>
        <v>5425275.1045700004</v>
      </c>
      <c r="AC125" s="100">
        <f t="shared" si="243"/>
        <v>7185558.1615800001</v>
      </c>
      <c r="AD125" s="100">
        <f t="shared" si="243"/>
        <v>9047763.6490500905</v>
      </c>
      <c r="AE125" s="100">
        <f>SUM(AE126:AE128)</f>
        <v>12798075.542949991</v>
      </c>
      <c r="AF125" s="100">
        <f>SUM(AF126:AF128)</f>
        <v>12391804.69226999</v>
      </c>
      <c r="AG125" s="100"/>
      <c r="AH125" s="100">
        <f t="shared" ref="AH125:AM125" si="244">SUM(AH126:AH128)</f>
        <v>3271163.2006523358</v>
      </c>
      <c r="AI125" s="100">
        <f t="shared" si="244"/>
        <v>4271933.4608100001</v>
      </c>
      <c r="AJ125" s="100">
        <f t="shared" si="244"/>
        <v>4098432.9243399999</v>
      </c>
      <c r="AK125" s="100">
        <f t="shared" si="244"/>
        <v>5425275.1045700004</v>
      </c>
      <c r="AL125" s="100">
        <f t="shared" si="244"/>
        <v>7185558.1615800001</v>
      </c>
      <c r="AM125" s="100">
        <f t="shared" si="244"/>
        <v>9047763.6490500905</v>
      </c>
      <c r="AN125" s="100">
        <f>SUM(AN126:AN128)</f>
        <v>12798075.542949991</v>
      </c>
      <c r="AO125" s="100">
        <f>SUM(AO126:AO128)</f>
        <v>12391804.69226999</v>
      </c>
      <c r="AP125" s="100"/>
      <c r="AQ125" s="100">
        <f t="shared" ref="AQ125:AV125" si="245">SUM(AQ126:AQ128)</f>
        <v>3271163.2006523358</v>
      </c>
      <c r="AR125" s="100">
        <f t="shared" si="245"/>
        <v>4271933.4608100001</v>
      </c>
      <c r="AS125" s="100">
        <f t="shared" si="245"/>
        <v>4098432.9243399999</v>
      </c>
      <c r="AT125" s="100">
        <f t="shared" si="245"/>
        <v>5425275.1045700004</v>
      </c>
      <c r="AU125" s="100">
        <f t="shared" si="245"/>
        <v>7185558.1615800001</v>
      </c>
      <c r="AV125" s="100">
        <f t="shared" si="245"/>
        <v>9047763.6490500905</v>
      </c>
      <c r="AW125" s="100">
        <f>SUM(AW126:AW128)</f>
        <v>12798075.542949991</v>
      </c>
      <c r="AX125" s="100">
        <f>SUM(AX126:AX128)</f>
        <v>12391804.69226999</v>
      </c>
      <c r="AY125" s="187">
        <f>AX125/AW125-1</f>
        <v>-3.1744682965541782E-2</v>
      </c>
      <c r="AZ125" s="70"/>
      <c r="BA125" s="100">
        <f t="shared" ref="BA125:BF125" si="246">SUM(BA126:BA128)</f>
        <v>3271163.2006523358</v>
      </c>
      <c r="BB125" s="100">
        <f t="shared" si="246"/>
        <v>4271933.4608100001</v>
      </c>
      <c r="BC125" s="100">
        <f t="shared" si="246"/>
        <v>4098432.9243399999</v>
      </c>
      <c r="BD125" s="100">
        <f t="shared" si="246"/>
        <v>5425275.1045700004</v>
      </c>
      <c r="BE125" s="100">
        <f t="shared" si="246"/>
        <v>7185558.1615800001</v>
      </c>
      <c r="BF125" s="100">
        <f t="shared" si="246"/>
        <v>9047763.6490500905</v>
      </c>
      <c r="BG125" s="100">
        <f>SUM(BG126:BG128)</f>
        <v>12798075.542949991</v>
      </c>
      <c r="BH125" s="100">
        <f>SUM(BH126:BH128)</f>
        <v>12391804.69226999</v>
      </c>
    </row>
    <row r="126" spans="2:60" x14ac:dyDescent="0.3">
      <c r="C126" s="71" t="s">
        <v>49</v>
      </c>
      <c r="D126" s="120">
        <v>29</v>
      </c>
      <c r="E126" s="69">
        <v>1753939.038042336</v>
      </c>
      <c r="F126" s="69">
        <v>3262604.6157800001</v>
      </c>
      <c r="G126" s="69">
        <v>3795518.9342399999</v>
      </c>
      <c r="H126" s="69">
        <v>3981261.2712900001</v>
      </c>
      <c r="I126" s="69">
        <v>2062076.8849999998</v>
      </c>
      <c r="J126" s="69">
        <f>'Quarterly I.S'!N126</f>
        <v>1864869.5036599662</v>
      </c>
      <c r="K126" s="69">
        <f>'Quarterly I.S'!R126</f>
        <v>5998726.2465499686</v>
      </c>
      <c r="L126" s="69">
        <f>'Quarterly I.S'!V126</f>
        <v>5413218.825049961</v>
      </c>
      <c r="M126" s="182">
        <f>L126/K126-1</f>
        <v>-9.7605291096047098E-2</v>
      </c>
      <c r="O126" s="67">
        <f>$E126</f>
        <v>1753939.038042336</v>
      </c>
      <c r="P126" s="67">
        <f>$F126</f>
        <v>3262604.6157800001</v>
      </c>
      <c r="Q126" s="67">
        <f>$G126</f>
        <v>3795518.9342399999</v>
      </c>
      <c r="R126" s="67">
        <f>$H126</f>
        <v>3981261.2712900001</v>
      </c>
      <c r="S126" s="67">
        <f>$I126</f>
        <v>2062076.8849999998</v>
      </c>
      <c r="T126" s="67">
        <f>$J126</f>
        <v>1864869.5036599662</v>
      </c>
      <c r="U126" s="67">
        <f>$K126</f>
        <v>5998726.2465499686</v>
      </c>
      <c r="V126" s="67">
        <f>$L126</f>
        <v>5413218.825049961</v>
      </c>
      <c r="W126" s="182">
        <f>V126/U126-1</f>
        <v>-9.7605291096047098E-2</v>
      </c>
      <c r="X126" s="64"/>
      <c r="Y126" s="67">
        <f>$E126</f>
        <v>1753939.038042336</v>
      </c>
      <c r="Z126" s="67">
        <f>$F126</f>
        <v>3262604.6157800001</v>
      </c>
      <c r="AA126" s="67">
        <f>$G126</f>
        <v>3795518.9342399999</v>
      </c>
      <c r="AB126" s="67">
        <f>$H126</f>
        <v>3981261.2712900001</v>
      </c>
      <c r="AC126" s="67">
        <f>$I126</f>
        <v>2062076.8849999998</v>
      </c>
      <c r="AD126" s="67">
        <f>$J126</f>
        <v>1864869.5036599662</v>
      </c>
      <c r="AE126" s="67">
        <f>$K126</f>
        <v>5998726.2465499686</v>
      </c>
      <c r="AF126" s="67">
        <f>$L126</f>
        <v>5413218.825049961</v>
      </c>
      <c r="AG126" s="64"/>
      <c r="AH126" s="67">
        <f>$E126</f>
        <v>1753939.038042336</v>
      </c>
      <c r="AI126" s="67">
        <f>$F126</f>
        <v>3262604.6157800001</v>
      </c>
      <c r="AJ126" s="67">
        <f>$G126</f>
        <v>3795518.9342399999</v>
      </c>
      <c r="AK126" s="67">
        <f>$H126</f>
        <v>3981261.2712900001</v>
      </c>
      <c r="AL126" s="67">
        <f>$I126</f>
        <v>2062076.8849999998</v>
      </c>
      <c r="AM126" s="67">
        <f>$J126</f>
        <v>1864869.5036599662</v>
      </c>
      <c r="AN126" s="67">
        <f>$K126</f>
        <v>5998726.2465499686</v>
      </c>
      <c r="AO126" s="67">
        <f>$L126</f>
        <v>5413218.825049961</v>
      </c>
      <c r="AP126" s="64"/>
      <c r="AQ126" s="67">
        <f>$E126</f>
        <v>1753939.038042336</v>
      </c>
      <c r="AR126" s="67">
        <f>$F126</f>
        <v>3262604.6157800001</v>
      </c>
      <c r="AS126" s="67">
        <f>$G126</f>
        <v>3795518.9342399999</v>
      </c>
      <c r="AT126" s="67">
        <f>$H126</f>
        <v>3981261.2712900001</v>
      </c>
      <c r="AU126" s="67">
        <f>$I126</f>
        <v>2062076.8849999998</v>
      </c>
      <c r="AV126" s="67">
        <f>$J126</f>
        <v>1864869.5036599662</v>
      </c>
      <c r="AW126" s="67">
        <f>$K126</f>
        <v>5998726.2465499686</v>
      </c>
      <c r="AX126" s="67">
        <f>$L126</f>
        <v>5413218.825049961</v>
      </c>
      <c r="AY126" s="182">
        <f>AX126/AW126-1</f>
        <v>-9.7605291096047098E-2</v>
      </c>
      <c r="AZ126" s="64"/>
      <c r="BA126" s="67">
        <f>$E126</f>
        <v>1753939.038042336</v>
      </c>
      <c r="BB126" s="67">
        <f>$F126</f>
        <v>3262604.6157800001</v>
      </c>
      <c r="BC126" s="67">
        <f>$G126</f>
        <v>3795518.9342399999</v>
      </c>
      <c r="BD126" s="67">
        <f>$H126</f>
        <v>3981261.2712900001</v>
      </c>
      <c r="BE126" s="67">
        <f>$I126</f>
        <v>2062076.8849999998</v>
      </c>
      <c r="BF126" s="67">
        <f>$J126</f>
        <v>1864869.5036599662</v>
      </c>
      <c r="BG126" s="67">
        <f>$K126</f>
        <v>5998726.2465499686</v>
      </c>
      <c r="BH126" s="67">
        <f>$L126</f>
        <v>5413218.825049961</v>
      </c>
    </row>
    <row r="127" spans="2:60" x14ac:dyDescent="0.3">
      <c r="C127" s="71" t="s">
        <v>50</v>
      </c>
      <c r="D127" s="120" t="s">
        <v>151</v>
      </c>
      <c r="E127" s="69">
        <v>1129068.7801099999</v>
      </c>
      <c r="F127" s="69">
        <v>118624.85458000001</v>
      </c>
      <c r="G127" s="69">
        <v>62014.487979999991</v>
      </c>
      <c r="H127" s="69">
        <v>1284381.9724900001</v>
      </c>
      <c r="I127" s="69">
        <v>5076517.6180000007</v>
      </c>
      <c r="J127" s="69">
        <f>'Quarterly I.S'!N127</f>
        <v>7135359.0317901243</v>
      </c>
      <c r="K127" s="69">
        <f>'Quarterly I.S'!R127</f>
        <v>6745142.9991400242</v>
      </c>
      <c r="L127" s="69">
        <f>'Quarterly I.S'!V127</f>
        <v>6908075.0035100309</v>
      </c>
      <c r="M127" s="182">
        <f>L127/K127-1</f>
        <v>2.415545591706203E-2</v>
      </c>
      <c r="O127" s="67">
        <f>$E127</f>
        <v>1129068.7801099999</v>
      </c>
      <c r="P127" s="67">
        <f>$F127</f>
        <v>118624.85458000001</v>
      </c>
      <c r="Q127" s="67">
        <f>$G127</f>
        <v>62014.487979999991</v>
      </c>
      <c r="R127" s="67">
        <f>$H127</f>
        <v>1284381.9724900001</v>
      </c>
      <c r="S127" s="67">
        <f>$I127</f>
        <v>5076517.6180000007</v>
      </c>
      <c r="T127" s="67">
        <f>$J127</f>
        <v>7135359.0317901243</v>
      </c>
      <c r="U127" s="67">
        <f>$K127</f>
        <v>6745142.9991400242</v>
      </c>
      <c r="V127" s="67">
        <f>$L127</f>
        <v>6908075.0035100309</v>
      </c>
      <c r="W127" s="182">
        <f>V127/U127-1</f>
        <v>2.415545591706203E-2</v>
      </c>
      <c r="X127" s="64"/>
      <c r="Y127" s="67">
        <f>$E127</f>
        <v>1129068.7801099999</v>
      </c>
      <c r="Z127" s="67">
        <f>$F127</f>
        <v>118624.85458000001</v>
      </c>
      <c r="AA127" s="67">
        <f>$G127</f>
        <v>62014.487979999991</v>
      </c>
      <c r="AB127" s="67">
        <f>$H127</f>
        <v>1284381.9724900001</v>
      </c>
      <c r="AC127" s="67">
        <f>$I127</f>
        <v>5076517.6180000007</v>
      </c>
      <c r="AD127" s="67">
        <f>$J127</f>
        <v>7135359.0317901243</v>
      </c>
      <c r="AE127" s="67">
        <f>$K127</f>
        <v>6745142.9991400242</v>
      </c>
      <c r="AF127" s="67">
        <f>$L127</f>
        <v>6908075.0035100309</v>
      </c>
      <c r="AG127" s="64"/>
      <c r="AH127" s="67">
        <f>$E127</f>
        <v>1129068.7801099999</v>
      </c>
      <c r="AI127" s="67">
        <f>$F127</f>
        <v>118624.85458000001</v>
      </c>
      <c r="AJ127" s="67">
        <f>$G127</f>
        <v>62014.487979999991</v>
      </c>
      <c r="AK127" s="67">
        <f>$H127</f>
        <v>1284381.9724900001</v>
      </c>
      <c r="AL127" s="67">
        <f>$I127</f>
        <v>5076517.6180000007</v>
      </c>
      <c r="AM127" s="67">
        <f>$J127</f>
        <v>7135359.0317901243</v>
      </c>
      <c r="AN127" s="67">
        <f>$K127</f>
        <v>6745142.9991400242</v>
      </c>
      <c r="AO127" s="67">
        <f>$L127</f>
        <v>6908075.0035100309</v>
      </c>
      <c r="AP127" s="64"/>
      <c r="AQ127" s="67">
        <f>$E127</f>
        <v>1129068.7801099999</v>
      </c>
      <c r="AR127" s="67">
        <f>$F127</f>
        <v>118624.85458000001</v>
      </c>
      <c r="AS127" s="67">
        <f>$G127</f>
        <v>62014.487979999991</v>
      </c>
      <c r="AT127" s="67">
        <f>$H127</f>
        <v>1284381.9724900001</v>
      </c>
      <c r="AU127" s="67">
        <f>$I127</f>
        <v>5076517.6180000007</v>
      </c>
      <c r="AV127" s="67">
        <f>$J127</f>
        <v>7135359.0317901243</v>
      </c>
      <c r="AW127" s="67">
        <f>$K127</f>
        <v>6745142.9991400242</v>
      </c>
      <c r="AX127" s="67">
        <f>$L127</f>
        <v>6908075.0035100309</v>
      </c>
      <c r="AY127" s="182">
        <f>AX127/AW127-1</f>
        <v>2.415545591706203E-2</v>
      </c>
      <c r="AZ127" s="64"/>
      <c r="BA127" s="67">
        <f>$E127</f>
        <v>1129068.7801099999</v>
      </c>
      <c r="BB127" s="67">
        <f>$F127</f>
        <v>118624.85458000001</v>
      </c>
      <c r="BC127" s="67">
        <f>$G127</f>
        <v>62014.487979999991</v>
      </c>
      <c r="BD127" s="67">
        <f>$H127</f>
        <v>1284381.9724900001</v>
      </c>
      <c r="BE127" s="67">
        <f>$I127</f>
        <v>5076517.6180000007</v>
      </c>
      <c r="BF127" s="67">
        <f>$J127</f>
        <v>7135359.0317901243</v>
      </c>
      <c r="BG127" s="67">
        <f>$K127</f>
        <v>6745142.9991400242</v>
      </c>
      <c r="BH127" s="67">
        <f>$L127</f>
        <v>6908075.0035100309</v>
      </c>
    </row>
    <row r="128" spans="2:60" x14ac:dyDescent="0.3">
      <c r="C128" s="71" t="s">
        <v>94</v>
      </c>
      <c r="D128" s="120">
        <v>14</v>
      </c>
      <c r="E128" s="69">
        <v>388155.38249999995</v>
      </c>
      <c r="F128" s="69">
        <v>890703.99045000004</v>
      </c>
      <c r="G128" s="69">
        <v>240899.50211999999</v>
      </c>
      <c r="H128" s="69">
        <v>159631.86079000001</v>
      </c>
      <c r="I128" s="69">
        <v>46963.658580000003</v>
      </c>
      <c r="J128" s="69">
        <f>'Quarterly I.S'!N128</f>
        <v>47535.113599999997</v>
      </c>
      <c r="K128" s="69">
        <f>'Quarterly I.S'!R128</f>
        <v>54206.297259999999</v>
      </c>
      <c r="L128" s="69">
        <f>'Quarterly I.S'!V128</f>
        <v>70510.863709999991</v>
      </c>
      <c r="M128" s="182">
        <f>L128/K128-1</f>
        <v>0.30078731206810327</v>
      </c>
      <c r="O128" s="67">
        <f>$E128</f>
        <v>388155.38249999995</v>
      </c>
      <c r="P128" s="67">
        <f>$F128</f>
        <v>890703.99045000004</v>
      </c>
      <c r="Q128" s="67">
        <f>$G128</f>
        <v>240899.50211999999</v>
      </c>
      <c r="R128" s="67">
        <f>$H128</f>
        <v>159631.86079000001</v>
      </c>
      <c r="S128" s="67">
        <f>$I128</f>
        <v>46963.658580000003</v>
      </c>
      <c r="T128" s="67">
        <f>$J128</f>
        <v>47535.113599999997</v>
      </c>
      <c r="U128" s="67">
        <f>$K128</f>
        <v>54206.297259999999</v>
      </c>
      <c r="V128" s="67">
        <f>$L128</f>
        <v>70510.863709999991</v>
      </c>
      <c r="W128" s="182">
        <f>V128/U128-1</f>
        <v>0.30078731206810327</v>
      </c>
      <c r="X128" s="64"/>
      <c r="Y128" s="67">
        <f>$E128</f>
        <v>388155.38249999995</v>
      </c>
      <c r="Z128" s="67">
        <f>$F128</f>
        <v>890703.99045000004</v>
      </c>
      <c r="AA128" s="67">
        <f>$G128</f>
        <v>240899.50211999999</v>
      </c>
      <c r="AB128" s="67">
        <f>$H128</f>
        <v>159631.86079000001</v>
      </c>
      <c r="AC128" s="67">
        <f>$I128</f>
        <v>46963.658580000003</v>
      </c>
      <c r="AD128" s="67">
        <f>$J128</f>
        <v>47535.113599999997</v>
      </c>
      <c r="AE128" s="67">
        <f>$K128</f>
        <v>54206.297259999999</v>
      </c>
      <c r="AF128" s="67">
        <f>$L128</f>
        <v>70510.863709999991</v>
      </c>
      <c r="AG128" s="64"/>
      <c r="AH128" s="67">
        <f>$E128</f>
        <v>388155.38249999995</v>
      </c>
      <c r="AI128" s="67">
        <f>$F128</f>
        <v>890703.99045000004</v>
      </c>
      <c r="AJ128" s="67">
        <f>$G128</f>
        <v>240899.50211999999</v>
      </c>
      <c r="AK128" s="67">
        <f>$H128</f>
        <v>159631.86079000001</v>
      </c>
      <c r="AL128" s="67">
        <f>$I128</f>
        <v>46963.658580000003</v>
      </c>
      <c r="AM128" s="67">
        <f>$J128</f>
        <v>47535.113599999997</v>
      </c>
      <c r="AN128" s="67">
        <f>$K128</f>
        <v>54206.297259999999</v>
      </c>
      <c r="AO128" s="67">
        <f>$L128</f>
        <v>70510.863709999991</v>
      </c>
      <c r="AP128" s="64"/>
      <c r="AQ128" s="67">
        <f>$E128</f>
        <v>388155.38249999995</v>
      </c>
      <c r="AR128" s="67">
        <f>$F128</f>
        <v>890703.99045000004</v>
      </c>
      <c r="AS128" s="67">
        <f>$G128</f>
        <v>240899.50211999999</v>
      </c>
      <c r="AT128" s="67">
        <f>$H128</f>
        <v>159631.86079000001</v>
      </c>
      <c r="AU128" s="67">
        <f>$I128</f>
        <v>46963.658580000003</v>
      </c>
      <c r="AV128" s="67">
        <f>$J128</f>
        <v>47535.113599999997</v>
      </c>
      <c r="AW128" s="67">
        <f>$K128</f>
        <v>54206.297259999999</v>
      </c>
      <c r="AX128" s="67">
        <f>$L128</f>
        <v>70510.863709999991</v>
      </c>
      <c r="AY128" s="182">
        <f>AX128/AW128-1</f>
        <v>0.30078731206810327</v>
      </c>
      <c r="AZ128" s="64"/>
      <c r="BA128" s="67">
        <f>$E128</f>
        <v>388155.38249999995</v>
      </c>
      <c r="BB128" s="67">
        <f>$F128</f>
        <v>890703.99045000004</v>
      </c>
      <c r="BC128" s="67">
        <f>$G128</f>
        <v>240899.50211999999</v>
      </c>
      <c r="BD128" s="67">
        <f>$H128</f>
        <v>159631.86079000001</v>
      </c>
      <c r="BE128" s="67">
        <f>$I128</f>
        <v>46963.658580000003</v>
      </c>
      <c r="BF128" s="67">
        <f>$J128</f>
        <v>47535.113599999997</v>
      </c>
      <c r="BG128" s="67">
        <f>$K128</f>
        <v>54206.297259999999</v>
      </c>
      <c r="BH128" s="67">
        <f>$L128</f>
        <v>70510.863709999991</v>
      </c>
    </row>
    <row r="129" spans="2:60" x14ac:dyDescent="0.3">
      <c r="C129" s="101"/>
      <c r="D129" s="123"/>
    </row>
    <row r="130" spans="2:60" ht="13.5" thickBot="1" x14ac:dyDescent="0.35">
      <c r="C130" s="78" t="s">
        <v>141</v>
      </c>
      <c r="D130" s="124"/>
      <c r="E130" s="72">
        <f>E125+E122</f>
        <v>4963166.5917083072</v>
      </c>
      <c r="F130" s="72">
        <f t="shared" ref="F130:S130" si="247">F125+F122</f>
        <v>6170324.6968857376</v>
      </c>
      <c r="G130" s="72">
        <f t="shared" si="247"/>
        <v>6624657.034363932</v>
      </c>
      <c r="H130" s="72">
        <f t="shared" si="247"/>
        <v>7725564.4465591852</v>
      </c>
      <c r="I130" s="72">
        <f t="shared" si="247"/>
        <v>10311888.808560001</v>
      </c>
      <c r="J130" s="72">
        <f>J125+J122</f>
        <v>14839794.719189921</v>
      </c>
      <c r="K130" s="72">
        <f>K125+K122</f>
        <v>21152644.472727984</v>
      </c>
      <c r="L130" s="72">
        <f>L125+L122</f>
        <v>21117509.090749994</v>
      </c>
      <c r="M130" s="200">
        <f>L130/K130-1</f>
        <v>-1.6610396881245881E-3</v>
      </c>
      <c r="O130" s="72">
        <f t="shared" si="247"/>
        <v>4963166.5917083072</v>
      </c>
      <c r="P130" s="72">
        <f t="shared" si="247"/>
        <v>6170324.6968857376</v>
      </c>
      <c r="Q130" s="72">
        <f t="shared" si="247"/>
        <v>6624657.034363932</v>
      </c>
      <c r="R130" s="72">
        <f t="shared" si="247"/>
        <v>7725564.4465591852</v>
      </c>
      <c r="S130" s="72">
        <f t="shared" si="247"/>
        <v>10311888.808560001</v>
      </c>
      <c r="T130" s="72">
        <f>T125+T122</f>
        <v>14839794.719189921</v>
      </c>
      <c r="U130" s="72">
        <f>U125+U122</f>
        <v>21152644.472727984</v>
      </c>
      <c r="V130" s="72">
        <f>V125+V122</f>
        <v>21117509.090749994</v>
      </c>
      <c r="W130" s="200">
        <f>V130/U130-1</f>
        <v>-1.6610396881245881E-3</v>
      </c>
      <c r="Y130" s="72">
        <f t="shared" ref="Y130:AD130" si="248">Y125+Y122</f>
        <v>4963166.5917083072</v>
      </c>
      <c r="Z130" s="72">
        <f t="shared" si="248"/>
        <v>6170324.6968857376</v>
      </c>
      <c r="AA130" s="72">
        <f t="shared" si="248"/>
        <v>6624657.034363932</v>
      </c>
      <c r="AB130" s="72">
        <f t="shared" si="248"/>
        <v>7725564.4465591852</v>
      </c>
      <c r="AC130" s="72">
        <f t="shared" si="248"/>
        <v>10311888.808560001</v>
      </c>
      <c r="AD130" s="72">
        <f t="shared" si="248"/>
        <v>14839794.719189921</v>
      </c>
      <c r="AE130" s="72">
        <f>AE125+AE122</f>
        <v>21152644.472727984</v>
      </c>
      <c r="AF130" s="72">
        <f>AF125+AF122</f>
        <v>21117509.090749994</v>
      </c>
      <c r="AH130" s="72">
        <f t="shared" ref="AH130:AM130" si="249">AH125+AH122</f>
        <v>4963166.5917083072</v>
      </c>
      <c r="AI130" s="72">
        <f t="shared" si="249"/>
        <v>6170324.6968857376</v>
      </c>
      <c r="AJ130" s="72">
        <f t="shared" si="249"/>
        <v>6624657.034363932</v>
      </c>
      <c r="AK130" s="72">
        <f t="shared" si="249"/>
        <v>7725564.4465591852</v>
      </c>
      <c r="AL130" s="72">
        <f t="shared" si="249"/>
        <v>10311888.808560001</v>
      </c>
      <c r="AM130" s="72">
        <f t="shared" si="249"/>
        <v>14839794.719189921</v>
      </c>
      <c r="AN130" s="72">
        <f>AN125+AN122</f>
        <v>21152644.472727984</v>
      </c>
      <c r="AO130" s="72">
        <f>AO125+AO122</f>
        <v>21117509.090749994</v>
      </c>
      <c r="AQ130" s="72">
        <f t="shared" ref="AQ130:AV130" si="250">AQ125+AQ122</f>
        <v>4963166.5917083072</v>
      </c>
      <c r="AR130" s="72">
        <f t="shared" si="250"/>
        <v>6170324.6968857376</v>
      </c>
      <c r="AS130" s="72">
        <f t="shared" si="250"/>
        <v>6624657.034363932</v>
      </c>
      <c r="AT130" s="72">
        <f t="shared" si="250"/>
        <v>7725564.4465591852</v>
      </c>
      <c r="AU130" s="72">
        <f t="shared" si="250"/>
        <v>10311888.808560001</v>
      </c>
      <c r="AV130" s="72">
        <f t="shared" si="250"/>
        <v>14839794.719189921</v>
      </c>
      <c r="AW130" s="72">
        <f>AW125+AW122</f>
        <v>21152644.472727984</v>
      </c>
      <c r="AX130" s="72">
        <f>AX125+AX122</f>
        <v>21117509.090749994</v>
      </c>
      <c r="AY130" s="200">
        <f>AX130/AW130-1</f>
        <v>-1.6610396881245881E-3</v>
      </c>
      <c r="BA130" s="72">
        <f t="shared" ref="BA130:BF130" si="251">BA125+BA122</f>
        <v>4963166.5917083072</v>
      </c>
      <c r="BB130" s="72">
        <f t="shared" si="251"/>
        <v>6170324.6968857376</v>
      </c>
      <c r="BC130" s="72">
        <f t="shared" si="251"/>
        <v>6624657.034363932</v>
      </c>
      <c r="BD130" s="72">
        <f t="shared" si="251"/>
        <v>7725564.4465591852</v>
      </c>
      <c r="BE130" s="72">
        <f t="shared" si="251"/>
        <v>10311888.808560001</v>
      </c>
      <c r="BF130" s="72">
        <f t="shared" si="251"/>
        <v>14839794.719189921</v>
      </c>
      <c r="BG130" s="72">
        <f>BG125+BG122</f>
        <v>21152644.472727984</v>
      </c>
      <c r="BH130" s="72">
        <f>BH125+BH122</f>
        <v>21117509.090749994</v>
      </c>
    </row>
    <row r="131" spans="2:60" x14ac:dyDescent="0.3">
      <c r="C131" s="39"/>
      <c r="D131" s="109"/>
      <c r="E131" s="39"/>
      <c r="F131" s="40"/>
      <c r="G131" s="131"/>
      <c r="H131" s="131">
        <f>H130/G130-1</f>
        <v>0.16618330677113424</v>
      </c>
      <c r="I131" s="131">
        <f>I130/H130-1</f>
        <v>0.33477480899828804</v>
      </c>
      <c r="J131" s="131">
        <f>J130/I130-1</f>
        <v>0.43909568796661791</v>
      </c>
      <c r="K131" s="131">
        <f>K130/J130-1</f>
        <v>0.42540007277692782</v>
      </c>
      <c r="L131" s="131">
        <f>L130/K130-1</f>
        <v>-1.6610396881245881E-3</v>
      </c>
      <c r="M131" s="131"/>
      <c r="O131" s="41"/>
      <c r="P131" s="40"/>
      <c r="Q131" s="40"/>
      <c r="R131" s="40"/>
      <c r="S131" s="40"/>
      <c r="T131" s="40"/>
      <c r="U131" s="40"/>
      <c r="V131" s="40"/>
      <c r="W131" s="131"/>
      <c r="Y131" s="41"/>
      <c r="Z131" s="40"/>
      <c r="AA131" s="40"/>
      <c r="AB131" s="40"/>
      <c r="AC131" s="40"/>
      <c r="AD131" s="40"/>
      <c r="AE131" s="40"/>
      <c r="AF131" s="40"/>
      <c r="AH131" s="41"/>
      <c r="AI131" s="40"/>
      <c r="AJ131" s="40"/>
      <c r="AK131" s="40"/>
      <c r="AL131" s="40"/>
      <c r="AM131" s="40"/>
      <c r="AN131" s="40"/>
      <c r="AO131" s="40"/>
      <c r="AQ131" s="41"/>
      <c r="AR131" s="40"/>
      <c r="AS131" s="40"/>
      <c r="AT131" s="40"/>
      <c r="AU131" s="40"/>
      <c r="AV131" s="40"/>
      <c r="AW131" s="40"/>
      <c r="AX131" s="40"/>
      <c r="AY131" s="131"/>
      <c r="BA131" s="41"/>
      <c r="BB131" s="40"/>
      <c r="BC131" s="40"/>
      <c r="BD131" s="40"/>
      <c r="BE131" s="40"/>
      <c r="BF131" s="40"/>
      <c r="BG131" s="40"/>
      <c r="BH131" s="40"/>
    </row>
    <row r="132" spans="2:60" x14ac:dyDescent="0.3">
      <c r="C132" s="39"/>
      <c r="D132" s="109"/>
      <c r="E132" s="39"/>
      <c r="F132" s="40"/>
      <c r="G132" s="131"/>
      <c r="H132" s="131"/>
      <c r="I132" s="131"/>
      <c r="J132" s="131"/>
      <c r="K132" s="131"/>
      <c r="L132" s="131"/>
      <c r="M132" s="131"/>
      <c r="O132" s="41"/>
      <c r="P132" s="40"/>
      <c r="Q132" s="40"/>
      <c r="R132" s="40"/>
      <c r="S132" s="40"/>
      <c r="T132" s="40"/>
      <c r="U132" s="40"/>
      <c r="V132" s="40"/>
      <c r="W132" s="131"/>
      <c r="Y132" s="41"/>
      <c r="Z132" s="40"/>
      <c r="AA132" s="40"/>
      <c r="AB132" s="40"/>
      <c r="AC132" s="40"/>
      <c r="AD132" s="40"/>
      <c r="AE132" s="40"/>
      <c r="AF132" s="40"/>
      <c r="AH132" s="41"/>
      <c r="AI132" s="40"/>
      <c r="AJ132" s="40"/>
      <c r="AK132" s="40"/>
      <c r="AL132" s="40"/>
      <c r="AM132" s="40"/>
      <c r="AN132" s="40"/>
      <c r="AO132" s="40"/>
      <c r="AQ132" s="41"/>
      <c r="AR132" s="40"/>
      <c r="AS132" s="40"/>
      <c r="AT132" s="40"/>
      <c r="AU132" s="40"/>
      <c r="AV132" s="40"/>
      <c r="AW132" s="40"/>
      <c r="AX132" s="40"/>
      <c r="AY132" s="131"/>
      <c r="BA132" s="41"/>
      <c r="BB132" s="40"/>
      <c r="BC132" s="40"/>
      <c r="BD132" s="40"/>
      <c r="BE132" s="40"/>
      <c r="BF132" s="40"/>
      <c r="BG132" s="40"/>
      <c r="BH132" s="40"/>
    </row>
    <row r="133" spans="2:60" x14ac:dyDescent="0.3">
      <c r="C133" s="39"/>
      <c r="D133" s="109"/>
      <c r="E133" s="39"/>
      <c r="F133" s="40"/>
      <c r="G133" s="131"/>
      <c r="H133" s="131"/>
      <c r="I133" s="131"/>
      <c r="J133" s="131"/>
      <c r="K133" s="219"/>
      <c r="L133" s="131"/>
      <c r="M133" s="131"/>
      <c r="O133" s="41"/>
      <c r="P133" s="40"/>
      <c r="Q133" s="40"/>
      <c r="R133" s="40"/>
      <c r="S133" s="40"/>
      <c r="T133" s="40"/>
      <c r="U133" s="40"/>
      <c r="V133" s="40"/>
      <c r="W133" s="131"/>
      <c r="Y133" s="41"/>
      <c r="Z133" s="40"/>
      <c r="AA133" s="40"/>
      <c r="AB133" s="40"/>
      <c r="AC133" s="40"/>
      <c r="AD133" s="40"/>
      <c r="AE133" s="40"/>
      <c r="AF133" s="40"/>
      <c r="AH133" s="41"/>
      <c r="AI133" s="40"/>
      <c r="AJ133" s="40"/>
      <c r="AK133" s="40"/>
      <c r="AL133" s="40"/>
      <c r="AM133" s="40"/>
      <c r="AN133" s="40"/>
      <c r="AO133" s="40"/>
      <c r="AQ133" s="41"/>
      <c r="AR133" s="40"/>
      <c r="AS133" s="40"/>
      <c r="AT133" s="40"/>
      <c r="AU133" s="40"/>
      <c r="AV133" s="40"/>
      <c r="AW133" s="40"/>
      <c r="AX133" s="40"/>
      <c r="AY133" s="131"/>
      <c r="BA133" s="41"/>
      <c r="BB133" s="40"/>
      <c r="BC133" s="40"/>
      <c r="BD133" s="40"/>
      <c r="BE133" s="40"/>
      <c r="BF133" s="40"/>
      <c r="BG133" s="40"/>
      <c r="BH133" s="40"/>
    </row>
    <row r="134" spans="2:60" s="85" customFormat="1" x14ac:dyDescent="0.3">
      <c r="B134" s="84"/>
      <c r="C134" s="63" t="s">
        <v>125</v>
      </c>
      <c r="D134" s="63"/>
      <c r="E134" s="63"/>
      <c r="F134" s="63"/>
      <c r="G134" s="63"/>
      <c r="H134" s="63"/>
      <c r="I134" s="63"/>
      <c r="J134" s="63"/>
      <c r="K134" s="63"/>
      <c r="L134" s="63"/>
      <c r="M134" s="186"/>
      <c r="O134" s="63"/>
      <c r="P134" s="63"/>
      <c r="Q134" s="63"/>
      <c r="R134" s="63"/>
      <c r="S134" s="63"/>
      <c r="T134" s="63"/>
      <c r="U134" s="63"/>
      <c r="V134" s="63"/>
      <c r="W134" s="186"/>
      <c r="Y134" s="63"/>
      <c r="Z134" s="63"/>
      <c r="AA134" s="63"/>
      <c r="AB134" s="63"/>
      <c r="AC134" s="63"/>
      <c r="AD134" s="63"/>
      <c r="AE134" s="63"/>
      <c r="AF134" s="63"/>
      <c r="AH134" s="63"/>
      <c r="AI134" s="63"/>
      <c r="AJ134" s="63"/>
      <c r="AK134" s="63"/>
      <c r="AL134" s="63"/>
      <c r="AM134" s="63"/>
      <c r="AN134" s="63"/>
      <c r="AO134" s="63"/>
      <c r="AQ134" s="63"/>
      <c r="AR134" s="63"/>
      <c r="AS134" s="63"/>
      <c r="AT134" s="63"/>
      <c r="AU134" s="63"/>
      <c r="AV134" s="63"/>
      <c r="AW134" s="63"/>
      <c r="AX134" s="63"/>
      <c r="AY134" s="186"/>
      <c r="AZ134" s="110"/>
      <c r="BA134" s="63"/>
      <c r="BB134" s="63"/>
      <c r="BC134" s="63"/>
      <c r="BD134" s="63"/>
      <c r="BE134" s="63"/>
      <c r="BF134" s="63"/>
      <c r="BG134" s="63"/>
      <c r="BH134" s="63"/>
    </row>
    <row r="135" spans="2:60" x14ac:dyDescent="0.3">
      <c r="C135" s="99" t="s">
        <v>124</v>
      </c>
      <c r="D135" s="125"/>
      <c r="E135" s="47"/>
      <c r="F135" s="47">
        <f t="shared" ref="F135:L135" si="252">SUM(F136:F141)</f>
        <v>2196461.9205100005</v>
      </c>
      <c r="G135" s="47">
        <f t="shared" si="252"/>
        <v>2774351.5852325493</v>
      </c>
      <c r="H135" s="47">
        <f t="shared" si="252"/>
        <v>3881725.1353676235</v>
      </c>
      <c r="I135" s="47">
        <f t="shared" si="252"/>
        <v>6253009.5316147991</v>
      </c>
      <c r="J135" s="47">
        <f t="shared" si="252"/>
        <v>11198780.254736399</v>
      </c>
      <c r="K135" s="47">
        <f t="shared" si="252"/>
        <v>16440120.962302491</v>
      </c>
      <c r="L135" s="47">
        <f t="shared" si="252"/>
        <v>11457407.821868639</v>
      </c>
      <c r="M135" s="173">
        <f t="shared" ref="M135:M141" si="253">L135/K135-1</f>
        <v>-0.30308251088050431</v>
      </c>
      <c r="O135" s="47">
        <f t="shared" ref="O135:V135" si="254">SUM(O136:O141)</f>
        <v>0</v>
      </c>
      <c r="P135" s="47">
        <f t="shared" si="254"/>
        <v>2196461.9205100005</v>
      </c>
      <c r="Q135" s="47">
        <f t="shared" si="254"/>
        <v>2774351.5852325493</v>
      </c>
      <c r="R135" s="47">
        <f t="shared" si="254"/>
        <v>3881725.1353676235</v>
      </c>
      <c r="S135" s="47">
        <f t="shared" si="254"/>
        <v>6253009.5316147991</v>
      </c>
      <c r="T135" s="47">
        <f t="shared" si="254"/>
        <v>11198780.254736399</v>
      </c>
      <c r="U135" s="47">
        <f t="shared" si="254"/>
        <v>16440120.962302491</v>
      </c>
      <c r="V135" s="47">
        <f t="shared" si="254"/>
        <v>11457407.821868639</v>
      </c>
      <c r="W135" s="173">
        <f t="shared" ref="W135:W141" si="255">V135/U135-1</f>
        <v>-0.30308251088050431</v>
      </c>
      <c r="Y135" s="47">
        <f t="shared" ref="Y135:AF135" si="256">SUM(Y136:Y141)</f>
        <v>0</v>
      </c>
      <c r="Z135" s="47">
        <f t="shared" si="256"/>
        <v>2196461.9205100005</v>
      </c>
      <c r="AA135" s="47">
        <f t="shared" si="256"/>
        <v>2774351.5852325493</v>
      </c>
      <c r="AB135" s="47">
        <f t="shared" si="256"/>
        <v>3881725.1353676235</v>
      </c>
      <c r="AC135" s="47">
        <f t="shared" si="256"/>
        <v>6253009.5316147991</v>
      </c>
      <c r="AD135" s="47">
        <f t="shared" si="256"/>
        <v>11198780.254736399</v>
      </c>
      <c r="AE135" s="47">
        <f t="shared" si="256"/>
        <v>16440120.962302491</v>
      </c>
      <c r="AF135" s="47">
        <f t="shared" si="256"/>
        <v>11457407.821868639</v>
      </c>
      <c r="AH135" s="47">
        <f t="shared" ref="AH135:AO135" si="257">SUM(AH136:AH141)</f>
        <v>0</v>
      </c>
      <c r="AI135" s="47">
        <f t="shared" si="257"/>
        <v>2196461.9205100005</v>
      </c>
      <c r="AJ135" s="47">
        <f t="shared" si="257"/>
        <v>2774351.5852325493</v>
      </c>
      <c r="AK135" s="47">
        <f t="shared" si="257"/>
        <v>3881725.1353676235</v>
      </c>
      <c r="AL135" s="47">
        <f t="shared" si="257"/>
        <v>6253009.5316147991</v>
      </c>
      <c r="AM135" s="47">
        <f t="shared" si="257"/>
        <v>11198780.254736399</v>
      </c>
      <c r="AN135" s="47">
        <f t="shared" si="257"/>
        <v>16440120.962302491</v>
      </c>
      <c r="AO135" s="47">
        <f t="shared" si="257"/>
        <v>11457407.821868639</v>
      </c>
      <c r="AQ135" s="47">
        <f t="shared" ref="AQ135:AX135" si="258">SUM(AQ136:AQ141)</f>
        <v>0</v>
      </c>
      <c r="AR135" s="47">
        <f t="shared" si="258"/>
        <v>2196461.9205100005</v>
      </c>
      <c r="AS135" s="47">
        <f t="shared" si="258"/>
        <v>2774351.5852325493</v>
      </c>
      <c r="AT135" s="47">
        <f t="shared" si="258"/>
        <v>3881725.1353676235</v>
      </c>
      <c r="AU135" s="47">
        <f t="shared" si="258"/>
        <v>6253009.5316147991</v>
      </c>
      <c r="AV135" s="47">
        <f t="shared" si="258"/>
        <v>11198780.254736399</v>
      </c>
      <c r="AW135" s="47">
        <f t="shared" si="258"/>
        <v>16440120.962302491</v>
      </c>
      <c r="AX135" s="47">
        <f t="shared" si="258"/>
        <v>11457407.821868639</v>
      </c>
      <c r="AY135" s="173">
        <f t="shared" ref="AY135:AY141" si="259">AX135/AW135-1</f>
        <v>-0.30308251088050431</v>
      </c>
      <c r="BA135" s="47">
        <f t="shared" ref="BA135:BH135" si="260">SUM(BA136:BA141)</f>
        <v>0</v>
      </c>
      <c r="BB135" s="47">
        <f t="shared" si="260"/>
        <v>2196461.9205100005</v>
      </c>
      <c r="BC135" s="47">
        <f t="shared" si="260"/>
        <v>2774351.5852325493</v>
      </c>
      <c r="BD135" s="47">
        <f t="shared" si="260"/>
        <v>3881725.1353676235</v>
      </c>
      <c r="BE135" s="47">
        <f t="shared" si="260"/>
        <v>6253009.5316147991</v>
      </c>
      <c r="BF135" s="47">
        <f t="shared" si="260"/>
        <v>11198780.254736399</v>
      </c>
      <c r="BG135" s="47">
        <f t="shared" si="260"/>
        <v>16440120.962302491</v>
      </c>
      <c r="BH135" s="47">
        <f t="shared" si="260"/>
        <v>11457407.821868639</v>
      </c>
    </row>
    <row r="136" spans="2:60" x14ac:dyDescent="0.3">
      <c r="C136" s="65" t="s">
        <v>117</v>
      </c>
      <c r="D136" s="77"/>
      <c r="E136" s="45"/>
      <c r="F136" s="97">
        <v>1581783.9539300003</v>
      </c>
      <c r="G136" s="97">
        <v>1854258.8894999998</v>
      </c>
      <c r="H136" s="97">
        <v>2911488.1744799991</v>
      </c>
      <c r="I136" s="97">
        <v>3990715.6713099992</v>
      </c>
      <c r="J136" s="97">
        <f>SUM('Quarterly I.S'!K136:N136)</f>
        <v>4666779.9133028798</v>
      </c>
      <c r="K136" s="97">
        <f>SUM('Quarterly I.S'!O136:R136)</f>
        <v>9254411.5040899999</v>
      </c>
      <c r="L136" s="97">
        <v>6185315.3169900002</v>
      </c>
      <c r="M136" s="190">
        <f t="shared" si="253"/>
        <v>-0.331636018751015</v>
      </c>
      <c r="N136" s="132"/>
      <c r="O136" s="67">
        <f t="shared" ref="O136:O141" si="261">$E136</f>
        <v>0</v>
      </c>
      <c r="P136" s="67">
        <f t="shared" ref="P136:P141" si="262">$F136</f>
        <v>1581783.9539300003</v>
      </c>
      <c r="Q136" s="67">
        <f t="shared" ref="Q136:Q141" si="263">$G136</f>
        <v>1854258.8894999998</v>
      </c>
      <c r="R136" s="67">
        <f t="shared" ref="R136:R141" si="264">$H136</f>
        <v>2911488.1744799991</v>
      </c>
      <c r="S136" s="67">
        <f t="shared" ref="S136:S141" si="265">$I136</f>
        <v>3990715.6713099992</v>
      </c>
      <c r="T136" s="67">
        <f t="shared" ref="T136:T141" si="266">$J136</f>
        <v>4666779.9133028798</v>
      </c>
      <c r="U136" s="67">
        <f t="shared" ref="U136:U141" si="267">$K136</f>
        <v>9254411.5040899999</v>
      </c>
      <c r="V136" s="67">
        <f t="shared" ref="V136:V141" si="268">$L136</f>
        <v>6185315.3169900002</v>
      </c>
      <c r="W136" s="190">
        <f t="shared" si="255"/>
        <v>-0.331636018751015</v>
      </c>
      <c r="X136" s="64"/>
      <c r="Y136" s="67">
        <f t="shared" ref="Y136:Y141" si="269">$E136</f>
        <v>0</v>
      </c>
      <c r="Z136" s="67">
        <f t="shared" ref="Z136:Z141" si="270">$F136</f>
        <v>1581783.9539300003</v>
      </c>
      <c r="AA136" s="67">
        <f t="shared" ref="AA136:AA141" si="271">$G136</f>
        <v>1854258.8894999998</v>
      </c>
      <c r="AB136" s="67">
        <f t="shared" ref="AB136:AB141" si="272">$H136</f>
        <v>2911488.1744799991</v>
      </c>
      <c r="AC136" s="67">
        <f t="shared" ref="AC136:AC141" si="273">$I136</f>
        <v>3990715.6713099992</v>
      </c>
      <c r="AD136" s="67">
        <f t="shared" ref="AD136:AD141" si="274">$J136</f>
        <v>4666779.9133028798</v>
      </c>
      <c r="AE136" s="67">
        <f t="shared" ref="AE136:AE141" si="275">$K136</f>
        <v>9254411.5040899999</v>
      </c>
      <c r="AF136" s="67">
        <f t="shared" ref="AF136:AF141" si="276">$L136</f>
        <v>6185315.3169900002</v>
      </c>
      <c r="AG136" s="64"/>
      <c r="AH136" s="67">
        <f t="shared" ref="AH136:AH141" si="277">$E136</f>
        <v>0</v>
      </c>
      <c r="AI136" s="67">
        <f t="shared" ref="AI136:AI141" si="278">$F136</f>
        <v>1581783.9539300003</v>
      </c>
      <c r="AJ136" s="67">
        <f t="shared" ref="AJ136:AJ141" si="279">$G136</f>
        <v>1854258.8894999998</v>
      </c>
      <c r="AK136" s="67">
        <f t="shared" ref="AK136:AK141" si="280">$H136</f>
        <v>2911488.1744799991</v>
      </c>
      <c r="AL136" s="67">
        <f t="shared" ref="AL136:AL141" si="281">$I136</f>
        <v>3990715.6713099992</v>
      </c>
      <c r="AM136" s="67">
        <f t="shared" ref="AM136:AM141" si="282">$J136</f>
        <v>4666779.9133028798</v>
      </c>
      <c r="AN136" s="67">
        <f t="shared" ref="AN136:AN141" si="283">$K136</f>
        <v>9254411.5040899999</v>
      </c>
      <c r="AO136" s="67">
        <f t="shared" ref="AO136:AO141" si="284">$L136</f>
        <v>6185315.3169900002</v>
      </c>
      <c r="AP136" s="64"/>
      <c r="AQ136" s="67">
        <f t="shared" ref="AQ136:AQ141" si="285">$E136</f>
        <v>0</v>
      </c>
      <c r="AR136" s="67">
        <f t="shared" ref="AR136:AR141" si="286">$F136</f>
        <v>1581783.9539300003</v>
      </c>
      <c r="AS136" s="67">
        <f t="shared" ref="AS136:AS141" si="287">$G136</f>
        <v>1854258.8894999998</v>
      </c>
      <c r="AT136" s="67">
        <f t="shared" ref="AT136:AT141" si="288">$H136</f>
        <v>2911488.1744799991</v>
      </c>
      <c r="AU136" s="67">
        <f t="shared" ref="AU136:AU141" si="289">$I136</f>
        <v>3990715.6713099992</v>
      </c>
      <c r="AV136" s="67">
        <f t="shared" ref="AV136:AV141" si="290">$J136</f>
        <v>4666779.9133028798</v>
      </c>
      <c r="AW136" s="67">
        <f t="shared" ref="AW136:AW141" si="291">$K136</f>
        <v>9254411.5040899999</v>
      </c>
      <c r="AX136" s="67">
        <f t="shared" ref="AX136:AX141" si="292">$L136</f>
        <v>6185315.3169900002</v>
      </c>
      <c r="AY136" s="190">
        <f t="shared" si="259"/>
        <v>-0.331636018751015</v>
      </c>
      <c r="AZ136" s="64"/>
      <c r="BA136" s="67">
        <f t="shared" ref="BA136:BA141" si="293">$E136</f>
        <v>0</v>
      </c>
      <c r="BB136" s="67">
        <f t="shared" ref="BB136:BB141" si="294">$F136</f>
        <v>1581783.9539300003</v>
      </c>
      <c r="BC136" s="67">
        <f t="shared" ref="BC136:BC141" si="295">$G136</f>
        <v>1854258.8894999998</v>
      </c>
      <c r="BD136" s="67">
        <f t="shared" ref="BD136:BD141" si="296">$H136</f>
        <v>2911488.1744799991</v>
      </c>
      <c r="BE136" s="67">
        <f t="shared" ref="BE136:BE141" si="297">$I136</f>
        <v>3990715.6713099992</v>
      </c>
      <c r="BF136" s="67">
        <f t="shared" ref="BF136:BF141" si="298">$J136</f>
        <v>4666779.9133028798</v>
      </c>
      <c r="BG136" s="67">
        <f t="shared" ref="BG136:BG141" si="299">$K136</f>
        <v>9254411.5040899999</v>
      </c>
      <c r="BH136" s="67">
        <f t="shared" ref="BH136:BH141" si="300">$L136</f>
        <v>6185315.3169900002</v>
      </c>
    </row>
    <row r="137" spans="2:60" x14ac:dyDescent="0.3">
      <c r="C137" s="65" t="s">
        <v>119</v>
      </c>
      <c r="D137" s="77"/>
      <c r="E137" s="45"/>
      <c r="F137" s="97">
        <v>93182.125</v>
      </c>
      <c r="G137" s="97">
        <v>310667.73733000003</v>
      </c>
      <c r="H137" s="97">
        <v>395920.80865000002</v>
      </c>
      <c r="I137" s="97">
        <v>627469.91358000005</v>
      </c>
      <c r="J137" s="97">
        <f>SUM('Quarterly I.S'!K137:N137)</f>
        <v>748260.66373862</v>
      </c>
      <c r="K137" s="97">
        <f>SUM('Quarterly I.S'!O137:R137)</f>
        <v>866911.69099999988</v>
      </c>
      <c r="L137" s="97">
        <v>1099712.76706</v>
      </c>
      <c r="M137" s="190">
        <f t="shared" si="253"/>
        <v>0.26854070429187482</v>
      </c>
      <c r="N137" s="132"/>
      <c r="O137" s="67">
        <f t="shared" si="261"/>
        <v>0</v>
      </c>
      <c r="P137" s="67">
        <f t="shared" si="262"/>
        <v>93182.125</v>
      </c>
      <c r="Q137" s="67">
        <f t="shared" si="263"/>
        <v>310667.73733000003</v>
      </c>
      <c r="R137" s="67">
        <f t="shared" si="264"/>
        <v>395920.80865000002</v>
      </c>
      <c r="S137" s="67">
        <f t="shared" si="265"/>
        <v>627469.91358000005</v>
      </c>
      <c r="T137" s="67">
        <f t="shared" si="266"/>
        <v>748260.66373862</v>
      </c>
      <c r="U137" s="67">
        <f t="shared" si="267"/>
        <v>866911.69099999988</v>
      </c>
      <c r="V137" s="67">
        <f t="shared" si="268"/>
        <v>1099712.76706</v>
      </c>
      <c r="W137" s="190">
        <f t="shared" si="255"/>
        <v>0.26854070429187482</v>
      </c>
      <c r="X137" s="64"/>
      <c r="Y137" s="67">
        <f t="shared" si="269"/>
        <v>0</v>
      </c>
      <c r="Z137" s="67">
        <f t="shared" si="270"/>
        <v>93182.125</v>
      </c>
      <c r="AA137" s="67">
        <f t="shared" si="271"/>
        <v>310667.73733000003</v>
      </c>
      <c r="AB137" s="67">
        <f t="shared" si="272"/>
        <v>395920.80865000002</v>
      </c>
      <c r="AC137" s="67">
        <f t="shared" si="273"/>
        <v>627469.91358000005</v>
      </c>
      <c r="AD137" s="67">
        <f t="shared" si="274"/>
        <v>748260.66373862</v>
      </c>
      <c r="AE137" s="67">
        <f t="shared" si="275"/>
        <v>866911.69099999988</v>
      </c>
      <c r="AF137" s="67">
        <f t="shared" si="276"/>
        <v>1099712.76706</v>
      </c>
      <c r="AG137" s="64"/>
      <c r="AH137" s="67">
        <f t="shared" si="277"/>
        <v>0</v>
      </c>
      <c r="AI137" s="67">
        <f t="shared" si="278"/>
        <v>93182.125</v>
      </c>
      <c r="AJ137" s="67">
        <f t="shared" si="279"/>
        <v>310667.73733000003</v>
      </c>
      <c r="AK137" s="67">
        <f t="shared" si="280"/>
        <v>395920.80865000002</v>
      </c>
      <c r="AL137" s="67">
        <f t="shared" si="281"/>
        <v>627469.91358000005</v>
      </c>
      <c r="AM137" s="67">
        <f t="shared" si="282"/>
        <v>748260.66373862</v>
      </c>
      <c r="AN137" s="67">
        <f t="shared" si="283"/>
        <v>866911.69099999988</v>
      </c>
      <c r="AO137" s="67">
        <f t="shared" si="284"/>
        <v>1099712.76706</v>
      </c>
      <c r="AP137" s="64"/>
      <c r="AQ137" s="67">
        <f t="shared" si="285"/>
        <v>0</v>
      </c>
      <c r="AR137" s="67">
        <f t="shared" si="286"/>
        <v>93182.125</v>
      </c>
      <c r="AS137" s="67">
        <f t="shared" si="287"/>
        <v>310667.73733000003</v>
      </c>
      <c r="AT137" s="67">
        <f t="shared" si="288"/>
        <v>395920.80865000002</v>
      </c>
      <c r="AU137" s="67">
        <f t="shared" si="289"/>
        <v>627469.91358000005</v>
      </c>
      <c r="AV137" s="67">
        <f t="shared" si="290"/>
        <v>748260.66373862</v>
      </c>
      <c r="AW137" s="67">
        <f t="shared" si="291"/>
        <v>866911.69099999988</v>
      </c>
      <c r="AX137" s="67">
        <f t="shared" si="292"/>
        <v>1099712.76706</v>
      </c>
      <c r="AY137" s="190">
        <f t="shared" si="259"/>
        <v>0.26854070429187482</v>
      </c>
      <c r="AZ137" s="64"/>
      <c r="BA137" s="67">
        <f t="shared" si="293"/>
        <v>0</v>
      </c>
      <c r="BB137" s="67">
        <f t="shared" si="294"/>
        <v>93182.125</v>
      </c>
      <c r="BC137" s="67">
        <f t="shared" si="295"/>
        <v>310667.73733000003</v>
      </c>
      <c r="BD137" s="67">
        <f t="shared" si="296"/>
        <v>395920.80865000002</v>
      </c>
      <c r="BE137" s="67">
        <f t="shared" si="297"/>
        <v>627469.91358000005</v>
      </c>
      <c r="BF137" s="67">
        <f t="shared" si="298"/>
        <v>748260.66373862</v>
      </c>
      <c r="BG137" s="67">
        <f t="shared" si="299"/>
        <v>866911.69099999988</v>
      </c>
      <c r="BH137" s="67">
        <f t="shared" si="300"/>
        <v>1099712.76706</v>
      </c>
    </row>
    <row r="138" spans="2:60" x14ac:dyDescent="0.3">
      <c r="C138" s="65" t="s">
        <v>118</v>
      </c>
      <c r="D138" s="77"/>
      <c r="E138" s="45"/>
      <c r="F138" s="97">
        <v>133168.37248999998</v>
      </c>
      <c r="G138" s="97">
        <v>137310.25101999985</v>
      </c>
      <c r="H138" s="97">
        <v>151231.54882999987</v>
      </c>
      <c r="I138" s="97">
        <v>586510.08229666669</v>
      </c>
      <c r="J138" s="97">
        <f>SUM('Quarterly I.S'!K138:N138)</f>
        <v>2616780.3220949993</v>
      </c>
      <c r="K138" s="97">
        <f>SUM('Quarterly I.S'!O138:R138)</f>
        <v>3700343.8891168106</v>
      </c>
      <c r="L138" s="97">
        <v>1756707.4046299998</v>
      </c>
      <c r="M138" s="190">
        <f t="shared" si="253"/>
        <v>-0.5252583388812313</v>
      </c>
      <c r="N138" s="132"/>
      <c r="O138" s="67">
        <f t="shared" si="261"/>
        <v>0</v>
      </c>
      <c r="P138" s="67">
        <f t="shared" si="262"/>
        <v>133168.37248999998</v>
      </c>
      <c r="Q138" s="67">
        <f t="shared" si="263"/>
        <v>137310.25101999985</v>
      </c>
      <c r="R138" s="67">
        <f t="shared" si="264"/>
        <v>151231.54882999987</v>
      </c>
      <c r="S138" s="67">
        <f t="shared" si="265"/>
        <v>586510.08229666669</v>
      </c>
      <c r="T138" s="67">
        <f t="shared" si="266"/>
        <v>2616780.3220949993</v>
      </c>
      <c r="U138" s="67">
        <f t="shared" si="267"/>
        <v>3700343.8891168106</v>
      </c>
      <c r="V138" s="67">
        <f t="shared" si="268"/>
        <v>1756707.4046299998</v>
      </c>
      <c r="W138" s="190">
        <f t="shared" si="255"/>
        <v>-0.5252583388812313</v>
      </c>
      <c r="X138" s="64"/>
      <c r="Y138" s="67">
        <f t="shared" si="269"/>
        <v>0</v>
      </c>
      <c r="Z138" s="67">
        <f t="shared" si="270"/>
        <v>133168.37248999998</v>
      </c>
      <c r="AA138" s="67">
        <f t="shared" si="271"/>
        <v>137310.25101999985</v>
      </c>
      <c r="AB138" s="67">
        <f t="shared" si="272"/>
        <v>151231.54882999987</v>
      </c>
      <c r="AC138" s="67">
        <f t="shared" si="273"/>
        <v>586510.08229666669</v>
      </c>
      <c r="AD138" s="67">
        <f t="shared" si="274"/>
        <v>2616780.3220949993</v>
      </c>
      <c r="AE138" s="67">
        <f t="shared" si="275"/>
        <v>3700343.8891168106</v>
      </c>
      <c r="AF138" s="67">
        <f t="shared" si="276"/>
        <v>1756707.4046299998</v>
      </c>
      <c r="AG138" s="64"/>
      <c r="AH138" s="67">
        <f t="shared" si="277"/>
        <v>0</v>
      </c>
      <c r="AI138" s="67">
        <f t="shared" si="278"/>
        <v>133168.37248999998</v>
      </c>
      <c r="AJ138" s="67">
        <f t="shared" si="279"/>
        <v>137310.25101999985</v>
      </c>
      <c r="AK138" s="67">
        <f t="shared" si="280"/>
        <v>151231.54882999987</v>
      </c>
      <c r="AL138" s="67">
        <f t="shared" si="281"/>
        <v>586510.08229666669</v>
      </c>
      <c r="AM138" s="67">
        <f t="shared" si="282"/>
        <v>2616780.3220949993</v>
      </c>
      <c r="AN138" s="67">
        <f t="shared" si="283"/>
        <v>3700343.8891168106</v>
      </c>
      <c r="AO138" s="67">
        <f t="shared" si="284"/>
        <v>1756707.4046299998</v>
      </c>
      <c r="AP138" s="64"/>
      <c r="AQ138" s="67">
        <f t="shared" si="285"/>
        <v>0</v>
      </c>
      <c r="AR138" s="67">
        <f t="shared" si="286"/>
        <v>133168.37248999998</v>
      </c>
      <c r="AS138" s="67">
        <f t="shared" si="287"/>
        <v>137310.25101999985</v>
      </c>
      <c r="AT138" s="67">
        <f t="shared" si="288"/>
        <v>151231.54882999987</v>
      </c>
      <c r="AU138" s="67">
        <f t="shared" si="289"/>
        <v>586510.08229666669</v>
      </c>
      <c r="AV138" s="67">
        <f t="shared" si="290"/>
        <v>2616780.3220949993</v>
      </c>
      <c r="AW138" s="67">
        <f t="shared" si="291"/>
        <v>3700343.8891168106</v>
      </c>
      <c r="AX138" s="67">
        <f t="shared" si="292"/>
        <v>1756707.4046299998</v>
      </c>
      <c r="AY138" s="190">
        <f t="shared" si="259"/>
        <v>-0.5252583388812313</v>
      </c>
      <c r="AZ138" s="64"/>
      <c r="BA138" s="67">
        <f t="shared" si="293"/>
        <v>0</v>
      </c>
      <c r="BB138" s="67">
        <f t="shared" si="294"/>
        <v>133168.37248999998</v>
      </c>
      <c r="BC138" s="67">
        <f t="shared" si="295"/>
        <v>137310.25101999985</v>
      </c>
      <c r="BD138" s="67">
        <f t="shared" si="296"/>
        <v>151231.54882999987</v>
      </c>
      <c r="BE138" s="67">
        <f t="shared" si="297"/>
        <v>586510.08229666669</v>
      </c>
      <c r="BF138" s="67">
        <f t="shared" si="298"/>
        <v>2616780.3220949993</v>
      </c>
      <c r="BG138" s="67">
        <f t="shared" si="299"/>
        <v>3700343.8891168106</v>
      </c>
      <c r="BH138" s="67">
        <f t="shared" si="300"/>
        <v>1756707.4046299998</v>
      </c>
    </row>
    <row r="139" spans="2:60" x14ac:dyDescent="0.3">
      <c r="C139" s="65" t="s">
        <v>120</v>
      </c>
      <c r="D139" s="77"/>
      <c r="E139" s="45"/>
      <c r="F139" s="97">
        <v>308008.81477</v>
      </c>
      <c r="G139" s="97">
        <v>244905.14150999999</v>
      </c>
      <c r="H139" s="97">
        <v>108134.70762999999</v>
      </c>
      <c r="I139" s="97">
        <v>425613.73948000005</v>
      </c>
      <c r="J139" s="97">
        <f>SUM('Quarterly I.S'!K139:N139)</f>
        <v>800297.30590489996</v>
      </c>
      <c r="K139" s="97">
        <f>SUM('Quarterly I.S'!O139:R139)</f>
        <v>446000.62420568004</v>
      </c>
      <c r="L139" s="97">
        <v>386709.42340864002</v>
      </c>
      <c r="M139" s="190">
        <f t="shared" si="253"/>
        <v>-0.1329397260432913</v>
      </c>
      <c r="N139" s="132"/>
      <c r="O139" s="67">
        <f t="shared" si="261"/>
        <v>0</v>
      </c>
      <c r="P139" s="67">
        <f t="shared" si="262"/>
        <v>308008.81477</v>
      </c>
      <c r="Q139" s="67">
        <f t="shared" si="263"/>
        <v>244905.14150999999</v>
      </c>
      <c r="R139" s="67">
        <f t="shared" si="264"/>
        <v>108134.70762999999</v>
      </c>
      <c r="S139" s="67">
        <f t="shared" si="265"/>
        <v>425613.73948000005</v>
      </c>
      <c r="T139" s="67">
        <f t="shared" si="266"/>
        <v>800297.30590489996</v>
      </c>
      <c r="U139" s="67">
        <f t="shared" si="267"/>
        <v>446000.62420568004</v>
      </c>
      <c r="V139" s="67">
        <f t="shared" si="268"/>
        <v>386709.42340864002</v>
      </c>
      <c r="W139" s="190">
        <f t="shared" si="255"/>
        <v>-0.1329397260432913</v>
      </c>
      <c r="X139" s="64"/>
      <c r="Y139" s="67">
        <f t="shared" si="269"/>
        <v>0</v>
      </c>
      <c r="Z139" s="67">
        <f t="shared" si="270"/>
        <v>308008.81477</v>
      </c>
      <c r="AA139" s="67">
        <f t="shared" si="271"/>
        <v>244905.14150999999</v>
      </c>
      <c r="AB139" s="67">
        <f t="shared" si="272"/>
        <v>108134.70762999999</v>
      </c>
      <c r="AC139" s="67">
        <f t="shared" si="273"/>
        <v>425613.73948000005</v>
      </c>
      <c r="AD139" s="67">
        <f t="shared" si="274"/>
        <v>800297.30590489996</v>
      </c>
      <c r="AE139" s="67">
        <f t="shared" si="275"/>
        <v>446000.62420568004</v>
      </c>
      <c r="AF139" s="67">
        <f t="shared" si="276"/>
        <v>386709.42340864002</v>
      </c>
      <c r="AG139" s="64"/>
      <c r="AH139" s="67">
        <f t="shared" si="277"/>
        <v>0</v>
      </c>
      <c r="AI139" s="67">
        <f t="shared" si="278"/>
        <v>308008.81477</v>
      </c>
      <c r="AJ139" s="67">
        <f t="shared" si="279"/>
        <v>244905.14150999999</v>
      </c>
      <c r="AK139" s="67">
        <f t="shared" si="280"/>
        <v>108134.70762999999</v>
      </c>
      <c r="AL139" s="67">
        <f t="shared" si="281"/>
        <v>425613.73948000005</v>
      </c>
      <c r="AM139" s="67">
        <f t="shared" si="282"/>
        <v>800297.30590489996</v>
      </c>
      <c r="AN139" s="67">
        <f t="shared" si="283"/>
        <v>446000.62420568004</v>
      </c>
      <c r="AO139" s="67">
        <f t="shared" si="284"/>
        <v>386709.42340864002</v>
      </c>
      <c r="AP139" s="64"/>
      <c r="AQ139" s="67">
        <f t="shared" si="285"/>
        <v>0</v>
      </c>
      <c r="AR139" s="67">
        <f t="shared" si="286"/>
        <v>308008.81477</v>
      </c>
      <c r="AS139" s="67">
        <f t="shared" si="287"/>
        <v>244905.14150999999</v>
      </c>
      <c r="AT139" s="67">
        <f t="shared" si="288"/>
        <v>108134.70762999999</v>
      </c>
      <c r="AU139" s="67">
        <f t="shared" si="289"/>
        <v>425613.73948000005</v>
      </c>
      <c r="AV139" s="67">
        <f t="shared" si="290"/>
        <v>800297.30590489996</v>
      </c>
      <c r="AW139" s="67">
        <f t="shared" si="291"/>
        <v>446000.62420568004</v>
      </c>
      <c r="AX139" s="67">
        <f t="shared" si="292"/>
        <v>386709.42340864002</v>
      </c>
      <c r="AY139" s="190">
        <f t="shared" si="259"/>
        <v>-0.1329397260432913</v>
      </c>
      <c r="AZ139" s="64"/>
      <c r="BA139" s="67">
        <f t="shared" si="293"/>
        <v>0</v>
      </c>
      <c r="BB139" s="67">
        <f t="shared" si="294"/>
        <v>308008.81477</v>
      </c>
      <c r="BC139" s="67">
        <f t="shared" si="295"/>
        <v>244905.14150999999</v>
      </c>
      <c r="BD139" s="67">
        <f t="shared" si="296"/>
        <v>108134.70762999999</v>
      </c>
      <c r="BE139" s="67">
        <f t="shared" si="297"/>
        <v>425613.73948000005</v>
      </c>
      <c r="BF139" s="67">
        <f t="shared" si="298"/>
        <v>800297.30590489996</v>
      </c>
      <c r="BG139" s="67">
        <f t="shared" si="299"/>
        <v>446000.62420568004</v>
      </c>
      <c r="BH139" s="67">
        <f t="shared" si="300"/>
        <v>386709.42340864002</v>
      </c>
    </row>
    <row r="140" spans="2:60" x14ac:dyDescent="0.3">
      <c r="C140" s="65" t="s">
        <v>248</v>
      </c>
      <c r="D140" s="77"/>
      <c r="E140" s="45"/>
      <c r="F140" s="97">
        <v>80318.654319999987</v>
      </c>
      <c r="G140" s="97">
        <v>136133.43192</v>
      </c>
      <c r="H140" s="97">
        <v>124476.61504901244</v>
      </c>
      <c r="I140" s="97">
        <v>205786.42727776596</v>
      </c>
      <c r="J140" s="97">
        <f>SUM('Quarterly I.S'!K140:N140)</f>
        <v>556268.39348999993</v>
      </c>
      <c r="K140" s="97">
        <f>SUM('Quarterly I.S'!O140:R140)</f>
        <v>651070.13180999993</v>
      </c>
      <c r="L140" s="97">
        <v>163451.82834000001</v>
      </c>
      <c r="M140" s="190">
        <f t="shared" si="253"/>
        <v>-0.74894896823849422</v>
      </c>
      <c r="N140" s="132"/>
      <c r="O140" s="67">
        <f t="shared" si="261"/>
        <v>0</v>
      </c>
      <c r="P140" s="67">
        <f t="shared" si="262"/>
        <v>80318.654319999987</v>
      </c>
      <c r="Q140" s="67">
        <f t="shared" si="263"/>
        <v>136133.43192</v>
      </c>
      <c r="R140" s="67">
        <f t="shared" si="264"/>
        <v>124476.61504901244</v>
      </c>
      <c r="S140" s="67">
        <f t="shared" si="265"/>
        <v>205786.42727776596</v>
      </c>
      <c r="T140" s="67">
        <f t="shared" si="266"/>
        <v>556268.39348999993</v>
      </c>
      <c r="U140" s="67">
        <f t="shared" si="267"/>
        <v>651070.13180999993</v>
      </c>
      <c r="V140" s="67">
        <f t="shared" si="268"/>
        <v>163451.82834000001</v>
      </c>
      <c r="W140" s="190">
        <f t="shared" si="255"/>
        <v>-0.74894896823849422</v>
      </c>
      <c r="X140" s="64"/>
      <c r="Y140" s="67">
        <f t="shared" si="269"/>
        <v>0</v>
      </c>
      <c r="Z140" s="67">
        <f t="shared" si="270"/>
        <v>80318.654319999987</v>
      </c>
      <c r="AA140" s="67">
        <f t="shared" si="271"/>
        <v>136133.43192</v>
      </c>
      <c r="AB140" s="67">
        <f t="shared" si="272"/>
        <v>124476.61504901244</v>
      </c>
      <c r="AC140" s="67">
        <f t="shared" si="273"/>
        <v>205786.42727776596</v>
      </c>
      <c r="AD140" s="67">
        <f t="shared" si="274"/>
        <v>556268.39348999993</v>
      </c>
      <c r="AE140" s="67">
        <f t="shared" si="275"/>
        <v>651070.13180999993</v>
      </c>
      <c r="AF140" s="67">
        <f t="shared" si="276"/>
        <v>163451.82834000001</v>
      </c>
      <c r="AG140" s="64"/>
      <c r="AH140" s="67">
        <f t="shared" si="277"/>
        <v>0</v>
      </c>
      <c r="AI140" s="67">
        <f t="shared" si="278"/>
        <v>80318.654319999987</v>
      </c>
      <c r="AJ140" s="67">
        <f t="shared" si="279"/>
        <v>136133.43192</v>
      </c>
      <c r="AK140" s="67">
        <f t="shared" si="280"/>
        <v>124476.61504901244</v>
      </c>
      <c r="AL140" s="67">
        <f t="shared" si="281"/>
        <v>205786.42727776596</v>
      </c>
      <c r="AM140" s="67">
        <f t="shared" si="282"/>
        <v>556268.39348999993</v>
      </c>
      <c r="AN140" s="67">
        <f t="shared" si="283"/>
        <v>651070.13180999993</v>
      </c>
      <c r="AO140" s="67">
        <f t="shared" si="284"/>
        <v>163451.82834000001</v>
      </c>
      <c r="AP140" s="64"/>
      <c r="AQ140" s="67">
        <f t="shared" si="285"/>
        <v>0</v>
      </c>
      <c r="AR140" s="67">
        <f t="shared" si="286"/>
        <v>80318.654319999987</v>
      </c>
      <c r="AS140" s="67">
        <f t="shared" si="287"/>
        <v>136133.43192</v>
      </c>
      <c r="AT140" s="67">
        <f t="shared" si="288"/>
        <v>124476.61504901244</v>
      </c>
      <c r="AU140" s="67">
        <f t="shared" si="289"/>
        <v>205786.42727776596</v>
      </c>
      <c r="AV140" s="67">
        <f t="shared" si="290"/>
        <v>556268.39348999993</v>
      </c>
      <c r="AW140" s="67">
        <f t="shared" si="291"/>
        <v>651070.13180999993</v>
      </c>
      <c r="AX140" s="67">
        <f t="shared" si="292"/>
        <v>163451.82834000001</v>
      </c>
      <c r="AY140" s="190">
        <f t="shared" si="259"/>
        <v>-0.74894896823849422</v>
      </c>
      <c r="AZ140" s="64"/>
      <c r="BA140" s="67">
        <f t="shared" si="293"/>
        <v>0</v>
      </c>
      <c r="BB140" s="67">
        <f t="shared" si="294"/>
        <v>80318.654319999987</v>
      </c>
      <c r="BC140" s="67">
        <f t="shared" si="295"/>
        <v>136133.43192</v>
      </c>
      <c r="BD140" s="67">
        <f t="shared" si="296"/>
        <v>124476.61504901244</v>
      </c>
      <c r="BE140" s="67">
        <f t="shared" si="297"/>
        <v>205786.42727776596</v>
      </c>
      <c r="BF140" s="67">
        <f t="shared" si="298"/>
        <v>556268.39348999993</v>
      </c>
      <c r="BG140" s="67">
        <f t="shared" si="299"/>
        <v>651070.13180999993</v>
      </c>
      <c r="BH140" s="67">
        <f t="shared" si="300"/>
        <v>163451.82834000001</v>
      </c>
    </row>
    <row r="141" spans="2:60" x14ac:dyDescent="0.3">
      <c r="C141" s="65" t="s">
        <v>168</v>
      </c>
      <c r="D141" s="77"/>
      <c r="E141" s="45"/>
      <c r="F141" s="97">
        <v>0</v>
      </c>
      <c r="G141" s="97">
        <v>91076.133952549702</v>
      </c>
      <c r="H141" s="97">
        <v>190473.2807286123</v>
      </c>
      <c r="I141" s="97">
        <v>416913.69767036667</v>
      </c>
      <c r="J141" s="97">
        <f>SUM('Quarterly I.S'!K141:N141)</f>
        <v>1810393.6562050001</v>
      </c>
      <c r="K141" s="97">
        <f>SUM('Quarterly I.S'!O141:R141)</f>
        <v>1521383.1220799999</v>
      </c>
      <c r="L141" s="97">
        <v>1865511.0814400001</v>
      </c>
      <c r="M141" s="190">
        <f t="shared" si="253"/>
        <v>0.22619414818373729</v>
      </c>
      <c r="N141" s="132"/>
      <c r="O141" s="67">
        <f t="shared" si="261"/>
        <v>0</v>
      </c>
      <c r="P141" s="67">
        <f t="shared" si="262"/>
        <v>0</v>
      </c>
      <c r="Q141" s="67">
        <f t="shared" si="263"/>
        <v>91076.133952549702</v>
      </c>
      <c r="R141" s="67">
        <f t="shared" si="264"/>
        <v>190473.2807286123</v>
      </c>
      <c r="S141" s="67">
        <f t="shared" si="265"/>
        <v>416913.69767036667</v>
      </c>
      <c r="T141" s="67">
        <f t="shared" si="266"/>
        <v>1810393.6562050001</v>
      </c>
      <c r="U141" s="67">
        <f t="shared" si="267"/>
        <v>1521383.1220799999</v>
      </c>
      <c r="V141" s="67">
        <f t="shared" si="268"/>
        <v>1865511.0814400001</v>
      </c>
      <c r="W141" s="190">
        <f t="shared" si="255"/>
        <v>0.22619414818373729</v>
      </c>
      <c r="X141" s="64"/>
      <c r="Y141" s="67">
        <f t="shared" si="269"/>
        <v>0</v>
      </c>
      <c r="Z141" s="67">
        <f t="shared" si="270"/>
        <v>0</v>
      </c>
      <c r="AA141" s="67">
        <f t="shared" si="271"/>
        <v>91076.133952549702</v>
      </c>
      <c r="AB141" s="67">
        <f t="shared" si="272"/>
        <v>190473.2807286123</v>
      </c>
      <c r="AC141" s="67">
        <f t="shared" si="273"/>
        <v>416913.69767036667</v>
      </c>
      <c r="AD141" s="67">
        <f t="shared" si="274"/>
        <v>1810393.6562050001</v>
      </c>
      <c r="AE141" s="67">
        <f t="shared" si="275"/>
        <v>1521383.1220799999</v>
      </c>
      <c r="AF141" s="67">
        <f t="shared" si="276"/>
        <v>1865511.0814400001</v>
      </c>
      <c r="AG141" s="64"/>
      <c r="AH141" s="67">
        <f t="shared" si="277"/>
        <v>0</v>
      </c>
      <c r="AI141" s="67">
        <f t="shared" si="278"/>
        <v>0</v>
      </c>
      <c r="AJ141" s="67">
        <f t="shared" si="279"/>
        <v>91076.133952549702</v>
      </c>
      <c r="AK141" s="67">
        <f t="shared" si="280"/>
        <v>190473.2807286123</v>
      </c>
      <c r="AL141" s="67">
        <f t="shared" si="281"/>
        <v>416913.69767036667</v>
      </c>
      <c r="AM141" s="67">
        <f t="shared" si="282"/>
        <v>1810393.6562050001</v>
      </c>
      <c r="AN141" s="67">
        <f t="shared" si="283"/>
        <v>1521383.1220799999</v>
      </c>
      <c r="AO141" s="67">
        <f t="shared" si="284"/>
        <v>1865511.0814400001</v>
      </c>
      <c r="AP141" s="64"/>
      <c r="AQ141" s="67">
        <f t="shared" si="285"/>
        <v>0</v>
      </c>
      <c r="AR141" s="67">
        <f t="shared" si="286"/>
        <v>0</v>
      </c>
      <c r="AS141" s="67">
        <f t="shared" si="287"/>
        <v>91076.133952549702</v>
      </c>
      <c r="AT141" s="67">
        <f t="shared" si="288"/>
        <v>190473.2807286123</v>
      </c>
      <c r="AU141" s="67">
        <f t="shared" si="289"/>
        <v>416913.69767036667</v>
      </c>
      <c r="AV141" s="67">
        <f t="shared" si="290"/>
        <v>1810393.6562050001</v>
      </c>
      <c r="AW141" s="67">
        <f t="shared" si="291"/>
        <v>1521383.1220799999</v>
      </c>
      <c r="AX141" s="67">
        <f t="shared" si="292"/>
        <v>1865511.0814400001</v>
      </c>
      <c r="AY141" s="190">
        <f t="shared" si="259"/>
        <v>0.22619414818373729</v>
      </c>
      <c r="AZ141" s="64"/>
      <c r="BA141" s="67">
        <f t="shared" si="293"/>
        <v>0</v>
      </c>
      <c r="BB141" s="67">
        <f t="shared" si="294"/>
        <v>0</v>
      </c>
      <c r="BC141" s="67">
        <f t="shared" si="295"/>
        <v>91076.133952549702</v>
      </c>
      <c r="BD141" s="67">
        <f t="shared" si="296"/>
        <v>190473.2807286123</v>
      </c>
      <c r="BE141" s="67">
        <f t="shared" si="297"/>
        <v>416913.69767036667</v>
      </c>
      <c r="BF141" s="67">
        <f t="shared" si="298"/>
        <v>1810393.6562050001</v>
      </c>
      <c r="BG141" s="67">
        <f t="shared" si="299"/>
        <v>1521383.1220799999</v>
      </c>
      <c r="BH141" s="67">
        <f t="shared" si="300"/>
        <v>1865511.0814400001</v>
      </c>
    </row>
    <row r="142" spans="2:60" x14ac:dyDescent="0.3">
      <c r="C142" s="65"/>
      <c r="D142" s="77"/>
      <c r="E142" s="45"/>
      <c r="F142" s="45"/>
      <c r="G142" s="62"/>
      <c r="H142" s="62"/>
      <c r="I142" s="62"/>
      <c r="J142" s="62"/>
      <c r="K142" s="62"/>
      <c r="L142" s="62"/>
      <c r="M142" s="131"/>
      <c r="O142" s="45"/>
      <c r="P142" s="45"/>
      <c r="Q142" s="62"/>
      <c r="R142" s="62"/>
      <c r="S142" s="62"/>
      <c r="T142" s="62"/>
      <c r="U142" s="62"/>
      <c r="V142" s="62"/>
      <c r="W142" s="131"/>
      <c r="Y142" s="45"/>
      <c r="Z142" s="45"/>
      <c r="AA142" s="62"/>
      <c r="AB142" s="62"/>
      <c r="AC142" s="62"/>
      <c r="AD142" s="62"/>
      <c r="AE142" s="62"/>
      <c r="AF142" s="62"/>
      <c r="AH142" s="45"/>
      <c r="AI142" s="45"/>
      <c r="AJ142" s="62"/>
      <c r="AK142" s="62"/>
      <c r="AL142" s="62"/>
      <c r="AM142" s="62"/>
      <c r="AN142" s="62"/>
      <c r="AO142" s="62"/>
      <c r="AQ142" s="45"/>
      <c r="AR142" s="45"/>
      <c r="AS142" s="62"/>
      <c r="AT142" s="62"/>
      <c r="AU142" s="62"/>
      <c r="AV142" s="62"/>
      <c r="AW142" s="62"/>
      <c r="AX142" s="62"/>
      <c r="AY142" s="131"/>
      <c r="BA142" s="45"/>
      <c r="BB142" s="45"/>
      <c r="BC142" s="62"/>
      <c r="BD142" s="62"/>
      <c r="BE142" s="62"/>
      <c r="BF142" s="62"/>
      <c r="BG142" s="62"/>
      <c r="BH142" s="62"/>
    </row>
    <row r="143" spans="2:60" x14ac:dyDescent="0.3">
      <c r="C143" s="99" t="s">
        <v>123</v>
      </c>
      <c r="D143" s="125"/>
      <c r="E143" s="48"/>
      <c r="F143" s="48">
        <f t="shared" ref="F143:L143" si="301">F144</f>
        <v>2013878.1742699998</v>
      </c>
      <c r="G143" s="48">
        <f t="shared" si="301"/>
        <v>1039059.16105</v>
      </c>
      <c r="H143" s="48">
        <f t="shared" si="301"/>
        <v>727209.96284000005</v>
      </c>
      <c r="I143" s="48">
        <f t="shared" si="301"/>
        <v>554169.45579000004</v>
      </c>
      <c r="J143" s="48">
        <f t="shared" si="301"/>
        <v>197352.28492884999</v>
      </c>
      <c r="K143" s="48">
        <f t="shared" si="301"/>
        <v>165779.22</v>
      </c>
      <c r="L143" s="48">
        <f t="shared" si="301"/>
        <v>172964.875</v>
      </c>
      <c r="M143" s="173">
        <f>L143/K143-1</f>
        <v>4.334472679989676E-2</v>
      </c>
      <c r="O143" s="48">
        <f t="shared" ref="O143:V143" si="302">O144</f>
        <v>0</v>
      </c>
      <c r="P143" s="48">
        <f t="shared" si="302"/>
        <v>2013878.1742699998</v>
      </c>
      <c r="Q143" s="48">
        <f t="shared" si="302"/>
        <v>1039059.16105</v>
      </c>
      <c r="R143" s="48">
        <f t="shared" si="302"/>
        <v>727209.96284000005</v>
      </c>
      <c r="S143" s="48">
        <f t="shared" si="302"/>
        <v>554169.45579000004</v>
      </c>
      <c r="T143" s="48">
        <f t="shared" si="302"/>
        <v>197352.28492884999</v>
      </c>
      <c r="U143" s="48">
        <f t="shared" si="302"/>
        <v>165779.22</v>
      </c>
      <c r="V143" s="48">
        <f t="shared" si="302"/>
        <v>172964.875</v>
      </c>
      <c r="W143" s="173">
        <f>V143/U143-1</f>
        <v>4.334472679989676E-2</v>
      </c>
      <c r="Y143" s="48">
        <f t="shared" ref="Y143:AF143" si="303">Y144</f>
        <v>0</v>
      </c>
      <c r="Z143" s="48">
        <f t="shared" si="303"/>
        <v>2013878.1742699998</v>
      </c>
      <c r="AA143" s="48">
        <f t="shared" si="303"/>
        <v>1039059.16105</v>
      </c>
      <c r="AB143" s="48">
        <f t="shared" si="303"/>
        <v>727209.96284000005</v>
      </c>
      <c r="AC143" s="48">
        <f t="shared" si="303"/>
        <v>554169.45579000004</v>
      </c>
      <c r="AD143" s="48">
        <f t="shared" si="303"/>
        <v>197352.28492884999</v>
      </c>
      <c r="AE143" s="48">
        <f t="shared" si="303"/>
        <v>165779.22</v>
      </c>
      <c r="AF143" s="48">
        <f t="shared" si="303"/>
        <v>172964.875</v>
      </c>
      <c r="AH143" s="48">
        <f t="shared" ref="AH143:AO143" si="304">AH144</f>
        <v>0</v>
      </c>
      <c r="AI143" s="48">
        <f t="shared" si="304"/>
        <v>2013878.1742699998</v>
      </c>
      <c r="AJ143" s="48">
        <f t="shared" si="304"/>
        <v>1039059.16105</v>
      </c>
      <c r="AK143" s="48">
        <f t="shared" si="304"/>
        <v>727209.96284000005</v>
      </c>
      <c r="AL143" s="48">
        <f t="shared" si="304"/>
        <v>554169.45579000004</v>
      </c>
      <c r="AM143" s="48">
        <f t="shared" si="304"/>
        <v>197352.28492884999</v>
      </c>
      <c r="AN143" s="48">
        <f t="shared" si="304"/>
        <v>165779.22</v>
      </c>
      <c r="AO143" s="48">
        <f t="shared" si="304"/>
        <v>172964.875</v>
      </c>
      <c r="AQ143" s="48">
        <f t="shared" ref="AQ143:AX143" si="305">AQ144</f>
        <v>0</v>
      </c>
      <c r="AR143" s="48">
        <f t="shared" si="305"/>
        <v>2013878.1742699998</v>
      </c>
      <c r="AS143" s="48">
        <f t="shared" si="305"/>
        <v>1039059.16105</v>
      </c>
      <c r="AT143" s="48">
        <f t="shared" si="305"/>
        <v>727209.96284000005</v>
      </c>
      <c r="AU143" s="48">
        <f t="shared" si="305"/>
        <v>554169.45579000004</v>
      </c>
      <c r="AV143" s="48">
        <f t="shared" si="305"/>
        <v>197352.28492884999</v>
      </c>
      <c r="AW143" s="48">
        <f t="shared" si="305"/>
        <v>165779.22</v>
      </c>
      <c r="AX143" s="48">
        <f t="shared" si="305"/>
        <v>172964.875</v>
      </c>
      <c r="AY143" s="173">
        <f>AX143/AW143-1</f>
        <v>4.334472679989676E-2</v>
      </c>
      <c r="BA143" s="48">
        <f t="shared" ref="BA143:BH143" si="306">BA144</f>
        <v>0</v>
      </c>
      <c r="BB143" s="48">
        <f t="shared" si="306"/>
        <v>2013878.1742699998</v>
      </c>
      <c r="BC143" s="48">
        <f t="shared" si="306"/>
        <v>1039059.16105</v>
      </c>
      <c r="BD143" s="48">
        <f t="shared" si="306"/>
        <v>727209.96284000005</v>
      </c>
      <c r="BE143" s="48">
        <f t="shared" si="306"/>
        <v>554169.45579000004</v>
      </c>
      <c r="BF143" s="48">
        <f t="shared" si="306"/>
        <v>197352.28492884999</v>
      </c>
      <c r="BG143" s="48">
        <f t="shared" si="306"/>
        <v>165779.22</v>
      </c>
      <c r="BH143" s="48">
        <f t="shared" si="306"/>
        <v>172964.875</v>
      </c>
    </row>
    <row r="144" spans="2:60" x14ac:dyDescent="0.3">
      <c r="C144" s="65" t="s">
        <v>117</v>
      </c>
      <c r="D144" s="77"/>
      <c r="E144" s="45"/>
      <c r="F144" s="97">
        <v>2013878.1742699998</v>
      </c>
      <c r="G144" s="97">
        <v>1039059.16105</v>
      </c>
      <c r="H144" s="97">
        <v>727209.96284000005</v>
      </c>
      <c r="I144" s="97">
        <v>554169.45579000004</v>
      </c>
      <c r="J144" s="97">
        <f>SUM('Quarterly I.S'!K144:N144)</f>
        <v>197352.28492884999</v>
      </c>
      <c r="K144" s="97">
        <f>SUM('Quarterly I.S'!O144:R144)</f>
        <v>165779.22</v>
      </c>
      <c r="L144" s="97">
        <v>172964.875</v>
      </c>
      <c r="M144" s="190"/>
      <c r="N144" s="132"/>
      <c r="O144" s="67">
        <f>$E144</f>
        <v>0</v>
      </c>
      <c r="P144" s="67">
        <f>$F144</f>
        <v>2013878.1742699998</v>
      </c>
      <c r="Q144" s="67">
        <f>$G144</f>
        <v>1039059.16105</v>
      </c>
      <c r="R144" s="67">
        <f>$H144</f>
        <v>727209.96284000005</v>
      </c>
      <c r="S144" s="67">
        <f>$I144</f>
        <v>554169.45579000004</v>
      </c>
      <c r="T144" s="67">
        <f>$J144</f>
        <v>197352.28492884999</v>
      </c>
      <c r="U144" s="67">
        <f>$K144</f>
        <v>165779.22</v>
      </c>
      <c r="V144" s="67">
        <f>$L144</f>
        <v>172964.875</v>
      </c>
      <c r="W144" s="190"/>
      <c r="X144" s="64"/>
      <c r="Y144" s="67">
        <f>$E144</f>
        <v>0</v>
      </c>
      <c r="Z144" s="67">
        <f>$F144</f>
        <v>2013878.1742699998</v>
      </c>
      <c r="AA144" s="67">
        <f>$G144</f>
        <v>1039059.16105</v>
      </c>
      <c r="AB144" s="67">
        <f>$H144</f>
        <v>727209.96284000005</v>
      </c>
      <c r="AC144" s="67">
        <f>$I144</f>
        <v>554169.45579000004</v>
      </c>
      <c r="AD144" s="67">
        <f>$J144</f>
        <v>197352.28492884999</v>
      </c>
      <c r="AE144" s="67">
        <f>$K144</f>
        <v>165779.22</v>
      </c>
      <c r="AF144" s="67">
        <f>$L144</f>
        <v>172964.875</v>
      </c>
      <c r="AG144" s="64"/>
      <c r="AH144" s="67">
        <f>$E144</f>
        <v>0</v>
      </c>
      <c r="AI144" s="67">
        <f>$F144</f>
        <v>2013878.1742699998</v>
      </c>
      <c r="AJ144" s="67">
        <f>$G144</f>
        <v>1039059.16105</v>
      </c>
      <c r="AK144" s="67">
        <f>$H144</f>
        <v>727209.96284000005</v>
      </c>
      <c r="AL144" s="67">
        <f>$I144</f>
        <v>554169.45579000004</v>
      </c>
      <c r="AM144" s="67">
        <f>$J144</f>
        <v>197352.28492884999</v>
      </c>
      <c r="AN144" s="67">
        <f>$K144</f>
        <v>165779.22</v>
      </c>
      <c r="AO144" s="67">
        <f>$L144</f>
        <v>172964.875</v>
      </c>
      <c r="AP144" s="64"/>
      <c r="AQ144" s="67">
        <f>$E144</f>
        <v>0</v>
      </c>
      <c r="AR144" s="67">
        <f>$F144</f>
        <v>2013878.1742699998</v>
      </c>
      <c r="AS144" s="67">
        <f>$G144</f>
        <v>1039059.16105</v>
      </c>
      <c r="AT144" s="67">
        <f>$H144</f>
        <v>727209.96284000005</v>
      </c>
      <c r="AU144" s="67">
        <f>$I144</f>
        <v>554169.45579000004</v>
      </c>
      <c r="AV144" s="67">
        <f>$J144</f>
        <v>197352.28492884999</v>
      </c>
      <c r="AW144" s="67">
        <f>$K144</f>
        <v>165779.22</v>
      </c>
      <c r="AX144" s="67">
        <f>$L144</f>
        <v>172964.875</v>
      </c>
      <c r="AY144" s="190"/>
      <c r="AZ144" s="64"/>
      <c r="BA144" s="67">
        <f>$E144</f>
        <v>0</v>
      </c>
      <c r="BB144" s="67">
        <f>$F144</f>
        <v>2013878.1742699998</v>
      </c>
      <c r="BC144" s="67">
        <f>$G144</f>
        <v>1039059.16105</v>
      </c>
      <c r="BD144" s="67">
        <f>$H144</f>
        <v>727209.96284000005</v>
      </c>
      <c r="BE144" s="67">
        <f>$I144</f>
        <v>554169.45579000004</v>
      </c>
      <c r="BF144" s="67">
        <f>$J144</f>
        <v>197352.28492884999</v>
      </c>
      <c r="BG144" s="67">
        <f>$K144</f>
        <v>165779.22</v>
      </c>
      <c r="BH144" s="67">
        <f>$L144</f>
        <v>172964.875</v>
      </c>
    </row>
    <row r="145" spans="2:60" x14ac:dyDescent="0.3">
      <c r="C145" s="65"/>
      <c r="D145" s="77"/>
      <c r="E145" s="45"/>
      <c r="F145" s="45"/>
      <c r="G145" s="62"/>
      <c r="H145" s="62"/>
      <c r="I145" s="62"/>
      <c r="J145" s="62"/>
      <c r="K145" s="62"/>
      <c r="L145" s="62"/>
      <c r="M145" s="131"/>
      <c r="O145" s="45"/>
      <c r="P145" s="45"/>
      <c r="Q145" s="62"/>
      <c r="R145" s="62"/>
      <c r="S145" s="62"/>
      <c r="T145" s="62"/>
      <c r="U145" s="62"/>
      <c r="V145" s="62"/>
      <c r="W145" s="131"/>
      <c r="Y145" s="45"/>
      <c r="Z145" s="45"/>
      <c r="AA145" s="62"/>
      <c r="AB145" s="62"/>
      <c r="AC145" s="62"/>
      <c r="AD145" s="62"/>
      <c r="AE145" s="62"/>
      <c r="AF145" s="62"/>
      <c r="AH145" s="45"/>
      <c r="AI145" s="45"/>
      <c r="AJ145" s="62"/>
      <c r="AK145" s="62"/>
      <c r="AL145" s="62"/>
      <c r="AM145" s="62"/>
      <c r="AN145" s="62"/>
      <c r="AO145" s="62"/>
      <c r="AQ145" s="45"/>
      <c r="AR145" s="45"/>
      <c r="AS145" s="62"/>
      <c r="AT145" s="62"/>
      <c r="AU145" s="62"/>
      <c r="AV145" s="62"/>
      <c r="AW145" s="62"/>
      <c r="AX145" s="62"/>
      <c r="AY145" s="131"/>
      <c r="BA145" s="45"/>
      <c r="BB145" s="45"/>
      <c r="BC145" s="62"/>
      <c r="BD145" s="62"/>
      <c r="BE145" s="62"/>
      <c r="BF145" s="62"/>
      <c r="BG145" s="62"/>
      <c r="BH145" s="62"/>
    </row>
    <row r="146" spans="2:60" ht="13.5" thickBot="1" x14ac:dyDescent="0.35">
      <c r="C146" s="74" t="s">
        <v>52</v>
      </c>
      <c r="D146" s="126"/>
      <c r="E146" s="75"/>
      <c r="F146" s="75">
        <f t="shared" ref="F146:L146" si="307">F135+F143</f>
        <v>4210340.0947799999</v>
      </c>
      <c r="G146" s="75">
        <f t="shared" si="307"/>
        <v>3813410.7462825496</v>
      </c>
      <c r="H146" s="75">
        <f t="shared" si="307"/>
        <v>4608935.0982076237</v>
      </c>
      <c r="I146" s="75">
        <f t="shared" si="307"/>
        <v>6807178.9874047991</v>
      </c>
      <c r="J146" s="75">
        <f t="shared" si="307"/>
        <v>11396132.53966525</v>
      </c>
      <c r="K146" s="75">
        <f t="shared" si="307"/>
        <v>16605900.182302492</v>
      </c>
      <c r="L146" s="75">
        <f t="shared" si="307"/>
        <v>11630372.696868639</v>
      </c>
      <c r="M146" s="191">
        <f>L146/K146-1</f>
        <v>-0.29962407522697576</v>
      </c>
      <c r="O146" s="75">
        <f t="shared" ref="O146:V146" si="308">O135+O143</f>
        <v>0</v>
      </c>
      <c r="P146" s="75">
        <f t="shared" si="308"/>
        <v>4210340.0947799999</v>
      </c>
      <c r="Q146" s="75">
        <f t="shared" si="308"/>
        <v>3813410.7462825496</v>
      </c>
      <c r="R146" s="75">
        <f t="shared" si="308"/>
        <v>4608935.0982076237</v>
      </c>
      <c r="S146" s="75">
        <f t="shared" si="308"/>
        <v>6807178.9874047991</v>
      </c>
      <c r="T146" s="75">
        <f t="shared" si="308"/>
        <v>11396132.53966525</v>
      </c>
      <c r="U146" s="75">
        <f t="shared" si="308"/>
        <v>16605900.182302492</v>
      </c>
      <c r="V146" s="75">
        <f t="shared" si="308"/>
        <v>11630372.696868639</v>
      </c>
      <c r="W146" s="191">
        <f>V146/U146-1</f>
        <v>-0.29962407522697576</v>
      </c>
      <c r="Y146" s="75">
        <f t="shared" ref="Y146:AF146" si="309">Y135+Y143</f>
        <v>0</v>
      </c>
      <c r="Z146" s="75">
        <f t="shared" si="309"/>
        <v>4210340.0947799999</v>
      </c>
      <c r="AA146" s="75">
        <f t="shared" si="309"/>
        <v>3813410.7462825496</v>
      </c>
      <c r="AB146" s="75">
        <f t="shared" si="309"/>
        <v>4608935.0982076237</v>
      </c>
      <c r="AC146" s="75">
        <f t="shared" si="309"/>
        <v>6807178.9874047991</v>
      </c>
      <c r="AD146" s="75">
        <f t="shared" si="309"/>
        <v>11396132.53966525</v>
      </c>
      <c r="AE146" s="75">
        <f t="shared" si="309"/>
        <v>16605900.182302492</v>
      </c>
      <c r="AF146" s="75">
        <f t="shared" si="309"/>
        <v>11630372.696868639</v>
      </c>
      <c r="AH146" s="75">
        <f t="shared" ref="AH146:AO146" si="310">AH135+AH143</f>
        <v>0</v>
      </c>
      <c r="AI146" s="75">
        <f t="shared" si="310"/>
        <v>4210340.0947799999</v>
      </c>
      <c r="AJ146" s="75">
        <f t="shared" si="310"/>
        <v>3813410.7462825496</v>
      </c>
      <c r="AK146" s="75">
        <f t="shared" si="310"/>
        <v>4608935.0982076237</v>
      </c>
      <c r="AL146" s="75">
        <f t="shared" si="310"/>
        <v>6807178.9874047991</v>
      </c>
      <c r="AM146" s="75">
        <f t="shared" si="310"/>
        <v>11396132.53966525</v>
      </c>
      <c r="AN146" s="75">
        <f t="shared" si="310"/>
        <v>16605900.182302492</v>
      </c>
      <c r="AO146" s="75">
        <f t="shared" si="310"/>
        <v>11630372.696868639</v>
      </c>
      <c r="AQ146" s="75">
        <f t="shared" ref="AQ146:AX146" si="311">AQ135+AQ143</f>
        <v>0</v>
      </c>
      <c r="AR146" s="75">
        <f t="shared" si="311"/>
        <v>4210340.0947799999</v>
      </c>
      <c r="AS146" s="75">
        <f t="shared" si="311"/>
        <v>3813410.7462825496</v>
      </c>
      <c r="AT146" s="75">
        <f t="shared" si="311"/>
        <v>4608935.0982076237</v>
      </c>
      <c r="AU146" s="75">
        <f t="shared" si="311"/>
        <v>6807178.9874047991</v>
      </c>
      <c r="AV146" s="75">
        <f t="shared" si="311"/>
        <v>11396132.53966525</v>
      </c>
      <c r="AW146" s="75">
        <f t="shared" si="311"/>
        <v>16605900.182302492</v>
      </c>
      <c r="AX146" s="75">
        <f t="shared" si="311"/>
        <v>11630372.696868639</v>
      </c>
      <c r="AY146" s="191">
        <f>AX146/AW146-1</f>
        <v>-0.29962407522697576</v>
      </c>
      <c r="BA146" s="75">
        <f t="shared" ref="BA146:BH146" si="312">BA135+BA143</f>
        <v>0</v>
      </c>
      <c r="BB146" s="75">
        <f t="shared" si="312"/>
        <v>4210340.0947799999</v>
      </c>
      <c r="BC146" s="75">
        <f t="shared" si="312"/>
        <v>3813410.7462825496</v>
      </c>
      <c r="BD146" s="75">
        <f t="shared" si="312"/>
        <v>4608935.0982076237</v>
      </c>
      <c r="BE146" s="75">
        <f t="shared" si="312"/>
        <v>6807178.9874047991</v>
      </c>
      <c r="BF146" s="75">
        <f t="shared" si="312"/>
        <v>11396132.53966525</v>
      </c>
      <c r="BG146" s="75">
        <f t="shared" si="312"/>
        <v>16605900.182302492</v>
      </c>
      <c r="BH146" s="75">
        <f t="shared" si="312"/>
        <v>11630372.696868639</v>
      </c>
    </row>
    <row r="147" spans="2:60" x14ac:dyDescent="0.3">
      <c r="C147" s="65"/>
      <c r="D147" s="77"/>
      <c r="E147" s="45"/>
      <c r="F147" s="131"/>
      <c r="G147" s="131"/>
      <c r="H147" s="131"/>
      <c r="I147" s="131"/>
      <c r="J147" s="131"/>
      <c r="K147" s="131"/>
      <c r="L147" s="131"/>
      <c r="M147" s="131"/>
      <c r="O147" s="45"/>
      <c r="P147" s="45"/>
      <c r="Q147" s="62"/>
      <c r="R147" s="62"/>
      <c r="S147" s="62"/>
      <c r="T147" s="62"/>
      <c r="U147" s="62"/>
      <c r="V147" s="62"/>
      <c r="W147" s="131"/>
      <c r="Y147" s="45"/>
      <c r="Z147" s="45"/>
      <c r="AA147" s="62"/>
      <c r="AB147" s="62"/>
      <c r="AC147" s="62"/>
      <c r="AD147" s="62"/>
      <c r="AE147" s="62"/>
      <c r="AF147" s="62"/>
      <c r="AH147" s="45"/>
      <c r="AI147" s="45"/>
      <c r="AJ147" s="62"/>
      <c r="AK147" s="62"/>
      <c r="AL147" s="62"/>
      <c r="AM147" s="62"/>
      <c r="AN147" s="62"/>
      <c r="AO147" s="62"/>
      <c r="AQ147" s="45"/>
      <c r="AR147" s="45"/>
      <c r="AS147" s="62"/>
      <c r="AT147" s="62"/>
      <c r="AU147" s="62"/>
      <c r="AV147" s="62"/>
      <c r="AW147" s="62"/>
      <c r="AX147" s="62"/>
      <c r="AY147" s="131"/>
      <c r="BA147" s="45"/>
      <c r="BB147" s="45"/>
      <c r="BC147" s="62"/>
      <c r="BD147" s="62"/>
      <c r="BE147" s="62"/>
      <c r="BF147" s="62"/>
      <c r="BG147" s="62"/>
      <c r="BH147" s="62"/>
    </row>
    <row r="148" spans="2:60" s="45" customFormat="1" x14ac:dyDescent="0.3">
      <c r="C148" s="93" t="s">
        <v>67</v>
      </c>
      <c r="D148" s="127"/>
      <c r="E148" s="94"/>
      <c r="F148" s="94">
        <f t="shared" ref="F148:K148" si="313">SUM(F149:F150)</f>
        <v>3800757.5766099989</v>
      </c>
      <c r="G148" s="94">
        <f t="shared" si="313"/>
        <v>3345586</v>
      </c>
      <c r="H148" s="94">
        <f t="shared" si="313"/>
        <v>4659091</v>
      </c>
      <c r="I148" s="94">
        <f t="shared" si="313"/>
        <v>5427148</v>
      </c>
      <c r="J148" s="94">
        <f t="shared" si="313"/>
        <v>6890586.0621500034</v>
      </c>
      <c r="K148" s="94">
        <f t="shared" si="313"/>
        <v>10357212.881899996</v>
      </c>
      <c r="L148" s="94">
        <f>SUM(L149:L150)</f>
        <v>6212814.2683799993</v>
      </c>
      <c r="M148" s="192">
        <f>L148/K148-1</f>
        <v>-0.40014612625783164</v>
      </c>
      <c r="O148" s="94">
        <f>$E148</f>
        <v>0</v>
      </c>
      <c r="P148" s="94">
        <f>$F148</f>
        <v>3800757.5766099989</v>
      </c>
      <c r="Q148" s="94">
        <f>$G148</f>
        <v>3345586</v>
      </c>
      <c r="R148" s="94">
        <f>$H148</f>
        <v>4659091</v>
      </c>
      <c r="S148" s="94">
        <f>$I148</f>
        <v>5427148</v>
      </c>
      <c r="T148" s="94">
        <f>$J148</f>
        <v>6890586.0621500034</v>
      </c>
      <c r="U148" s="94">
        <f>$K148</f>
        <v>10357212.881899996</v>
      </c>
      <c r="V148" s="94">
        <f>$L148</f>
        <v>6212814.2683799993</v>
      </c>
      <c r="W148" s="192">
        <f>V148/U148-1</f>
        <v>-0.40014612625783164</v>
      </c>
      <c r="Y148" s="94">
        <f>$E148</f>
        <v>0</v>
      </c>
      <c r="Z148" s="94">
        <f>$F148</f>
        <v>3800757.5766099989</v>
      </c>
      <c r="AA148" s="94">
        <f>$G148</f>
        <v>3345586</v>
      </c>
      <c r="AB148" s="94">
        <f>$H148</f>
        <v>4659091</v>
      </c>
      <c r="AC148" s="94">
        <f>$I148</f>
        <v>5427148</v>
      </c>
      <c r="AD148" s="94">
        <f>$J148</f>
        <v>6890586.0621500034</v>
      </c>
      <c r="AE148" s="94">
        <f>$K148</f>
        <v>10357212.881899996</v>
      </c>
      <c r="AF148" s="94">
        <f>$L148</f>
        <v>6212814.2683799993</v>
      </c>
      <c r="AH148" s="94">
        <f>$E148</f>
        <v>0</v>
      </c>
      <c r="AI148" s="94">
        <f>$F148</f>
        <v>3800757.5766099989</v>
      </c>
      <c r="AJ148" s="94">
        <f>$G148</f>
        <v>3345586</v>
      </c>
      <c r="AK148" s="94">
        <f>$H148</f>
        <v>4659091</v>
      </c>
      <c r="AL148" s="94">
        <f>$I148</f>
        <v>5427148</v>
      </c>
      <c r="AM148" s="94">
        <f>$J148</f>
        <v>6890586.0621500034</v>
      </c>
      <c r="AN148" s="94">
        <f>$K148</f>
        <v>10357212.881899996</v>
      </c>
      <c r="AO148" s="94">
        <f>$L148</f>
        <v>6212814.2683799993</v>
      </c>
      <c r="AQ148" s="94">
        <f>$E148</f>
        <v>0</v>
      </c>
      <c r="AR148" s="94">
        <f>$F148</f>
        <v>3800757.5766099989</v>
      </c>
      <c r="AS148" s="94">
        <f>$G148</f>
        <v>3345586</v>
      </c>
      <c r="AT148" s="94">
        <f>$H148</f>
        <v>4659091</v>
      </c>
      <c r="AU148" s="94">
        <f>$I148</f>
        <v>5427148</v>
      </c>
      <c r="AV148" s="94">
        <f>$J148</f>
        <v>6890586.0621500034</v>
      </c>
      <c r="AW148" s="94">
        <f>$K148</f>
        <v>10357212.881899996</v>
      </c>
      <c r="AX148" s="94">
        <f>$L148</f>
        <v>6212814.2683799993</v>
      </c>
      <c r="AY148" s="192">
        <f>AX148/AW148-1</f>
        <v>-0.40014612625783164</v>
      </c>
      <c r="BA148" s="94">
        <f>$E148</f>
        <v>0</v>
      </c>
      <c r="BB148" s="94">
        <f>$F148</f>
        <v>3800757.5766099989</v>
      </c>
      <c r="BC148" s="94">
        <f>$G148</f>
        <v>3345586</v>
      </c>
      <c r="BD148" s="94">
        <f>$H148</f>
        <v>4659091</v>
      </c>
      <c r="BE148" s="94">
        <f>$I148</f>
        <v>5427148</v>
      </c>
      <c r="BF148" s="94">
        <f>$J148</f>
        <v>6890586.0621500034</v>
      </c>
      <c r="BG148" s="94">
        <f>$K148</f>
        <v>10357212.881899996</v>
      </c>
      <c r="BH148" s="94">
        <f>$L148</f>
        <v>6212814.2683799993</v>
      </c>
    </row>
    <row r="149" spans="2:60" x14ac:dyDescent="0.3">
      <c r="C149" s="36" t="s">
        <v>68</v>
      </c>
      <c r="E149" s="92"/>
      <c r="F149" s="97">
        <v>2545707.8346999986</v>
      </c>
      <c r="G149" s="97">
        <v>1913570.6401300018</v>
      </c>
      <c r="H149" s="97">
        <v>3949233.2551199999</v>
      </c>
      <c r="I149" s="97">
        <v>4776946</v>
      </c>
      <c r="J149" s="97">
        <f>SUM('Quarterly I.S'!K149:N149)</f>
        <v>6691276.1007900033</v>
      </c>
      <c r="K149" s="97">
        <f>SUM('Quarterly I.S'!O149:R149)</f>
        <v>10223997.289549995</v>
      </c>
      <c r="L149" s="97">
        <f>SUM('Quarterly I.S'!S149:V149)</f>
        <v>6080790.1759899994</v>
      </c>
      <c r="M149" s="190"/>
      <c r="O149" s="92">
        <f>$E149</f>
        <v>0</v>
      </c>
      <c r="P149" s="92">
        <f>$F149</f>
        <v>2545707.8346999986</v>
      </c>
      <c r="Q149" s="92">
        <f>$G149</f>
        <v>1913570.6401300018</v>
      </c>
      <c r="R149" s="92">
        <f>$H149</f>
        <v>3949233.2551199999</v>
      </c>
      <c r="S149" s="92">
        <f>$I149</f>
        <v>4776946</v>
      </c>
      <c r="T149" s="92">
        <f>$J149</f>
        <v>6691276.1007900033</v>
      </c>
      <c r="U149" s="92">
        <f>$K149</f>
        <v>10223997.289549995</v>
      </c>
      <c r="V149" s="92">
        <f>$L149</f>
        <v>6080790.1759899994</v>
      </c>
      <c r="W149" s="190"/>
      <c r="Y149" s="92">
        <f>$E149</f>
        <v>0</v>
      </c>
      <c r="Z149" s="92">
        <f>$F149</f>
        <v>2545707.8346999986</v>
      </c>
      <c r="AA149" s="92">
        <f>$G149</f>
        <v>1913570.6401300018</v>
      </c>
      <c r="AB149" s="92">
        <f>$H149</f>
        <v>3949233.2551199999</v>
      </c>
      <c r="AC149" s="92">
        <f>$I149</f>
        <v>4776946</v>
      </c>
      <c r="AD149" s="92">
        <f>$J149</f>
        <v>6691276.1007900033</v>
      </c>
      <c r="AE149" s="92">
        <f>$K149</f>
        <v>10223997.289549995</v>
      </c>
      <c r="AF149" s="92">
        <f>$L149</f>
        <v>6080790.1759899994</v>
      </c>
      <c r="AH149" s="92">
        <f>$E149</f>
        <v>0</v>
      </c>
      <c r="AI149" s="92">
        <f>$F149</f>
        <v>2545707.8346999986</v>
      </c>
      <c r="AJ149" s="92">
        <f>$G149</f>
        <v>1913570.6401300018</v>
      </c>
      <c r="AK149" s="92">
        <f>$H149</f>
        <v>3949233.2551199999</v>
      </c>
      <c r="AL149" s="92">
        <f>$I149</f>
        <v>4776946</v>
      </c>
      <c r="AM149" s="92">
        <f>$J149</f>
        <v>6691276.1007900033</v>
      </c>
      <c r="AN149" s="92">
        <f>$K149</f>
        <v>10223997.289549995</v>
      </c>
      <c r="AO149" s="92">
        <f>$L149</f>
        <v>6080790.1759899994</v>
      </c>
      <c r="AQ149" s="92">
        <f>$E149</f>
        <v>0</v>
      </c>
      <c r="AR149" s="92">
        <f>$F149</f>
        <v>2545707.8346999986</v>
      </c>
      <c r="AS149" s="92">
        <f>$G149</f>
        <v>1913570.6401300018</v>
      </c>
      <c r="AT149" s="92">
        <f>$H149</f>
        <v>3949233.2551199999</v>
      </c>
      <c r="AU149" s="92">
        <f>$I149</f>
        <v>4776946</v>
      </c>
      <c r="AV149" s="92">
        <f>$J149</f>
        <v>6691276.1007900033</v>
      </c>
      <c r="AW149" s="92">
        <f>$K149</f>
        <v>10223997.289549995</v>
      </c>
      <c r="AX149" s="92">
        <f>$L149</f>
        <v>6080790.1759899994</v>
      </c>
      <c r="AY149" s="190"/>
      <c r="BA149" s="92">
        <f>$E149</f>
        <v>0</v>
      </c>
      <c r="BB149" s="92">
        <f>$F149</f>
        <v>2545707.8346999986</v>
      </c>
      <c r="BC149" s="92">
        <f>$G149</f>
        <v>1913570.6401300018</v>
      </c>
      <c r="BD149" s="92">
        <f>$H149</f>
        <v>3949233.2551199999</v>
      </c>
      <c r="BE149" s="92">
        <f>$I149</f>
        <v>4776946</v>
      </c>
      <c r="BF149" s="92">
        <f>$J149</f>
        <v>6691276.1007900033</v>
      </c>
      <c r="BG149" s="92">
        <f>$K149</f>
        <v>10223997.289549995</v>
      </c>
      <c r="BH149" s="92">
        <f>$L149</f>
        <v>6080790.1759899994</v>
      </c>
    </row>
    <row r="150" spans="2:60" x14ac:dyDescent="0.3">
      <c r="C150" s="36" t="s">
        <v>121</v>
      </c>
      <c r="E150" s="92"/>
      <c r="F150" s="97">
        <v>1255049.7419100006</v>
      </c>
      <c r="G150" s="97">
        <v>1432015.3598699982</v>
      </c>
      <c r="H150" s="97">
        <v>709857.74488000025</v>
      </c>
      <c r="I150" s="97">
        <v>650202</v>
      </c>
      <c r="J150" s="97">
        <f>SUM('Quarterly I.S'!K150:N150)</f>
        <v>199309.96135999999</v>
      </c>
      <c r="K150" s="97">
        <f>SUM('Quarterly I.S'!O150:R150)</f>
        <v>133215.59234999999</v>
      </c>
      <c r="L150" s="97">
        <f>SUM('Quarterly I.S'!S150:V150)</f>
        <v>132024.09239000001</v>
      </c>
      <c r="M150" s="190"/>
      <c r="O150" s="92">
        <f>$E150</f>
        <v>0</v>
      </c>
      <c r="P150" s="92">
        <f>$F150</f>
        <v>1255049.7419100006</v>
      </c>
      <c r="Q150" s="92">
        <f>$G150</f>
        <v>1432015.3598699982</v>
      </c>
      <c r="R150" s="92">
        <f>$H150</f>
        <v>709857.74488000025</v>
      </c>
      <c r="S150" s="92">
        <f>$I150</f>
        <v>650202</v>
      </c>
      <c r="T150" s="92">
        <f>$J150</f>
        <v>199309.96135999999</v>
      </c>
      <c r="U150" s="92">
        <f>$K150</f>
        <v>133215.59234999999</v>
      </c>
      <c r="V150" s="92">
        <f>$L150</f>
        <v>132024.09239000001</v>
      </c>
      <c r="W150" s="190"/>
      <c r="Y150" s="92">
        <f>$E150</f>
        <v>0</v>
      </c>
      <c r="Z150" s="92">
        <f>$F150</f>
        <v>1255049.7419100006</v>
      </c>
      <c r="AA150" s="92">
        <f>$G150</f>
        <v>1432015.3598699982</v>
      </c>
      <c r="AB150" s="92">
        <f>$H150</f>
        <v>709857.74488000025</v>
      </c>
      <c r="AC150" s="92">
        <f>$I150</f>
        <v>650202</v>
      </c>
      <c r="AD150" s="92">
        <f>$J150</f>
        <v>199309.96135999999</v>
      </c>
      <c r="AE150" s="92">
        <f>$K150</f>
        <v>133215.59234999999</v>
      </c>
      <c r="AF150" s="92">
        <f>$L150</f>
        <v>132024.09239000001</v>
      </c>
      <c r="AH150" s="92">
        <f>$E150</f>
        <v>0</v>
      </c>
      <c r="AI150" s="92">
        <f>$F150</f>
        <v>1255049.7419100006</v>
      </c>
      <c r="AJ150" s="92">
        <f>$G150</f>
        <v>1432015.3598699982</v>
      </c>
      <c r="AK150" s="92">
        <f>$H150</f>
        <v>709857.74488000025</v>
      </c>
      <c r="AL150" s="92">
        <f>$I150</f>
        <v>650202</v>
      </c>
      <c r="AM150" s="92">
        <f>$J150</f>
        <v>199309.96135999999</v>
      </c>
      <c r="AN150" s="92">
        <f>$K150</f>
        <v>133215.59234999999</v>
      </c>
      <c r="AO150" s="92">
        <f>$L150</f>
        <v>132024.09239000001</v>
      </c>
      <c r="AQ150" s="92">
        <f>$E150</f>
        <v>0</v>
      </c>
      <c r="AR150" s="92">
        <f>$F150</f>
        <v>1255049.7419100006</v>
      </c>
      <c r="AS150" s="92">
        <f>$G150</f>
        <v>1432015.3598699982</v>
      </c>
      <c r="AT150" s="92">
        <f>$H150</f>
        <v>709857.74488000025</v>
      </c>
      <c r="AU150" s="92">
        <f>$I150</f>
        <v>650202</v>
      </c>
      <c r="AV150" s="92">
        <f>$J150</f>
        <v>199309.96135999999</v>
      </c>
      <c r="AW150" s="92">
        <f>$K150</f>
        <v>133215.59234999999</v>
      </c>
      <c r="AX150" s="92">
        <f>$L150</f>
        <v>132024.09239000001</v>
      </c>
      <c r="AY150" s="190"/>
      <c r="BA150" s="92">
        <f>$E150</f>
        <v>0</v>
      </c>
      <c r="BB150" s="92">
        <f>$F150</f>
        <v>1255049.7419100006</v>
      </c>
      <c r="BC150" s="92">
        <f>$G150</f>
        <v>1432015.3598699982</v>
      </c>
      <c r="BD150" s="92">
        <f>$H150</f>
        <v>709857.74488000025</v>
      </c>
      <c r="BE150" s="92">
        <f>$I150</f>
        <v>650202</v>
      </c>
      <c r="BF150" s="92">
        <f>$J150</f>
        <v>199309.96135999999</v>
      </c>
      <c r="BG150" s="92">
        <f>$K150</f>
        <v>133215.59234999999</v>
      </c>
      <c r="BH150" s="92">
        <f>$L150</f>
        <v>132024.09239000001</v>
      </c>
    </row>
    <row r="151" spans="2:60" x14ac:dyDescent="0.3">
      <c r="C151" s="71"/>
      <c r="D151" s="120"/>
      <c r="E151" s="68"/>
      <c r="F151" s="68"/>
      <c r="G151" s="68"/>
      <c r="H151" s="68"/>
      <c r="I151" s="246"/>
      <c r="J151" s="246"/>
      <c r="K151" s="246"/>
      <c r="L151" s="246"/>
      <c r="M151" s="193"/>
      <c r="O151" s="70"/>
      <c r="P151" s="70"/>
      <c r="Q151" s="70"/>
      <c r="R151" s="70"/>
      <c r="S151" s="70"/>
      <c r="T151" s="70"/>
      <c r="U151" s="70"/>
      <c r="V151" s="70"/>
      <c r="W151" s="193"/>
      <c r="Y151" s="70"/>
      <c r="Z151" s="70"/>
      <c r="AA151" s="70"/>
      <c r="AB151" s="70"/>
      <c r="AC151" s="70"/>
      <c r="AD151" s="70"/>
      <c r="AE151" s="70"/>
      <c r="AF151" s="70"/>
      <c r="AH151" s="70"/>
      <c r="AI151" s="70"/>
      <c r="AJ151" s="70"/>
      <c r="AK151" s="70"/>
      <c r="AL151" s="70"/>
      <c r="AM151" s="70"/>
      <c r="AN151" s="70"/>
      <c r="AO151" s="70"/>
      <c r="AQ151" s="70"/>
      <c r="AR151" s="70"/>
      <c r="AS151" s="70"/>
      <c r="AT151" s="70"/>
      <c r="AU151" s="70"/>
      <c r="AV151" s="70"/>
      <c r="AW151" s="70"/>
      <c r="AX151" s="70"/>
      <c r="AY151" s="193"/>
      <c r="BA151" s="70"/>
      <c r="BB151" s="70"/>
      <c r="BC151" s="70"/>
      <c r="BD151" s="70"/>
      <c r="BE151" s="70"/>
      <c r="BF151" s="70"/>
      <c r="BG151" s="70"/>
      <c r="BH151" s="70"/>
    </row>
    <row r="152" spans="2:60" x14ac:dyDescent="0.3">
      <c r="C152" s="71"/>
      <c r="D152" s="120"/>
      <c r="E152" s="68"/>
      <c r="F152" s="68"/>
      <c r="G152" s="68"/>
      <c r="H152" s="68"/>
      <c r="I152" s="246"/>
      <c r="J152" s="246"/>
      <c r="K152" s="68"/>
      <c r="L152" s="68"/>
      <c r="M152" s="193"/>
      <c r="O152" s="70"/>
      <c r="P152" s="70"/>
      <c r="Q152" s="70"/>
      <c r="R152" s="70"/>
      <c r="S152" s="70"/>
      <c r="T152" s="70"/>
      <c r="U152" s="70"/>
      <c r="V152" s="70"/>
      <c r="W152" s="193"/>
      <c r="Y152" s="70"/>
      <c r="Z152" s="70"/>
      <c r="AA152" s="70"/>
      <c r="AB152" s="70"/>
      <c r="AC152" s="70"/>
      <c r="AD152" s="70"/>
      <c r="AE152" s="70"/>
      <c r="AF152" s="70"/>
      <c r="AH152" s="70"/>
      <c r="AI152" s="70"/>
      <c r="AJ152" s="70"/>
      <c r="AK152" s="70"/>
      <c r="AL152" s="70"/>
      <c r="AM152" s="70"/>
      <c r="AN152" s="70"/>
      <c r="AO152" s="70"/>
      <c r="AQ152" s="70"/>
      <c r="AR152" s="70"/>
      <c r="AS152" s="70"/>
      <c r="AT152" s="70"/>
      <c r="AU152" s="70"/>
      <c r="AV152" s="70"/>
      <c r="AW152" s="70"/>
      <c r="AX152" s="70"/>
      <c r="AY152" s="193"/>
      <c r="BA152" s="70"/>
      <c r="BB152" s="70"/>
      <c r="BC152" s="70"/>
      <c r="BD152" s="70"/>
      <c r="BE152" s="70"/>
      <c r="BF152" s="70"/>
      <c r="BG152" s="70"/>
      <c r="BH152" s="70"/>
    </row>
    <row r="153" spans="2:60" s="35" customFormat="1" x14ac:dyDescent="0.3">
      <c r="B153" s="33"/>
      <c r="C153" s="63" t="s">
        <v>115</v>
      </c>
      <c r="D153" s="63"/>
      <c r="E153" s="34"/>
      <c r="F153" s="34"/>
      <c r="G153" s="34"/>
      <c r="H153" s="34"/>
      <c r="I153" s="168"/>
      <c r="J153" s="168"/>
      <c r="K153" s="34"/>
      <c r="L153" s="34"/>
      <c r="M153" s="168"/>
      <c r="O153" s="34"/>
      <c r="P153" s="34"/>
      <c r="Q153" s="34"/>
      <c r="R153" s="34"/>
      <c r="S153" s="34"/>
      <c r="T153" s="34"/>
      <c r="U153" s="34"/>
      <c r="V153" s="34"/>
      <c r="W153" s="168"/>
      <c r="Y153" s="34"/>
      <c r="Z153" s="34"/>
      <c r="AA153" s="34"/>
      <c r="AB153" s="34"/>
      <c r="AC153" s="34"/>
      <c r="AD153" s="34"/>
      <c r="AE153" s="34"/>
      <c r="AF153" s="34"/>
      <c r="AH153" s="34"/>
      <c r="AI153" s="34"/>
      <c r="AJ153" s="34"/>
      <c r="AK153" s="34"/>
      <c r="AL153" s="34"/>
      <c r="AM153" s="34"/>
      <c r="AN153" s="34"/>
      <c r="AO153" s="34"/>
      <c r="AQ153" s="34"/>
      <c r="AR153" s="34"/>
      <c r="AS153" s="34"/>
      <c r="AT153" s="34"/>
      <c r="AU153" s="34"/>
      <c r="AV153" s="34"/>
      <c r="AW153" s="34"/>
      <c r="AX153" s="34"/>
      <c r="AY153" s="168"/>
      <c r="AZ153" s="205"/>
      <c r="BA153" s="34"/>
      <c r="BB153" s="34"/>
      <c r="BC153" s="34"/>
      <c r="BD153" s="34"/>
      <c r="BE153" s="34"/>
      <c r="BF153" s="34"/>
      <c r="BG153" s="34"/>
      <c r="BH153" s="34"/>
    </row>
    <row r="154" spans="2:60" x14ac:dyDescent="0.3">
      <c r="C154" s="79" t="s">
        <v>111</v>
      </c>
      <c r="D154" s="121"/>
      <c r="E154" s="48">
        <f t="shared" ref="E154:L154" si="314">SUM(E155)</f>
        <v>1330248.0319999999</v>
      </c>
      <c r="F154" s="48">
        <f t="shared" si="314"/>
        <v>1573059.8829999999</v>
      </c>
      <c r="G154" s="48">
        <f t="shared" si="314"/>
        <v>1539616.41</v>
      </c>
      <c r="H154" s="48">
        <f t="shared" si="314"/>
        <v>1344965.348</v>
      </c>
      <c r="I154" s="48">
        <f t="shared" si="314"/>
        <v>2404704.3080000002</v>
      </c>
      <c r="J154" s="48">
        <f t="shared" si="314"/>
        <v>4784579.534</v>
      </c>
      <c r="K154" s="48">
        <f t="shared" si="314"/>
        <v>6998142</v>
      </c>
      <c r="L154" s="48">
        <f t="shared" si="314"/>
        <v>7722183.1390800001</v>
      </c>
      <c r="M154" s="173">
        <f>L154/K154-1</f>
        <v>0.10346191018701822</v>
      </c>
      <c r="O154" s="100">
        <f t="shared" ref="O154:V154" si="315">O155</f>
        <v>1330248.0319999999</v>
      </c>
      <c r="P154" s="100">
        <f t="shared" si="315"/>
        <v>1573059.8829999999</v>
      </c>
      <c r="Q154" s="100">
        <f t="shared" si="315"/>
        <v>1539616.41</v>
      </c>
      <c r="R154" s="100">
        <f t="shared" si="315"/>
        <v>1344965.348</v>
      </c>
      <c r="S154" s="100">
        <f t="shared" si="315"/>
        <v>2404704.3080000002</v>
      </c>
      <c r="T154" s="100">
        <f t="shared" si="315"/>
        <v>4784579.534</v>
      </c>
      <c r="U154" s="100">
        <f t="shared" si="315"/>
        <v>6998142</v>
      </c>
      <c r="V154" s="100">
        <f t="shared" si="315"/>
        <v>7722183.1390800001</v>
      </c>
      <c r="W154" s="173">
        <f>V154/U154-1</f>
        <v>0.10346191018701822</v>
      </c>
      <c r="Y154" s="100">
        <f t="shared" ref="Y154:AF154" si="316">Y155</f>
        <v>1330248.0319999999</v>
      </c>
      <c r="Z154" s="100">
        <f t="shared" si="316"/>
        <v>1573059.8829999999</v>
      </c>
      <c r="AA154" s="100">
        <f t="shared" si="316"/>
        <v>1539616.41</v>
      </c>
      <c r="AB154" s="100">
        <f t="shared" si="316"/>
        <v>1344965.348</v>
      </c>
      <c r="AC154" s="100">
        <f t="shared" si="316"/>
        <v>2404704.3080000002</v>
      </c>
      <c r="AD154" s="100">
        <f t="shared" si="316"/>
        <v>4784579.534</v>
      </c>
      <c r="AE154" s="100">
        <f t="shared" si="316"/>
        <v>6998142</v>
      </c>
      <c r="AF154" s="100">
        <f t="shared" si="316"/>
        <v>7722183.1390800001</v>
      </c>
      <c r="AH154" s="100">
        <f t="shared" ref="AH154:AO154" si="317">AH155</f>
        <v>1330248.0319999999</v>
      </c>
      <c r="AI154" s="100">
        <f t="shared" si="317"/>
        <v>1573059.8829999999</v>
      </c>
      <c r="AJ154" s="100">
        <f t="shared" si="317"/>
        <v>1539616.41</v>
      </c>
      <c r="AK154" s="100">
        <f t="shared" si="317"/>
        <v>1344965.348</v>
      </c>
      <c r="AL154" s="100">
        <f t="shared" si="317"/>
        <v>2404704.3080000002</v>
      </c>
      <c r="AM154" s="100">
        <f t="shared" si="317"/>
        <v>4784579.534</v>
      </c>
      <c r="AN154" s="100">
        <f t="shared" si="317"/>
        <v>6998142</v>
      </c>
      <c r="AO154" s="100">
        <f t="shared" si="317"/>
        <v>7722183.1390800001</v>
      </c>
      <c r="AQ154" s="100">
        <f t="shared" ref="AQ154:AX154" si="318">AQ155</f>
        <v>1330248.0319999999</v>
      </c>
      <c r="AR154" s="100">
        <f t="shared" si="318"/>
        <v>1573059.8829999999</v>
      </c>
      <c r="AS154" s="100">
        <f t="shared" si="318"/>
        <v>1539616.41</v>
      </c>
      <c r="AT154" s="100">
        <f t="shared" si="318"/>
        <v>1344965.348</v>
      </c>
      <c r="AU154" s="100">
        <f t="shared" si="318"/>
        <v>2404704.3080000002</v>
      </c>
      <c r="AV154" s="100">
        <f t="shared" si="318"/>
        <v>4784579.534</v>
      </c>
      <c r="AW154" s="100">
        <f t="shared" si="318"/>
        <v>6998142</v>
      </c>
      <c r="AX154" s="100">
        <f t="shared" si="318"/>
        <v>7722183.1390800001</v>
      </c>
      <c r="AY154" s="173">
        <f>AX154/AW154-1</f>
        <v>0.10346191018701822</v>
      </c>
      <c r="BA154" s="100">
        <f t="shared" ref="BA154:BH154" si="319">BA155</f>
        <v>1330248.0319999999</v>
      </c>
      <c r="BB154" s="100">
        <f t="shared" si="319"/>
        <v>1573059.8829999999</v>
      </c>
      <c r="BC154" s="100">
        <f t="shared" si="319"/>
        <v>1539616.41</v>
      </c>
      <c r="BD154" s="100">
        <f t="shared" si="319"/>
        <v>1344965.348</v>
      </c>
      <c r="BE154" s="100">
        <f t="shared" si="319"/>
        <v>2404704.3080000002</v>
      </c>
      <c r="BF154" s="100">
        <f t="shared" si="319"/>
        <v>4784579.534</v>
      </c>
      <c r="BG154" s="100">
        <f t="shared" si="319"/>
        <v>6998142</v>
      </c>
      <c r="BH154" s="100">
        <f t="shared" si="319"/>
        <v>7722183.1390800001</v>
      </c>
    </row>
    <row r="155" spans="2:60" x14ac:dyDescent="0.3">
      <c r="C155" s="65" t="s">
        <v>112</v>
      </c>
      <c r="D155" s="77">
        <v>37</v>
      </c>
      <c r="E155" s="97">
        <v>1330248.0319999999</v>
      </c>
      <c r="F155" s="97">
        <v>1573059.8829999999</v>
      </c>
      <c r="G155" s="97">
        <v>1539616.41</v>
      </c>
      <c r="H155" s="97">
        <v>1344965.348</v>
      </c>
      <c r="I155" s="97">
        <v>2404704.3080000002</v>
      </c>
      <c r="J155" s="97">
        <f>'Quarterly I.S'!N154</f>
        <v>4784579.534</v>
      </c>
      <c r="K155" s="97">
        <f>'Quarterly I.S'!R154</f>
        <v>6998142</v>
      </c>
      <c r="L155" s="97">
        <f>'Quarterly I.S'!V154</f>
        <v>7722183.1390800001</v>
      </c>
      <c r="M155" s="190"/>
      <c r="O155" s="67">
        <f>$E155</f>
        <v>1330248.0319999999</v>
      </c>
      <c r="P155" s="67">
        <f>$F155</f>
        <v>1573059.8829999999</v>
      </c>
      <c r="Q155" s="67">
        <f>$G155</f>
        <v>1539616.41</v>
      </c>
      <c r="R155" s="67">
        <f>$H155</f>
        <v>1344965.348</v>
      </c>
      <c r="S155" s="67">
        <f>$I155</f>
        <v>2404704.3080000002</v>
      </c>
      <c r="T155" s="67">
        <f>$J155</f>
        <v>4784579.534</v>
      </c>
      <c r="U155" s="67">
        <f>$K155</f>
        <v>6998142</v>
      </c>
      <c r="V155" s="67">
        <f>$L155</f>
        <v>7722183.1390800001</v>
      </c>
      <c r="W155" s="190"/>
      <c r="X155" s="64"/>
      <c r="Y155" s="67">
        <f>$E155</f>
        <v>1330248.0319999999</v>
      </c>
      <c r="Z155" s="67">
        <f>$F155</f>
        <v>1573059.8829999999</v>
      </c>
      <c r="AA155" s="67">
        <f>$G155</f>
        <v>1539616.41</v>
      </c>
      <c r="AB155" s="67">
        <f>$H155</f>
        <v>1344965.348</v>
      </c>
      <c r="AC155" s="67">
        <f>$I155</f>
        <v>2404704.3080000002</v>
      </c>
      <c r="AD155" s="67">
        <f>$J155</f>
        <v>4784579.534</v>
      </c>
      <c r="AE155" s="67">
        <f>$K155</f>
        <v>6998142</v>
      </c>
      <c r="AF155" s="67">
        <f>$L155</f>
        <v>7722183.1390800001</v>
      </c>
      <c r="AG155" s="64"/>
      <c r="AH155" s="67">
        <f>$E155</f>
        <v>1330248.0319999999</v>
      </c>
      <c r="AI155" s="67">
        <f>$F155</f>
        <v>1573059.8829999999</v>
      </c>
      <c r="AJ155" s="67">
        <f>$G155</f>
        <v>1539616.41</v>
      </c>
      <c r="AK155" s="67">
        <f>$H155</f>
        <v>1344965.348</v>
      </c>
      <c r="AL155" s="67">
        <f>$I155</f>
        <v>2404704.3080000002</v>
      </c>
      <c r="AM155" s="67">
        <f>$J155</f>
        <v>4784579.534</v>
      </c>
      <c r="AN155" s="67">
        <f>$K155</f>
        <v>6998142</v>
      </c>
      <c r="AO155" s="67">
        <f>$L155</f>
        <v>7722183.1390800001</v>
      </c>
      <c r="AP155" s="64"/>
      <c r="AQ155" s="67">
        <f>$E155</f>
        <v>1330248.0319999999</v>
      </c>
      <c r="AR155" s="67">
        <f>$F155</f>
        <v>1573059.8829999999</v>
      </c>
      <c r="AS155" s="67">
        <f>$G155</f>
        <v>1539616.41</v>
      </c>
      <c r="AT155" s="67">
        <f>$H155</f>
        <v>1344965.348</v>
      </c>
      <c r="AU155" s="67">
        <f>$I155</f>
        <v>2404704.3080000002</v>
      </c>
      <c r="AV155" s="67">
        <f>$J155</f>
        <v>4784579.534</v>
      </c>
      <c r="AW155" s="67">
        <f>$K155</f>
        <v>6998142</v>
      </c>
      <c r="AX155" s="67">
        <f>$L155</f>
        <v>7722183.1390800001</v>
      </c>
      <c r="AY155" s="190"/>
      <c r="AZ155" s="64"/>
      <c r="BA155" s="67">
        <f>$E155</f>
        <v>1330248.0319999999</v>
      </c>
      <c r="BB155" s="67">
        <f>$F155</f>
        <v>1573059.8829999999</v>
      </c>
      <c r="BC155" s="67">
        <f>$G155</f>
        <v>1539616.41</v>
      </c>
      <c r="BD155" s="67">
        <f>$H155</f>
        <v>1344965.348</v>
      </c>
      <c r="BE155" s="67">
        <f>$I155</f>
        <v>2404704.3080000002</v>
      </c>
      <c r="BF155" s="67">
        <f>$J155</f>
        <v>4784579.534</v>
      </c>
      <c r="BG155" s="67">
        <f>$K155</f>
        <v>6998142</v>
      </c>
      <c r="BH155" s="67">
        <f>$L155</f>
        <v>7722183.1390800001</v>
      </c>
    </row>
    <row r="156" spans="2:60" x14ac:dyDescent="0.3">
      <c r="C156" s="65"/>
      <c r="D156" s="77"/>
      <c r="E156" s="95"/>
      <c r="F156" s="41"/>
      <c r="G156" s="41"/>
      <c r="H156" s="41"/>
      <c r="I156" s="41"/>
      <c r="J156" s="41"/>
      <c r="K156" s="41"/>
      <c r="L156" s="41"/>
      <c r="M156" s="169"/>
      <c r="O156" s="41"/>
      <c r="P156" s="40"/>
      <c r="Q156" s="40"/>
      <c r="R156" s="40"/>
      <c r="S156" s="40"/>
      <c r="T156" s="40"/>
      <c r="U156" s="40"/>
      <c r="V156" s="40"/>
      <c r="W156" s="169"/>
      <c r="Y156" s="41"/>
      <c r="Z156" s="40"/>
      <c r="AA156" s="40"/>
      <c r="AB156" s="40"/>
      <c r="AC156" s="40"/>
      <c r="AD156" s="40"/>
      <c r="AE156" s="40"/>
      <c r="AF156" s="40"/>
      <c r="AH156" s="41"/>
      <c r="AI156" s="40"/>
      <c r="AJ156" s="40"/>
      <c r="AK156" s="40"/>
      <c r="AL156" s="40"/>
      <c r="AM156" s="40"/>
      <c r="AN156" s="40"/>
      <c r="AO156" s="40"/>
      <c r="AQ156" s="41"/>
      <c r="AR156" s="40"/>
      <c r="AS156" s="40"/>
      <c r="AT156" s="40"/>
      <c r="AU156" s="40"/>
      <c r="AV156" s="40"/>
      <c r="AW156" s="40"/>
      <c r="AX156" s="40"/>
      <c r="AY156" s="169"/>
      <c r="BA156" s="41"/>
      <c r="BB156" s="40"/>
      <c r="BC156" s="40"/>
      <c r="BD156" s="40"/>
      <c r="BE156" s="40"/>
      <c r="BF156" s="40"/>
      <c r="BG156" s="40"/>
      <c r="BH156" s="40"/>
    </row>
    <row r="157" spans="2:60" x14ac:dyDescent="0.3">
      <c r="C157" s="80" t="s">
        <v>114</v>
      </c>
      <c r="D157" s="122"/>
      <c r="E157" s="48">
        <f t="shared" ref="E157:L157" si="320">SUM(E158:E161)</f>
        <v>3333182.6744200005</v>
      </c>
      <c r="F157" s="48">
        <f t="shared" si="320"/>
        <v>4673537.5772599997</v>
      </c>
      <c r="G157" s="48">
        <f t="shared" si="320"/>
        <v>4675803.431862344</v>
      </c>
      <c r="H157" s="48">
        <f t="shared" si="320"/>
        <v>6092385.5559</v>
      </c>
      <c r="I157" s="48">
        <f t="shared" si="320"/>
        <v>8070138.8522099992</v>
      </c>
      <c r="J157" s="48">
        <f t="shared" si="320"/>
        <v>10273567.47518984</v>
      </c>
      <c r="K157" s="48">
        <f t="shared" si="320"/>
        <v>14790726.199999999</v>
      </c>
      <c r="L157" s="48">
        <f t="shared" si="320"/>
        <v>14597264.453412892</v>
      </c>
      <c r="M157" s="173">
        <f>L157/K157-1</f>
        <v>-1.3079935627982042E-2</v>
      </c>
      <c r="O157" s="100">
        <f t="shared" ref="O157:T157" si="321">SUM(O158:O161)</f>
        <v>3333182.6744200005</v>
      </c>
      <c r="P157" s="100">
        <f t="shared" si="321"/>
        <v>4673537.5772599997</v>
      </c>
      <c r="Q157" s="100">
        <f t="shared" si="321"/>
        <v>4675803.431862344</v>
      </c>
      <c r="R157" s="100">
        <f t="shared" si="321"/>
        <v>6092385.5559</v>
      </c>
      <c r="S157" s="100">
        <f t="shared" si="321"/>
        <v>8070138.8522099992</v>
      </c>
      <c r="T157" s="100">
        <f t="shared" si="321"/>
        <v>10273567.47518984</v>
      </c>
      <c r="U157" s="100">
        <f>SUM(U158:U161)</f>
        <v>14790726.199999999</v>
      </c>
      <c r="V157" s="100">
        <f>SUM(V158:V161)</f>
        <v>14597264.453412892</v>
      </c>
      <c r="W157" s="173">
        <f>V157/U157-1</f>
        <v>-1.3079935627982042E-2</v>
      </c>
      <c r="Y157" s="100">
        <f t="shared" ref="Y157:AD157" si="322">SUM(Y158:Y161)</f>
        <v>3333182.6744200005</v>
      </c>
      <c r="Z157" s="100">
        <f t="shared" si="322"/>
        <v>4673537.5772599997</v>
      </c>
      <c r="AA157" s="100">
        <f t="shared" si="322"/>
        <v>4675803.431862344</v>
      </c>
      <c r="AB157" s="100">
        <f t="shared" si="322"/>
        <v>6092385.5559</v>
      </c>
      <c r="AC157" s="100">
        <f t="shared" si="322"/>
        <v>8070138.8522099992</v>
      </c>
      <c r="AD157" s="100">
        <f t="shared" si="322"/>
        <v>10273567.47518984</v>
      </c>
      <c r="AE157" s="100">
        <f>SUM(AE158:AE161)</f>
        <v>14790726.199999999</v>
      </c>
      <c r="AF157" s="100">
        <f>SUM(AF158:AF161)</f>
        <v>14597264.453412892</v>
      </c>
      <c r="AG157" s="100"/>
      <c r="AH157" s="100">
        <f t="shared" ref="AH157:AM157" si="323">SUM(AH158:AH161)</f>
        <v>3333182.6744200005</v>
      </c>
      <c r="AI157" s="100">
        <f t="shared" si="323"/>
        <v>4673537.5772599997</v>
      </c>
      <c r="AJ157" s="100">
        <f t="shared" si="323"/>
        <v>4675803.431862344</v>
      </c>
      <c r="AK157" s="100">
        <f t="shared" si="323"/>
        <v>6092385.5559</v>
      </c>
      <c r="AL157" s="100">
        <f t="shared" si="323"/>
        <v>8070138.8522099992</v>
      </c>
      <c r="AM157" s="100">
        <f t="shared" si="323"/>
        <v>10273567.47518984</v>
      </c>
      <c r="AN157" s="100">
        <f>SUM(AN158:AN161)</f>
        <v>14790726.199999999</v>
      </c>
      <c r="AO157" s="100">
        <f>SUM(AO158:AO161)</f>
        <v>14597264.453412892</v>
      </c>
      <c r="AP157" s="100"/>
      <c r="AQ157" s="100">
        <f t="shared" ref="AQ157:AV157" si="324">SUM(AQ158:AQ161)</f>
        <v>3333182.6744200005</v>
      </c>
      <c r="AR157" s="100">
        <f t="shared" si="324"/>
        <v>4673537.5772599997</v>
      </c>
      <c r="AS157" s="100">
        <f t="shared" si="324"/>
        <v>4675803.431862344</v>
      </c>
      <c r="AT157" s="100">
        <f t="shared" si="324"/>
        <v>6092385.5559</v>
      </c>
      <c r="AU157" s="100">
        <f t="shared" si="324"/>
        <v>8070138.8522099992</v>
      </c>
      <c r="AV157" s="100">
        <f t="shared" si="324"/>
        <v>10273567.47518984</v>
      </c>
      <c r="AW157" s="100">
        <f>SUM(AW158:AW161)</f>
        <v>14790726.199999999</v>
      </c>
      <c r="AX157" s="100">
        <f>SUM(AX158:AX161)</f>
        <v>14597264.453412892</v>
      </c>
      <c r="AY157" s="173">
        <f>AX157/AW157-1</f>
        <v>-1.3079935627982042E-2</v>
      </c>
      <c r="AZ157" s="70"/>
      <c r="BA157" s="100">
        <f t="shared" ref="BA157:BF157" si="325">SUM(BA158:BA161)</f>
        <v>3333182.6744200005</v>
      </c>
      <c r="BB157" s="100">
        <f t="shared" si="325"/>
        <v>4673537.5772599997</v>
      </c>
      <c r="BC157" s="100">
        <f t="shared" si="325"/>
        <v>4675803.431862344</v>
      </c>
      <c r="BD157" s="100">
        <f t="shared" si="325"/>
        <v>6092385.5559</v>
      </c>
      <c r="BE157" s="100">
        <f t="shared" si="325"/>
        <v>8070138.8522099992</v>
      </c>
      <c r="BF157" s="100">
        <f t="shared" si="325"/>
        <v>10273567.47518984</v>
      </c>
      <c r="BG157" s="100">
        <f>SUM(BG158:BG161)</f>
        <v>14790726.199999999</v>
      </c>
      <c r="BH157" s="100">
        <f>SUM(BH158:BH161)</f>
        <v>14597264.453412892</v>
      </c>
    </row>
    <row r="158" spans="2:60" x14ac:dyDescent="0.3">
      <c r="C158" s="77" t="s">
        <v>142</v>
      </c>
      <c r="D158" s="77">
        <v>48.2</v>
      </c>
      <c r="E158" s="97">
        <v>1933849.3574200002</v>
      </c>
      <c r="F158" s="97">
        <v>3816158.8562599998</v>
      </c>
      <c r="G158" s="97">
        <v>4488832.3052399997</v>
      </c>
      <c r="H158" s="97">
        <v>4651708.7318099998</v>
      </c>
      <c r="I158" s="97">
        <v>2402184.9225400002</v>
      </c>
      <c r="J158" s="97">
        <f>'Quarterly I.S'!N157</f>
        <v>2137960.0600399999</v>
      </c>
      <c r="K158" s="97">
        <f>'Quarterly I.S'!R157</f>
        <v>6761753</v>
      </c>
      <c r="L158" s="97">
        <f>'Quarterly I.S'!V157</f>
        <v>6074997</v>
      </c>
      <c r="M158" s="190">
        <f>L158/K158-1</f>
        <v>-0.10156478652799061</v>
      </c>
      <c r="O158" s="67">
        <f>$E158</f>
        <v>1933849.3574200002</v>
      </c>
      <c r="P158" s="67">
        <f>$F158</f>
        <v>3816158.8562599998</v>
      </c>
      <c r="Q158" s="67">
        <f>$G158</f>
        <v>4488832.3052399997</v>
      </c>
      <c r="R158" s="67">
        <f>$H158</f>
        <v>4651708.7318099998</v>
      </c>
      <c r="S158" s="67">
        <f>$I158</f>
        <v>2402184.9225400002</v>
      </c>
      <c r="T158" s="67">
        <f>$J158</f>
        <v>2137960.0600399999</v>
      </c>
      <c r="U158" s="67">
        <f>$K158</f>
        <v>6761753</v>
      </c>
      <c r="V158" s="67">
        <f>$L158</f>
        <v>6074997</v>
      </c>
      <c r="W158" s="190">
        <f>V158/U158-1</f>
        <v>-0.10156478652799061</v>
      </c>
      <c r="X158" s="64"/>
      <c r="Y158" s="67">
        <f>$E158</f>
        <v>1933849.3574200002</v>
      </c>
      <c r="Z158" s="67">
        <f>$F158</f>
        <v>3816158.8562599998</v>
      </c>
      <c r="AA158" s="67">
        <f>$G158</f>
        <v>4488832.3052399997</v>
      </c>
      <c r="AB158" s="67">
        <f>$H158</f>
        <v>4651708.7318099998</v>
      </c>
      <c r="AC158" s="67">
        <f>$I158</f>
        <v>2402184.9225400002</v>
      </c>
      <c r="AD158" s="67">
        <f>$J158</f>
        <v>2137960.0600399999</v>
      </c>
      <c r="AE158" s="67">
        <f>$K158</f>
        <v>6761753</v>
      </c>
      <c r="AF158" s="67">
        <f>$L158</f>
        <v>6074997</v>
      </c>
      <c r="AG158" s="64"/>
      <c r="AH158" s="67">
        <f>$E158</f>
        <v>1933849.3574200002</v>
      </c>
      <c r="AI158" s="67">
        <f>$F158</f>
        <v>3816158.8562599998</v>
      </c>
      <c r="AJ158" s="67">
        <f>$G158</f>
        <v>4488832.3052399997</v>
      </c>
      <c r="AK158" s="67">
        <f>$H158</f>
        <v>4651708.7318099998</v>
      </c>
      <c r="AL158" s="67">
        <f>$I158</f>
        <v>2402184.9225400002</v>
      </c>
      <c r="AM158" s="67">
        <f>$J158</f>
        <v>2137960.0600399999</v>
      </c>
      <c r="AN158" s="67">
        <f>$K158</f>
        <v>6761753</v>
      </c>
      <c r="AO158" s="67">
        <f>$L158</f>
        <v>6074997</v>
      </c>
      <c r="AP158" s="64"/>
      <c r="AQ158" s="67">
        <f>$E158</f>
        <v>1933849.3574200002</v>
      </c>
      <c r="AR158" s="67">
        <f>$F158</f>
        <v>3816158.8562599998</v>
      </c>
      <c r="AS158" s="67">
        <f>$G158</f>
        <v>4488832.3052399997</v>
      </c>
      <c r="AT158" s="67">
        <f>$H158</f>
        <v>4651708.7318099998</v>
      </c>
      <c r="AU158" s="67">
        <f>$I158</f>
        <v>2402184.9225400002</v>
      </c>
      <c r="AV158" s="67">
        <f>$J158</f>
        <v>2137960.0600399999</v>
      </c>
      <c r="AW158" s="67">
        <f>$K158</f>
        <v>6761753</v>
      </c>
      <c r="AX158" s="67">
        <f>$L158</f>
        <v>6074997</v>
      </c>
      <c r="AY158" s="190">
        <f>AX158/AW158-1</f>
        <v>-0.10156478652799061</v>
      </c>
      <c r="AZ158" s="64"/>
      <c r="BA158" s="67">
        <f>$E158</f>
        <v>1933849.3574200002</v>
      </c>
      <c r="BB158" s="67">
        <f>$F158</f>
        <v>3816158.8562599998</v>
      </c>
      <c r="BC158" s="67">
        <f>$G158</f>
        <v>4488832.3052399997</v>
      </c>
      <c r="BD158" s="67">
        <f>$H158</f>
        <v>4651708.7318099998</v>
      </c>
      <c r="BE158" s="67">
        <f>$I158</f>
        <v>2402184.9225400002</v>
      </c>
      <c r="BF158" s="67">
        <f>$J158</f>
        <v>2137960.0600399999</v>
      </c>
      <c r="BG158" s="67">
        <f>$K158</f>
        <v>6761753</v>
      </c>
      <c r="BH158" s="67">
        <f>$L158</f>
        <v>6074997</v>
      </c>
    </row>
    <row r="159" spans="2:60" x14ac:dyDescent="0.3">
      <c r="C159" s="77" t="s">
        <v>107</v>
      </c>
      <c r="D159" s="77" t="s">
        <v>149</v>
      </c>
      <c r="E159" s="97">
        <v>0</v>
      </c>
      <c r="F159" s="97">
        <v>0</v>
      </c>
      <c r="G159" s="97">
        <v>0</v>
      </c>
      <c r="H159" s="97">
        <v>0</v>
      </c>
      <c r="I159" s="97">
        <v>3150198.9686699994</v>
      </c>
      <c r="J159" s="97">
        <f>'Quarterly I.S'!N158</f>
        <v>4347921.2783399997</v>
      </c>
      <c r="K159" s="97">
        <f>'Quarterly I.S'!R158</f>
        <v>4238136</v>
      </c>
      <c r="L159" s="97">
        <f>'Quarterly I.S'!V158</f>
        <v>2227048</v>
      </c>
      <c r="M159" s="190">
        <f>L159/K159-1</f>
        <v>-0.47452181808228899</v>
      </c>
      <c r="O159" s="67">
        <f>$E159</f>
        <v>0</v>
      </c>
      <c r="P159" s="67">
        <f>$F159</f>
        <v>0</v>
      </c>
      <c r="Q159" s="67">
        <f>$G159</f>
        <v>0</v>
      </c>
      <c r="R159" s="67">
        <f>$H159</f>
        <v>0</v>
      </c>
      <c r="S159" s="67">
        <f>$I159</f>
        <v>3150198.9686699994</v>
      </c>
      <c r="T159" s="67">
        <f>$J159</f>
        <v>4347921.2783399997</v>
      </c>
      <c r="U159" s="67">
        <f>$K159</f>
        <v>4238136</v>
      </c>
      <c r="V159" s="67">
        <f>$L159</f>
        <v>2227048</v>
      </c>
      <c r="W159" s="190">
        <f>V159/U159-1</f>
        <v>-0.47452181808228899</v>
      </c>
      <c r="X159" s="64"/>
      <c r="Y159" s="67">
        <f>$E159</f>
        <v>0</v>
      </c>
      <c r="Z159" s="67">
        <f>$F159</f>
        <v>0</v>
      </c>
      <c r="AA159" s="67">
        <f>$G159</f>
        <v>0</v>
      </c>
      <c r="AB159" s="67">
        <f>$H159</f>
        <v>0</v>
      </c>
      <c r="AC159" s="67">
        <f>$I159</f>
        <v>3150198.9686699994</v>
      </c>
      <c r="AD159" s="67">
        <f>$J159</f>
        <v>4347921.2783399997</v>
      </c>
      <c r="AE159" s="67">
        <f>$K159</f>
        <v>4238136</v>
      </c>
      <c r="AF159" s="67">
        <f>$L159</f>
        <v>2227048</v>
      </c>
      <c r="AG159" s="64"/>
      <c r="AH159" s="67">
        <f>$E159</f>
        <v>0</v>
      </c>
      <c r="AI159" s="67">
        <f>$F159</f>
        <v>0</v>
      </c>
      <c r="AJ159" s="67">
        <f>$G159</f>
        <v>0</v>
      </c>
      <c r="AK159" s="67">
        <f>$H159</f>
        <v>0</v>
      </c>
      <c r="AL159" s="67">
        <f>$I159</f>
        <v>3150198.9686699994</v>
      </c>
      <c r="AM159" s="67">
        <f>$J159</f>
        <v>4347921.2783399997</v>
      </c>
      <c r="AN159" s="67">
        <f>$K159</f>
        <v>4238136</v>
      </c>
      <c r="AO159" s="67">
        <f>$L159</f>
        <v>2227048</v>
      </c>
      <c r="AP159" s="64"/>
      <c r="AQ159" s="67">
        <f>$E159</f>
        <v>0</v>
      </c>
      <c r="AR159" s="67">
        <f>$F159</f>
        <v>0</v>
      </c>
      <c r="AS159" s="67">
        <f>$G159</f>
        <v>0</v>
      </c>
      <c r="AT159" s="67">
        <f>$H159</f>
        <v>0</v>
      </c>
      <c r="AU159" s="67">
        <f>$I159</f>
        <v>3150198.9686699994</v>
      </c>
      <c r="AV159" s="67">
        <f>$J159</f>
        <v>4347921.2783399997</v>
      </c>
      <c r="AW159" s="67">
        <f>$K159</f>
        <v>4238136</v>
      </c>
      <c r="AX159" s="67">
        <f>$L159</f>
        <v>2227048</v>
      </c>
      <c r="AY159" s="190">
        <f>AX159/AW159-1</f>
        <v>-0.47452181808228899</v>
      </c>
      <c r="AZ159" s="64"/>
      <c r="BA159" s="67">
        <f>$E159</f>
        <v>0</v>
      </c>
      <c r="BB159" s="67">
        <f>$F159</f>
        <v>0</v>
      </c>
      <c r="BC159" s="67">
        <f>$G159</f>
        <v>0</v>
      </c>
      <c r="BD159" s="67">
        <f>$H159</f>
        <v>0</v>
      </c>
      <c r="BE159" s="67">
        <f>$I159</f>
        <v>3150198.9686699994</v>
      </c>
      <c r="BF159" s="67">
        <f>$J159</f>
        <v>4347921.2783399997</v>
      </c>
      <c r="BG159" s="67">
        <f>$K159</f>
        <v>4238136</v>
      </c>
      <c r="BH159" s="67">
        <f>$L159</f>
        <v>2227048</v>
      </c>
    </row>
    <row r="160" spans="2:60" x14ac:dyDescent="0.3">
      <c r="C160" s="77" t="s">
        <v>108</v>
      </c>
      <c r="D160" s="77" t="s">
        <v>150</v>
      </c>
      <c r="E160" s="97">
        <v>1193910.0919999999</v>
      </c>
      <c r="F160" s="97">
        <v>135440.117</v>
      </c>
      <c r="G160" s="97">
        <v>67246.491622344751</v>
      </c>
      <c r="H160" s="97">
        <v>1385931.1740899999</v>
      </c>
      <c r="I160" s="97">
        <v>2468506.4019999998</v>
      </c>
      <c r="J160" s="97">
        <f>'Quarterly I.S'!N159</f>
        <v>3679875.97580984</v>
      </c>
      <c r="K160" s="97">
        <f>'Quarterly I.S'!R159</f>
        <v>3433078</v>
      </c>
      <c r="L160" s="97">
        <f>'Quarterly I.S'!V159</f>
        <v>5539650</v>
      </c>
      <c r="M160" s="190">
        <f>L160/K160-1</f>
        <v>0.61361029373640807</v>
      </c>
      <c r="O160" s="67">
        <f>$E160</f>
        <v>1193910.0919999999</v>
      </c>
      <c r="P160" s="67">
        <f>$F160</f>
        <v>135440.117</v>
      </c>
      <c r="Q160" s="67">
        <f>$G160</f>
        <v>67246.491622344751</v>
      </c>
      <c r="R160" s="67">
        <f>$H160</f>
        <v>1385931.1740899999</v>
      </c>
      <c r="S160" s="67">
        <f>$I160</f>
        <v>2468506.4019999998</v>
      </c>
      <c r="T160" s="67">
        <f>$J160</f>
        <v>3679875.97580984</v>
      </c>
      <c r="U160" s="67">
        <f>$K160</f>
        <v>3433078</v>
      </c>
      <c r="V160" s="67">
        <f>$L160</f>
        <v>5539650</v>
      </c>
      <c r="W160" s="190">
        <f>V160/U160-1</f>
        <v>0.61361029373640807</v>
      </c>
      <c r="X160" s="64"/>
      <c r="Y160" s="67">
        <f>$E160</f>
        <v>1193910.0919999999</v>
      </c>
      <c r="Z160" s="67">
        <f>$F160</f>
        <v>135440.117</v>
      </c>
      <c r="AA160" s="67">
        <f>$G160</f>
        <v>67246.491622344751</v>
      </c>
      <c r="AB160" s="67">
        <f>$H160</f>
        <v>1385931.1740899999</v>
      </c>
      <c r="AC160" s="67">
        <f>$I160</f>
        <v>2468506.4019999998</v>
      </c>
      <c r="AD160" s="67">
        <f>$J160</f>
        <v>3679875.97580984</v>
      </c>
      <c r="AE160" s="67">
        <f>$K160</f>
        <v>3433078</v>
      </c>
      <c r="AF160" s="67">
        <f>$L160</f>
        <v>5539650</v>
      </c>
      <c r="AG160" s="64"/>
      <c r="AH160" s="67">
        <f>$E160</f>
        <v>1193910.0919999999</v>
      </c>
      <c r="AI160" s="67">
        <f>$F160</f>
        <v>135440.117</v>
      </c>
      <c r="AJ160" s="67">
        <f>$G160</f>
        <v>67246.491622344751</v>
      </c>
      <c r="AK160" s="67">
        <f>$H160</f>
        <v>1385931.1740899999</v>
      </c>
      <c r="AL160" s="67">
        <f>$I160</f>
        <v>2468506.4019999998</v>
      </c>
      <c r="AM160" s="67">
        <f>$J160</f>
        <v>3679875.97580984</v>
      </c>
      <c r="AN160" s="67">
        <f>$K160</f>
        <v>3433078</v>
      </c>
      <c r="AO160" s="67">
        <f>$L160</f>
        <v>5539650</v>
      </c>
      <c r="AP160" s="64"/>
      <c r="AQ160" s="67">
        <f>$E160</f>
        <v>1193910.0919999999</v>
      </c>
      <c r="AR160" s="67">
        <f>$F160</f>
        <v>135440.117</v>
      </c>
      <c r="AS160" s="67">
        <f>$G160</f>
        <v>67246.491622344751</v>
      </c>
      <c r="AT160" s="67">
        <f>$H160</f>
        <v>1385931.1740899999</v>
      </c>
      <c r="AU160" s="67">
        <f>$I160</f>
        <v>2468506.4019999998</v>
      </c>
      <c r="AV160" s="67">
        <f>$J160</f>
        <v>3679875.97580984</v>
      </c>
      <c r="AW160" s="67">
        <f>$K160</f>
        <v>3433078</v>
      </c>
      <c r="AX160" s="67">
        <f>$L160</f>
        <v>5539650</v>
      </c>
      <c r="AY160" s="190">
        <f>AX160/AW160-1</f>
        <v>0.61361029373640807</v>
      </c>
      <c r="AZ160" s="64"/>
      <c r="BA160" s="67">
        <f>$E160</f>
        <v>1193910.0919999999</v>
      </c>
      <c r="BB160" s="67">
        <f>$F160</f>
        <v>135440.117</v>
      </c>
      <c r="BC160" s="67">
        <f>$G160</f>
        <v>67246.491622344751</v>
      </c>
      <c r="BD160" s="67">
        <f>$H160</f>
        <v>1385931.1740899999</v>
      </c>
      <c r="BE160" s="67">
        <f>$I160</f>
        <v>2468506.4019999998</v>
      </c>
      <c r="BF160" s="67">
        <f>$J160</f>
        <v>3679875.97580984</v>
      </c>
      <c r="BG160" s="67">
        <f>$K160</f>
        <v>3433078</v>
      </c>
      <c r="BH160" s="67">
        <f>$L160</f>
        <v>5539650</v>
      </c>
    </row>
    <row r="161" spans="2:60" x14ac:dyDescent="0.3">
      <c r="C161" s="77" t="s">
        <v>109</v>
      </c>
      <c r="D161" s="77">
        <v>46</v>
      </c>
      <c r="E161" s="97">
        <v>205423.22500000001</v>
      </c>
      <c r="F161" s="97">
        <v>721938.60400000005</v>
      </c>
      <c r="G161" s="97">
        <v>119724.63499999999</v>
      </c>
      <c r="H161" s="97">
        <v>54745.65</v>
      </c>
      <c r="I161" s="97">
        <v>49248.559000000001</v>
      </c>
      <c r="J161" s="97">
        <f>'Quarterly I.S'!N160</f>
        <v>107810.16099999999</v>
      </c>
      <c r="K161" s="97">
        <f>'Quarterly I.S'!R160</f>
        <v>357759.2</v>
      </c>
      <c r="L161" s="97">
        <f>'Quarterly I.S'!V160</f>
        <v>755569.45341289195</v>
      </c>
      <c r="M161" s="190">
        <f>L161/K161-1</f>
        <v>1.1119497511535466</v>
      </c>
      <c r="O161" s="67">
        <f>$E161</f>
        <v>205423.22500000001</v>
      </c>
      <c r="P161" s="67">
        <f>$F161</f>
        <v>721938.60400000005</v>
      </c>
      <c r="Q161" s="67">
        <f>$G161</f>
        <v>119724.63499999999</v>
      </c>
      <c r="R161" s="67">
        <f>$H161</f>
        <v>54745.65</v>
      </c>
      <c r="S161" s="67">
        <f>$I161</f>
        <v>49248.559000000001</v>
      </c>
      <c r="T161" s="67">
        <f>$J161</f>
        <v>107810.16099999999</v>
      </c>
      <c r="U161" s="67">
        <f>$K161</f>
        <v>357759.2</v>
      </c>
      <c r="V161" s="67">
        <f>$L161</f>
        <v>755569.45341289195</v>
      </c>
      <c r="W161" s="190">
        <f>V161/U161-1</f>
        <v>1.1119497511535466</v>
      </c>
      <c r="X161" s="64"/>
      <c r="Y161" s="67">
        <f>$E161</f>
        <v>205423.22500000001</v>
      </c>
      <c r="Z161" s="67">
        <f>$F161</f>
        <v>721938.60400000005</v>
      </c>
      <c r="AA161" s="67">
        <f>$G161</f>
        <v>119724.63499999999</v>
      </c>
      <c r="AB161" s="67">
        <f>$H161</f>
        <v>54745.65</v>
      </c>
      <c r="AC161" s="67">
        <f>$I161</f>
        <v>49248.559000000001</v>
      </c>
      <c r="AD161" s="67">
        <f>$J161</f>
        <v>107810.16099999999</v>
      </c>
      <c r="AE161" s="67">
        <f>$K161</f>
        <v>357759.2</v>
      </c>
      <c r="AF161" s="67">
        <f>$L161</f>
        <v>755569.45341289195</v>
      </c>
      <c r="AG161" s="64"/>
      <c r="AH161" s="67">
        <f>$E161</f>
        <v>205423.22500000001</v>
      </c>
      <c r="AI161" s="67">
        <f>$F161</f>
        <v>721938.60400000005</v>
      </c>
      <c r="AJ161" s="67">
        <f>$G161</f>
        <v>119724.63499999999</v>
      </c>
      <c r="AK161" s="67">
        <f>$H161</f>
        <v>54745.65</v>
      </c>
      <c r="AL161" s="67">
        <f>$I161</f>
        <v>49248.559000000001</v>
      </c>
      <c r="AM161" s="67">
        <f>$J161</f>
        <v>107810.16099999999</v>
      </c>
      <c r="AN161" s="67">
        <f>$K161</f>
        <v>357759.2</v>
      </c>
      <c r="AO161" s="67">
        <f>$L161</f>
        <v>755569.45341289195</v>
      </c>
      <c r="AP161" s="64"/>
      <c r="AQ161" s="67">
        <f>$E161</f>
        <v>205423.22500000001</v>
      </c>
      <c r="AR161" s="67">
        <f>$F161</f>
        <v>721938.60400000005</v>
      </c>
      <c r="AS161" s="67">
        <f>$G161</f>
        <v>119724.63499999999</v>
      </c>
      <c r="AT161" s="67">
        <f>$H161</f>
        <v>54745.65</v>
      </c>
      <c r="AU161" s="67">
        <f>$I161</f>
        <v>49248.559000000001</v>
      </c>
      <c r="AV161" s="67">
        <f>$J161</f>
        <v>107810.16099999999</v>
      </c>
      <c r="AW161" s="67">
        <f>$K161</f>
        <v>357759.2</v>
      </c>
      <c r="AX161" s="67">
        <f>$L161</f>
        <v>755569.45341289195</v>
      </c>
      <c r="AY161" s="190">
        <f>AX161/AW161-1</f>
        <v>1.1119497511535466</v>
      </c>
      <c r="AZ161" s="64"/>
      <c r="BA161" s="67">
        <f>$E161</f>
        <v>205423.22500000001</v>
      </c>
      <c r="BB161" s="67">
        <f>$F161</f>
        <v>721938.60400000005</v>
      </c>
      <c r="BC161" s="67">
        <f>$G161</f>
        <v>119724.63499999999</v>
      </c>
      <c r="BD161" s="67">
        <f>$H161</f>
        <v>54745.65</v>
      </c>
      <c r="BE161" s="67">
        <f>$I161</f>
        <v>49248.559000000001</v>
      </c>
      <c r="BF161" s="67">
        <f>$J161</f>
        <v>107810.16099999999</v>
      </c>
      <c r="BG161" s="67">
        <f>$K161</f>
        <v>357759.2</v>
      </c>
      <c r="BH161" s="67">
        <f>$L161</f>
        <v>755569.45341289195</v>
      </c>
    </row>
    <row r="162" spans="2:60" x14ac:dyDescent="0.3">
      <c r="C162" s="77"/>
      <c r="D162" s="77"/>
      <c r="E162" s="95"/>
      <c r="F162" s="41"/>
      <c r="G162" s="41"/>
      <c r="H162" s="41"/>
      <c r="I162" s="41"/>
      <c r="J162" s="41"/>
      <c r="K162" s="41"/>
      <c r="L162" s="41"/>
      <c r="M162" s="169"/>
      <c r="O162" s="41"/>
      <c r="P162" s="40"/>
      <c r="Q162" s="40"/>
      <c r="R162" s="40"/>
      <c r="S162" s="40"/>
      <c r="T162" s="40"/>
      <c r="U162" s="40"/>
      <c r="V162" s="40"/>
      <c r="W162" s="169"/>
      <c r="Y162" s="41"/>
      <c r="Z162" s="40"/>
      <c r="AA162" s="40"/>
      <c r="AB162" s="40"/>
      <c r="AC162" s="40"/>
      <c r="AD162" s="40"/>
      <c r="AE162" s="40"/>
      <c r="AF162" s="40"/>
      <c r="AH162" s="41"/>
      <c r="AI162" s="40"/>
      <c r="AJ162" s="40"/>
      <c r="AK162" s="40"/>
      <c r="AL162" s="40"/>
      <c r="AM162" s="40"/>
      <c r="AN162" s="40"/>
      <c r="AO162" s="40"/>
      <c r="AQ162" s="41"/>
      <c r="AR162" s="40"/>
      <c r="AS162" s="40"/>
      <c r="AT162" s="40"/>
      <c r="AU162" s="40"/>
      <c r="AV162" s="40"/>
      <c r="AW162" s="40"/>
      <c r="AX162" s="40"/>
      <c r="AY162" s="169"/>
      <c r="BA162" s="41"/>
      <c r="BB162" s="40"/>
      <c r="BC162" s="40"/>
      <c r="BD162" s="40"/>
      <c r="BE162" s="40"/>
      <c r="BF162" s="40"/>
      <c r="BG162" s="40"/>
      <c r="BH162" s="40"/>
    </row>
    <row r="163" spans="2:60" ht="13.5" thickBot="1" x14ac:dyDescent="0.35">
      <c r="C163" s="78" t="s">
        <v>113</v>
      </c>
      <c r="D163" s="124"/>
      <c r="E163" s="102">
        <f>E154+E157</f>
        <v>4663430.7064200006</v>
      </c>
      <c r="F163" s="102">
        <f t="shared" ref="F163:S163" si="326">F154+F157</f>
        <v>6246597.4602600001</v>
      </c>
      <c r="G163" s="102">
        <f t="shared" si="326"/>
        <v>6215419.8418623442</v>
      </c>
      <c r="H163" s="102">
        <f t="shared" si="326"/>
        <v>7437350.9039000003</v>
      </c>
      <c r="I163" s="102">
        <f t="shared" si="326"/>
        <v>10474843.160209998</v>
      </c>
      <c r="J163" s="102">
        <f>J154+J157</f>
        <v>15058147.00918984</v>
      </c>
      <c r="K163" s="102">
        <f>K154+K157</f>
        <v>21788868.199999999</v>
      </c>
      <c r="L163" s="102">
        <f>L154+L157</f>
        <v>22319447.592492893</v>
      </c>
      <c r="M163" s="194">
        <f>L163/K163-1</f>
        <v>2.4350938636312103E-2</v>
      </c>
      <c r="N163" s="71"/>
      <c r="O163" s="102">
        <f t="shared" si="326"/>
        <v>4663430.7064200006</v>
      </c>
      <c r="P163" s="102">
        <f t="shared" si="326"/>
        <v>6246597.4602600001</v>
      </c>
      <c r="Q163" s="102">
        <f t="shared" si="326"/>
        <v>6215419.8418623442</v>
      </c>
      <c r="R163" s="102">
        <f t="shared" si="326"/>
        <v>7437350.9039000003</v>
      </c>
      <c r="S163" s="102">
        <f t="shared" si="326"/>
        <v>10474843.160209998</v>
      </c>
      <c r="T163" s="102">
        <f>T154+T157</f>
        <v>15058147.00918984</v>
      </c>
      <c r="U163" s="102">
        <f>U154+U157</f>
        <v>21788868.199999999</v>
      </c>
      <c r="V163" s="102">
        <f>V154+V157</f>
        <v>22319447.592492893</v>
      </c>
      <c r="W163" s="194">
        <f>V163/U163-1</f>
        <v>2.4350938636312103E-2</v>
      </c>
      <c r="X163" s="71"/>
      <c r="Y163" s="102">
        <f t="shared" ref="Y163:AF163" si="327">Y154+Y157</f>
        <v>4663430.7064200006</v>
      </c>
      <c r="Z163" s="102">
        <f t="shared" si="327"/>
        <v>6246597.4602600001</v>
      </c>
      <c r="AA163" s="102">
        <f t="shared" si="327"/>
        <v>6215419.8418623442</v>
      </c>
      <c r="AB163" s="102">
        <f t="shared" si="327"/>
        <v>7437350.9039000003</v>
      </c>
      <c r="AC163" s="102">
        <f t="shared" si="327"/>
        <v>10474843.160209998</v>
      </c>
      <c r="AD163" s="102">
        <f t="shared" si="327"/>
        <v>15058147.00918984</v>
      </c>
      <c r="AE163" s="102">
        <f t="shared" si="327"/>
        <v>21788868.199999999</v>
      </c>
      <c r="AF163" s="102">
        <f t="shared" si="327"/>
        <v>22319447.592492893</v>
      </c>
      <c r="AG163" s="100"/>
      <c r="AH163" s="102">
        <f t="shared" ref="AH163:AO163" si="328">AH154+AH157</f>
        <v>4663430.7064200006</v>
      </c>
      <c r="AI163" s="102">
        <f t="shared" si="328"/>
        <v>6246597.4602600001</v>
      </c>
      <c r="AJ163" s="102">
        <f t="shared" si="328"/>
        <v>6215419.8418623442</v>
      </c>
      <c r="AK163" s="102">
        <f t="shared" si="328"/>
        <v>7437350.9039000003</v>
      </c>
      <c r="AL163" s="102">
        <f t="shared" si="328"/>
        <v>10474843.160209998</v>
      </c>
      <c r="AM163" s="102">
        <f t="shared" si="328"/>
        <v>15058147.00918984</v>
      </c>
      <c r="AN163" s="102">
        <f t="shared" si="328"/>
        <v>21788868.199999999</v>
      </c>
      <c r="AO163" s="102">
        <f t="shared" si="328"/>
        <v>22319447.592492893</v>
      </c>
      <c r="AP163" s="100"/>
      <c r="AQ163" s="102">
        <f t="shared" ref="AQ163:AX163" si="329">AQ154+AQ157</f>
        <v>4663430.7064200006</v>
      </c>
      <c r="AR163" s="102">
        <f t="shared" si="329"/>
        <v>6246597.4602600001</v>
      </c>
      <c r="AS163" s="102">
        <f t="shared" si="329"/>
        <v>6215419.8418623442</v>
      </c>
      <c r="AT163" s="102">
        <f t="shared" si="329"/>
        <v>7437350.9039000003</v>
      </c>
      <c r="AU163" s="102">
        <f t="shared" si="329"/>
        <v>10474843.160209998</v>
      </c>
      <c r="AV163" s="102">
        <f t="shared" si="329"/>
        <v>15058147.00918984</v>
      </c>
      <c r="AW163" s="102">
        <f t="shared" si="329"/>
        <v>21788868.199999999</v>
      </c>
      <c r="AX163" s="102">
        <f t="shared" si="329"/>
        <v>22319447.592492893</v>
      </c>
      <c r="AY163" s="194">
        <f>AX163/AW163-1</f>
        <v>2.4350938636312103E-2</v>
      </c>
      <c r="AZ163" s="70"/>
      <c r="BA163" s="102">
        <f t="shared" ref="BA163:BH163" si="330">BA154+BA157</f>
        <v>4663430.7064200006</v>
      </c>
      <c r="BB163" s="102">
        <f t="shared" si="330"/>
        <v>6246597.4602600001</v>
      </c>
      <c r="BC163" s="102">
        <f t="shared" si="330"/>
        <v>6215419.8418623442</v>
      </c>
      <c r="BD163" s="102">
        <f t="shared" si="330"/>
        <v>7437350.9039000003</v>
      </c>
      <c r="BE163" s="102">
        <f t="shared" si="330"/>
        <v>10474843.160209998</v>
      </c>
      <c r="BF163" s="102">
        <f t="shared" si="330"/>
        <v>15058147.00918984</v>
      </c>
      <c r="BG163" s="102">
        <f t="shared" si="330"/>
        <v>21788868.199999999</v>
      </c>
      <c r="BH163" s="102">
        <f t="shared" si="330"/>
        <v>22319447.592492893</v>
      </c>
    </row>
    <row r="164" spans="2:60" x14ac:dyDescent="0.3">
      <c r="C164" s="65"/>
      <c r="D164" s="77"/>
      <c r="E164" s="45"/>
      <c r="F164" s="45"/>
      <c r="G164" s="62"/>
      <c r="H164" s="62"/>
      <c r="I164" s="62"/>
      <c r="J164" s="62"/>
      <c r="K164" s="62"/>
      <c r="L164" s="62"/>
      <c r="M164" s="131"/>
      <c r="O164" s="45"/>
      <c r="P164" s="45"/>
      <c r="Q164" s="62"/>
      <c r="R164" s="62"/>
      <c r="S164" s="62"/>
      <c r="T164" s="62"/>
      <c r="U164" s="62"/>
      <c r="V164" s="62"/>
      <c r="W164" s="131"/>
      <c r="Y164" s="45"/>
      <c r="Z164" s="45"/>
      <c r="AA164" s="62"/>
      <c r="AB164" s="62"/>
      <c r="AC164" s="62"/>
      <c r="AD164" s="62"/>
      <c r="AE164" s="62"/>
      <c r="AF164" s="62"/>
      <c r="AH164" s="45"/>
      <c r="AI164" s="45"/>
      <c r="AJ164" s="62"/>
      <c r="AK164" s="62"/>
      <c r="AL164" s="62"/>
      <c r="AM164" s="62"/>
      <c r="AN164" s="62"/>
      <c r="AO164" s="62"/>
      <c r="AQ164" s="45"/>
      <c r="AR164" s="45"/>
      <c r="AS164" s="62"/>
      <c r="AT164" s="62"/>
      <c r="AU164" s="62"/>
      <c r="AV164" s="62"/>
      <c r="AW164" s="62"/>
      <c r="AX164" s="62"/>
      <c r="AY164" s="131"/>
      <c r="BA164" s="45"/>
      <c r="BB164" s="45"/>
      <c r="BC164" s="62"/>
      <c r="BD164" s="62"/>
      <c r="BE164" s="62"/>
      <c r="BF164" s="62"/>
      <c r="BG164" s="62"/>
      <c r="BH164" s="62"/>
    </row>
    <row r="165" spans="2:60" s="82" customFormat="1" x14ac:dyDescent="0.3">
      <c r="B165" s="81"/>
      <c r="C165" s="30" t="s">
        <v>95</v>
      </c>
      <c r="D165" s="30"/>
      <c r="E165" s="30"/>
      <c r="F165" s="30"/>
      <c r="G165" s="30"/>
      <c r="H165" s="30"/>
      <c r="I165" s="30"/>
      <c r="J165" s="30"/>
      <c r="K165" s="30"/>
      <c r="L165" s="30"/>
      <c r="M165" s="185"/>
      <c r="O165" s="30"/>
      <c r="P165" s="30"/>
      <c r="Q165" s="30"/>
      <c r="R165" s="30"/>
      <c r="S165" s="30"/>
      <c r="T165" s="30"/>
      <c r="U165" s="30"/>
      <c r="V165" s="30"/>
      <c r="W165" s="185"/>
      <c r="Y165" s="30"/>
      <c r="Z165" s="30"/>
      <c r="AA165" s="30"/>
      <c r="AB165" s="30"/>
      <c r="AC165" s="30"/>
      <c r="AD165" s="30"/>
      <c r="AE165" s="30"/>
      <c r="AF165" s="30"/>
      <c r="AH165" s="30"/>
      <c r="AI165" s="30"/>
      <c r="AJ165" s="30"/>
      <c r="AK165" s="30"/>
      <c r="AL165" s="30"/>
      <c r="AM165" s="30"/>
      <c r="AN165" s="30"/>
      <c r="AO165" s="30"/>
      <c r="AQ165" s="30"/>
      <c r="AR165" s="30"/>
      <c r="AS165" s="30"/>
      <c r="AT165" s="30"/>
      <c r="AU165" s="30"/>
      <c r="AV165" s="30"/>
      <c r="AW165" s="30"/>
      <c r="AX165" s="30"/>
      <c r="AY165" s="185"/>
      <c r="AZ165" s="110"/>
      <c r="BA165" s="30"/>
      <c r="BB165" s="30"/>
      <c r="BC165" s="30"/>
      <c r="BD165" s="30"/>
      <c r="BE165" s="30"/>
      <c r="BF165" s="30"/>
      <c r="BG165" s="30"/>
      <c r="BH165" s="30"/>
    </row>
    <row r="166" spans="2:60" s="85" customFormat="1" x14ac:dyDescent="0.3">
      <c r="B166" s="84"/>
      <c r="C166" s="63" t="s">
        <v>135</v>
      </c>
      <c r="D166" s="63"/>
      <c r="E166" s="63"/>
      <c r="F166" s="63"/>
      <c r="G166" s="63"/>
      <c r="H166" s="63"/>
      <c r="I166" s="63"/>
      <c r="J166" s="63"/>
      <c r="K166" s="63"/>
      <c r="L166" s="63"/>
      <c r="M166" s="186"/>
      <c r="O166" s="63"/>
      <c r="P166" s="63"/>
      <c r="Q166" s="63"/>
      <c r="R166" s="63"/>
      <c r="S166" s="63"/>
      <c r="T166" s="63"/>
      <c r="U166" s="63"/>
      <c r="V166" s="63"/>
      <c r="W166" s="186"/>
      <c r="Y166" s="63"/>
      <c r="Z166" s="63"/>
      <c r="AA166" s="63"/>
      <c r="AB166" s="63"/>
      <c r="AC166" s="63"/>
      <c r="AD166" s="63"/>
      <c r="AE166" s="63"/>
      <c r="AF166" s="63"/>
      <c r="AH166" s="63"/>
      <c r="AI166" s="63"/>
      <c r="AJ166" s="63"/>
      <c r="AK166" s="63"/>
      <c r="AL166" s="63"/>
      <c r="AM166" s="63"/>
      <c r="AN166" s="63"/>
      <c r="AO166" s="63"/>
      <c r="AQ166" s="63"/>
      <c r="AR166" s="63"/>
      <c r="AS166" s="63"/>
      <c r="AT166" s="63"/>
      <c r="AU166" s="63"/>
      <c r="AV166" s="63"/>
      <c r="AW166" s="63"/>
      <c r="AX166" s="63"/>
      <c r="AY166" s="186"/>
      <c r="AZ166" s="110"/>
      <c r="BA166" s="63"/>
      <c r="BB166" s="63"/>
      <c r="BC166" s="63"/>
      <c r="BD166" s="63"/>
      <c r="BE166" s="63"/>
      <c r="BF166" s="63"/>
      <c r="BG166" s="63"/>
      <c r="BH166" s="63"/>
    </row>
    <row r="167" spans="2:60" x14ac:dyDescent="0.3">
      <c r="C167" s="105" t="s">
        <v>24</v>
      </c>
      <c r="D167" s="128"/>
      <c r="E167" s="46"/>
      <c r="F167" s="106">
        <f t="shared" ref="F167:K167" si="331">SUM(F168:F169)</f>
        <v>0</v>
      </c>
      <c r="G167" s="106">
        <f t="shared" si="331"/>
        <v>109227.8181895944</v>
      </c>
      <c r="H167" s="106">
        <f t="shared" si="331"/>
        <v>283855.67322852404</v>
      </c>
      <c r="I167" s="106">
        <f t="shared" si="331"/>
        <v>516835.26938035502</v>
      </c>
      <c r="J167" s="106">
        <f t="shared" si="331"/>
        <v>948316.00527166238</v>
      </c>
      <c r="K167" s="106">
        <f t="shared" si="331"/>
        <v>1491843.0074778239</v>
      </c>
      <c r="L167" s="106">
        <f>SUM(L168:L169)</f>
        <v>2282729.6561534717</v>
      </c>
      <c r="M167" s="195">
        <f>L167/K167-1</f>
        <v>0.53014066809399463</v>
      </c>
      <c r="O167" s="106">
        <f t="shared" ref="O167:U167" si="332">SUM(O168:O169)</f>
        <v>0</v>
      </c>
      <c r="P167" s="106">
        <f t="shared" si="332"/>
        <v>0</v>
      </c>
      <c r="Q167" s="106">
        <f t="shared" si="332"/>
        <v>109227.8181895944</v>
      </c>
      <c r="R167" s="106">
        <f t="shared" si="332"/>
        <v>283855.67322852404</v>
      </c>
      <c r="S167" s="106">
        <f t="shared" si="332"/>
        <v>516835.26938035502</v>
      </c>
      <c r="T167" s="106">
        <f t="shared" si="332"/>
        <v>948316.00527166238</v>
      </c>
      <c r="U167" s="106">
        <f t="shared" si="332"/>
        <v>1491843.0074778239</v>
      </c>
      <c r="V167" s="106">
        <f>SUM(V168:V169)</f>
        <v>2282729.6561534717</v>
      </c>
      <c r="W167" s="195">
        <f>V167/U167-1</f>
        <v>0.53014066809399463</v>
      </c>
      <c r="X167" s="64"/>
      <c r="Y167" s="106">
        <f t="shared" ref="Y167:AF167" si="333">SUM(Y168:Y169)</f>
        <v>0</v>
      </c>
      <c r="Z167" s="106">
        <f t="shared" si="333"/>
        <v>0</v>
      </c>
      <c r="AA167" s="106">
        <f t="shared" si="333"/>
        <v>109227.8181895944</v>
      </c>
      <c r="AB167" s="106">
        <f t="shared" si="333"/>
        <v>283855.67322852404</v>
      </c>
      <c r="AC167" s="106">
        <f t="shared" si="333"/>
        <v>516835.26938035502</v>
      </c>
      <c r="AD167" s="106">
        <f t="shared" si="333"/>
        <v>948316.00527166238</v>
      </c>
      <c r="AE167" s="106">
        <f t="shared" si="333"/>
        <v>1491843.0074778239</v>
      </c>
      <c r="AF167" s="106">
        <f t="shared" si="333"/>
        <v>2282729.6561534717</v>
      </c>
      <c r="AG167" s="64"/>
      <c r="AH167" s="106">
        <f t="shared" ref="AH167:AO167" si="334">SUM(AH168:AH169)</f>
        <v>0</v>
      </c>
      <c r="AI167" s="106">
        <f t="shared" si="334"/>
        <v>0</v>
      </c>
      <c r="AJ167" s="106">
        <f t="shared" si="334"/>
        <v>109227.8181895944</v>
      </c>
      <c r="AK167" s="106">
        <f t="shared" si="334"/>
        <v>283855.67322852404</v>
      </c>
      <c r="AL167" s="106">
        <f t="shared" si="334"/>
        <v>516835.26938035502</v>
      </c>
      <c r="AM167" s="106">
        <f t="shared" si="334"/>
        <v>948316.00527166238</v>
      </c>
      <c r="AN167" s="106">
        <f t="shared" si="334"/>
        <v>1491843.0074778239</v>
      </c>
      <c r="AO167" s="106">
        <f t="shared" si="334"/>
        <v>2282729.6561534717</v>
      </c>
      <c r="AP167" s="64"/>
      <c r="AQ167" s="106">
        <f t="shared" ref="AQ167:AX167" si="335">SUM(AQ168:AQ169)</f>
        <v>0</v>
      </c>
      <c r="AR167" s="106">
        <f t="shared" si="335"/>
        <v>0</v>
      </c>
      <c r="AS167" s="106">
        <f t="shared" si="335"/>
        <v>109227.8181895944</v>
      </c>
      <c r="AT167" s="106">
        <f t="shared" si="335"/>
        <v>283855.67322852404</v>
      </c>
      <c r="AU167" s="106">
        <f t="shared" si="335"/>
        <v>516835.26938035502</v>
      </c>
      <c r="AV167" s="106">
        <f t="shared" si="335"/>
        <v>948316.00527166238</v>
      </c>
      <c r="AW167" s="106">
        <f t="shared" si="335"/>
        <v>1491843.0074778239</v>
      </c>
      <c r="AX167" s="106">
        <f t="shared" si="335"/>
        <v>2282729.6561534717</v>
      </c>
      <c r="AY167" s="195">
        <f>AX167/AW167-1</f>
        <v>0.53014066809399463</v>
      </c>
      <c r="AZ167" s="64"/>
      <c r="BA167" s="106">
        <f t="shared" ref="BA167:BH167" si="336">SUM(BA168:BA169)</f>
        <v>0</v>
      </c>
      <c r="BB167" s="106">
        <f t="shared" si="336"/>
        <v>0</v>
      </c>
      <c r="BC167" s="106">
        <f t="shared" si="336"/>
        <v>109227.8181895944</v>
      </c>
      <c r="BD167" s="106">
        <f t="shared" si="336"/>
        <v>283855.67322852404</v>
      </c>
      <c r="BE167" s="106">
        <f t="shared" si="336"/>
        <v>516835.26938035502</v>
      </c>
      <c r="BF167" s="106">
        <f t="shared" si="336"/>
        <v>948316.00527166238</v>
      </c>
      <c r="BG167" s="106">
        <f t="shared" si="336"/>
        <v>1491843.0074778239</v>
      </c>
      <c r="BH167" s="106">
        <f t="shared" si="336"/>
        <v>2282729.6561534717</v>
      </c>
    </row>
    <row r="168" spans="2:60" x14ac:dyDescent="0.3">
      <c r="C168" s="65" t="s">
        <v>137</v>
      </c>
      <c r="D168" s="77"/>
      <c r="E168" s="97"/>
      <c r="F168" s="97">
        <v>0</v>
      </c>
      <c r="G168" s="98">
        <v>91890.469156196996</v>
      </c>
      <c r="H168" s="98">
        <v>215899.77119051607</v>
      </c>
      <c r="I168" s="98">
        <v>352514.79997722933</v>
      </c>
      <c r="J168" s="98">
        <f>SUM('Quarterly I.S'!K167:N167)</f>
        <v>517361.99905509647</v>
      </c>
      <c r="K168" s="98">
        <f>SUM('Quarterly I.S'!O167:R167)</f>
        <v>752349.53912295448</v>
      </c>
      <c r="L168" s="98">
        <f>SUM('Quarterly I.S'!S167:V167)</f>
        <v>1020676.3718767493</v>
      </c>
      <c r="M168" s="196">
        <f>L168/K168-1</f>
        <v>0.35665182046445421</v>
      </c>
      <c r="O168" s="67">
        <f>$E168</f>
        <v>0</v>
      </c>
      <c r="P168" s="67">
        <f>$F168</f>
        <v>0</v>
      </c>
      <c r="Q168" s="67">
        <f>$G168</f>
        <v>91890.469156196996</v>
      </c>
      <c r="R168" s="67">
        <f>$H168</f>
        <v>215899.77119051607</v>
      </c>
      <c r="S168" s="67">
        <f>$I168</f>
        <v>352514.79997722933</v>
      </c>
      <c r="T168" s="67">
        <f>$J168</f>
        <v>517361.99905509647</v>
      </c>
      <c r="U168" s="67">
        <f>$K168</f>
        <v>752349.53912295448</v>
      </c>
      <c r="V168" s="67">
        <f>$L168</f>
        <v>1020676.3718767493</v>
      </c>
      <c r="W168" s="196">
        <f>V168/U168-1</f>
        <v>0.35665182046445421</v>
      </c>
      <c r="X168" s="64"/>
      <c r="Y168" s="67">
        <f>$E168</f>
        <v>0</v>
      </c>
      <c r="Z168" s="67">
        <f>$F168</f>
        <v>0</v>
      </c>
      <c r="AA168" s="67">
        <f>$G168</f>
        <v>91890.469156196996</v>
      </c>
      <c r="AB168" s="67">
        <f>$H168</f>
        <v>215899.77119051607</v>
      </c>
      <c r="AC168" s="67">
        <f>$I168</f>
        <v>352514.79997722933</v>
      </c>
      <c r="AD168" s="67">
        <f>$J168</f>
        <v>517361.99905509647</v>
      </c>
      <c r="AE168" s="67">
        <f>$K168</f>
        <v>752349.53912295448</v>
      </c>
      <c r="AF168" s="67">
        <f>$L168</f>
        <v>1020676.3718767493</v>
      </c>
      <c r="AG168" s="64"/>
      <c r="AH168" s="67">
        <f>$E168</f>
        <v>0</v>
      </c>
      <c r="AI168" s="67">
        <f>$F168</f>
        <v>0</v>
      </c>
      <c r="AJ168" s="67">
        <f>$G168</f>
        <v>91890.469156196996</v>
      </c>
      <c r="AK168" s="67">
        <f>$H168</f>
        <v>215899.77119051607</v>
      </c>
      <c r="AL168" s="67">
        <f>$I168</f>
        <v>352514.79997722933</v>
      </c>
      <c r="AM168" s="67">
        <f>$J168</f>
        <v>517361.99905509647</v>
      </c>
      <c r="AN168" s="67">
        <f>$K168</f>
        <v>752349.53912295448</v>
      </c>
      <c r="AO168" s="67">
        <f>$L168</f>
        <v>1020676.3718767493</v>
      </c>
      <c r="AP168" s="64"/>
      <c r="AQ168" s="67">
        <f>$E168</f>
        <v>0</v>
      </c>
      <c r="AR168" s="67">
        <f>$F168</f>
        <v>0</v>
      </c>
      <c r="AS168" s="67">
        <f>$G168</f>
        <v>91890.469156196996</v>
      </c>
      <c r="AT168" s="67">
        <f>$H168</f>
        <v>215899.77119051607</v>
      </c>
      <c r="AU168" s="67">
        <f>$I168</f>
        <v>352514.79997722933</v>
      </c>
      <c r="AV168" s="67">
        <f>$J168</f>
        <v>517361.99905509647</v>
      </c>
      <c r="AW168" s="67">
        <f>$K168</f>
        <v>752349.53912295448</v>
      </c>
      <c r="AX168" s="67">
        <f>$L168</f>
        <v>1020676.3718767493</v>
      </c>
      <c r="AY168" s="196">
        <f>AX168/AW168-1</f>
        <v>0.35665182046445421</v>
      </c>
      <c r="AZ168" s="214"/>
      <c r="BA168" s="67">
        <f>$E168</f>
        <v>0</v>
      </c>
      <c r="BB168" s="67">
        <f>$F168</f>
        <v>0</v>
      </c>
      <c r="BC168" s="67">
        <f>$G168</f>
        <v>91890.469156196996</v>
      </c>
      <c r="BD168" s="67">
        <f>$H168</f>
        <v>215899.77119051607</v>
      </c>
      <c r="BE168" s="67">
        <f>$I168</f>
        <v>352514.79997722933</v>
      </c>
      <c r="BF168" s="67">
        <f>$J168</f>
        <v>517361.99905509647</v>
      </c>
      <c r="BG168" s="67">
        <f>$K168</f>
        <v>752349.53912295448</v>
      </c>
      <c r="BH168" s="67">
        <f>$L168</f>
        <v>1020676.3718767493</v>
      </c>
    </row>
    <row r="169" spans="2:60" x14ac:dyDescent="0.3">
      <c r="C169" s="65" t="s">
        <v>138</v>
      </c>
      <c r="D169" s="77"/>
      <c r="E169" s="97"/>
      <c r="F169" s="97">
        <v>0</v>
      </c>
      <c r="G169" s="98">
        <v>17337.349033397397</v>
      </c>
      <c r="H169" s="98">
        <v>67955.902038008004</v>
      </c>
      <c r="I169" s="98">
        <v>164320.46940312567</v>
      </c>
      <c r="J169" s="98">
        <f>SUM('Quarterly I.S'!K168:N168)</f>
        <v>430954.0062165659</v>
      </c>
      <c r="K169" s="98">
        <f>SUM('Quarterly I.S'!O168:R168)</f>
        <v>739493.4683548694</v>
      </c>
      <c r="L169" s="98">
        <f>SUM('Quarterly I.S'!S168:V168)</f>
        <v>1262053.2842767222</v>
      </c>
      <c r="M169" s="196">
        <f>L169/K169-1</f>
        <v>0.70664561390160374</v>
      </c>
      <c r="O169" s="67">
        <f>$E169</f>
        <v>0</v>
      </c>
      <c r="P169" s="67">
        <f>$F169</f>
        <v>0</v>
      </c>
      <c r="Q169" s="67">
        <f>$G169</f>
        <v>17337.349033397397</v>
      </c>
      <c r="R169" s="67">
        <f>$H169</f>
        <v>67955.902038008004</v>
      </c>
      <c r="S169" s="67">
        <f>$I169</f>
        <v>164320.46940312567</v>
      </c>
      <c r="T169" s="67">
        <f>$J169</f>
        <v>430954.0062165659</v>
      </c>
      <c r="U169" s="67">
        <f>$K169</f>
        <v>739493.4683548694</v>
      </c>
      <c r="V169" s="67">
        <f>$L169</f>
        <v>1262053.2842767222</v>
      </c>
      <c r="W169" s="196">
        <f>V169/U169-1</f>
        <v>0.70664561390160374</v>
      </c>
      <c r="X169" s="64"/>
      <c r="Y169" s="67">
        <f>$E169</f>
        <v>0</v>
      </c>
      <c r="Z169" s="67">
        <f>$F169</f>
        <v>0</v>
      </c>
      <c r="AA169" s="67">
        <f>$G169</f>
        <v>17337.349033397397</v>
      </c>
      <c r="AB169" s="67">
        <f>$H169</f>
        <v>67955.902038008004</v>
      </c>
      <c r="AC169" s="67">
        <f>$I169</f>
        <v>164320.46940312567</v>
      </c>
      <c r="AD169" s="67">
        <f>$J169</f>
        <v>430954.0062165659</v>
      </c>
      <c r="AE169" s="67">
        <f>$K169</f>
        <v>739493.4683548694</v>
      </c>
      <c r="AF169" s="67">
        <f>$L169</f>
        <v>1262053.2842767222</v>
      </c>
      <c r="AG169" s="64"/>
      <c r="AH169" s="67">
        <f>$E169</f>
        <v>0</v>
      </c>
      <c r="AI169" s="67">
        <f>$F169</f>
        <v>0</v>
      </c>
      <c r="AJ169" s="67">
        <f>$G169</f>
        <v>17337.349033397397</v>
      </c>
      <c r="AK169" s="67">
        <f>$H169</f>
        <v>67955.902038008004</v>
      </c>
      <c r="AL169" s="67">
        <f>$I169</f>
        <v>164320.46940312567</v>
      </c>
      <c r="AM169" s="67">
        <f>$J169</f>
        <v>430954.0062165659</v>
      </c>
      <c r="AN169" s="67">
        <f>$K169</f>
        <v>739493.4683548694</v>
      </c>
      <c r="AO169" s="67">
        <f>$L169</f>
        <v>1262053.2842767222</v>
      </c>
      <c r="AP169" s="64"/>
      <c r="AQ169" s="67">
        <f>$E169</f>
        <v>0</v>
      </c>
      <c r="AR169" s="67">
        <f>$F169</f>
        <v>0</v>
      </c>
      <c r="AS169" s="67">
        <f>$G169</f>
        <v>17337.349033397397</v>
      </c>
      <c r="AT169" s="67">
        <f>$H169</f>
        <v>67955.902038008004</v>
      </c>
      <c r="AU169" s="67">
        <f>$I169</f>
        <v>164320.46940312567</v>
      </c>
      <c r="AV169" s="67">
        <f>$J169</f>
        <v>430954.0062165659</v>
      </c>
      <c r="AW169" s="67">
        <f>$K169</f>
        <v>739493.4683548694</v>
      </c>
      <c r="AX169" s="67">
        <f>$L169</f>
        <v>1262053.2842767222</v>
      </c>
      <c r="AY169" s="196">
        <f>AX169/AW169-1</f>
        <v>0.70664561390160374</v>
      </c>
      <c r="AZ169" s="214"/>
      <c r="BA169" s="67">
        <f>$E169</f>
        <v>0</v>
      </c>
      <c r="BB169" s="67">
        <f>$F169</f>
        <v>0</v>
      </c>
      <c r="BC169" s="67">
        <f>$G169</f>
        <v>17337.349033397397</v>
      </c>
      <c r="BD169" s="67">
        <f>$H169</f>
        <v>67955.902038008004</v>
      </c>
      <c r="BE169" s="67">
        <f>$I169</f>
        <v>164320.46940312567</v>
      </c>
      <c r="BF169" s="67">
        <f>$J169</f>
        <v>430954.0062165659</v>
      </c>
      <c r="BG169" s="67">
        <f>$K169</f>
        <v>739493.4683548694</v>
      </c>
      <c r="BH169" s="67">
        <f>$L169</f>
        <v>1262053.2842767222</v>
      </c>
    </row>
    <row r="170" spans="2:60" x14ac:dyDescent="0.3">
      <c r="C170" s="65" t="s">
        <v>51</v>
      </c>
      <c r="D170" s="77"/>
      <c r="E170" s="147"/>
      <c r="F170" s="147"/>
      <c r="G170" s="148">
        <f t="shared" ref="G170:L170" si="337">G167-G41</f>
        <v>0.23918959440197796</v>
      </c>
      <c r="H170" s="148">
        <f t="shared" si="337"/>
        <v>-0.42077147593954578</v>
      </c>
      <c r="I170" s="148">
        <f t="shared" si="337"/>
        <v>8.0380355007946491E-2</v>
      </c>
      <c r="J170" s="148">
        <f t="shared" si="337"/>
        <v>1.0271662380546331E-2</v>
      </c>
      <c r="K170" s="148">
        <f t="shared" si="337"/>
        <v>-0.44552217610180378</v>
      </c>
      <c r="L170" s="148">
        <f t="shared" si="337"/>
        <v>-0.41484652832150459</v>
      </c>
      <c r="M170" s="202"/>
      <c r="O170" s="67"/>
      <c r="P170" s="67"/>
      <c r="Q170" s="67"/>
      <c r="R170" s="67"/>
      <c r="S170" s="67"/>
      <c r="T170" s="67"/>
      <c r="U170" s="67"/>
      <c r="V170" s="67"/>
      <c r="W170" s="202"/>
      <c r="X170" s="64"/>
      <c r="Y170" s="67"/>
      <c r="Z170" s="67"/>
      <c r="AA170" s="67"/>
      <c r="AB170" s="67"/>
      <c r="AC170" s="67"/>
      <c r="AD170" s="67"/>
      <c r="AE170" s="67"/>
      <c r="AF170" s="67"/>
      <c r="AG170" s="64"/>
      <c r="AH170" s="67"/>
      <c r="AI170" s="67"/>
      <c r="AJ170" s="67"/>
      <c r="AK170" s="67"/>
      <c r="AL170" s="67"/>
      <c r="AM170" s="67"/>
      <c r="AN170" s="67"/>
      <c r="AO170" s="67"/>
      <c r="AP170" s="64"/>
      <c r="AQ170" s="67"/>
      <c r="AR170" s="67"/>
      <c r="AS170" s="67"/>
      <c r="AT170" s="67"/>
      <c r="AU170" s="67"/>
      <c r="AV170" s="67"/>
      <c r="AW170" s="67"/>
      <c r="AX170" s="67"/>
      <c r="AY170" s="202"/>
      <c r="AZ170" s="214"/>
      <c r="BA170" s="67"/>
      <c r="BB170" s="67"/>
      <c r="BC170" s="67"/>
      <c r="BD170" s="67"/>
      <c r="BE170" s="67"/>
      <c r="BF170" s="67"/>
      <c r="BG170" s="67"/>
      <c r="BH170" s="67"/>
    </row>
    <row r="171" spans="2:60" x14ac:dyDescent="0.3">
      <c r="C171" s="65"/>
      <c r="D171" s="77"/>
      <c r="E171" s="147"/>
      <c r="F171" s="147"/>
      <c r="G171" s="148"/>
      <c r="H171" s="149"/>
      <c r="I171" s="149"/>
      <c r="J171" s="149"/>
      <c r="K171" s="149"/>
      <c r="L171" s="149"/>
      <c r="M171" s="149"/>
      <c r="O171" s="67"/>
      <c r="P171" s="67"/>
      <c r="Q171" s="67"/>
      <c r="R171" s="67"/>
      <c r="S171" s="67"/>
      <c r="T171" s="67"/>
      <c r="U171" s="67"/>
      <c r="V171" s="67"/>
      <c r="W171" s="149"/>
      <c r="X171" s="64"/>
      <c r="Y171" s="67"/>
      <c r="Z171" s="67"/>
      <c r="AA171" s="67"/>
      <c r="AB171" s="67"/>
      <c r="AC171" s="67"/>
      <c r="AD171" s="67"/>
      <c r="AE171" s="67"/>
      <c r="AF171" s="67"/>
      <c r="AG171" s="64"/>
      <c r="AH171" s="67"/>
      <c r="AI171" s="67"/>
      <c r="AJ171" s="67"/>
      <c r="AK171" s="67"/>
      <c r="AL171" s="67"/>
      <c r="AM171" s="67"/>
      <c r="AN171" s="67"/>
      <c r="AO171" s="67"/>
      <c r="AP171" s="64"/>
      <c r="AQ171" s="67"/>
      <c r="AR171" s="67"/>
      <c r="AS171" s="67"/>
      <c r="AT171" s="67"/>
      <c r="AU171" s="67"/>
      <c r="AV171" s="67"/>
      <c r="AW171" s="67"/>
      <c r="AX171" s="67"/>
      <c r="AY171" s="149"/>
      <c r="AZ171" s="214"/>
      <c r="BA171" s="67"/>
      <c r="BB171" s="67"/>
      <c r="BC171" s="67"/>
      <c r="BD171" s="67"/>
      <c r="BE171" s="67"/>
      <c r="BF171" s="67"/>
      <c r="BG171" s="67"/>
      <c r="BH171" s="67"/>
    </row>
    <row r="172" spans="2:60" x14ac:dyDescent="0.3">
      <c r="C172" s="65" t="s">
        <v>170</v>
      </c>
      <c r="D172" s="77"/>
      <c r="E172" s="147"/>
      <c r="F172" s="147"/>
      <c r="G172" s="149">
        <f>G168/G$167</f>
        <v>0.84127350229312692</v>
      </c>
      <c r="H172" s="149">
        <f t="shared" ref="H172:J173" si="338">H168/H$167</f>
        <v>0.76059699189701013</v>
      </c>
      <c r="I172" s="149">
        <f t="shared" si="338"/>
        <v>0.68206413312285541</v>
      </c>
      <c r="J172" s="149">
        <f t="shared" si="338"/>
        <v>0.54555864941548537</v>
      </c>
      <c r="K172" s="149">
        <f>K168/K$167</f>
        <v>0.50430878809085289</v>
      </c>
      <c r="L172" s="149">
        <f>L168/L$167</f>
        <v>0.44712976375689034</v>
      </c>
      <c r="M172" s="149"/>
      <c r="O172" s="67"/>
      <c r="P172" s="67"/>
      <c r="Q172" s="67"/>
      <c r="R172" s="67"/>
      <c r="S172" s="67"/>
      <c r="T172" s="67"/>
      <c r="U172" s="67"/>
      <c r="V172" s="67"/>
      <c r="W172" s="149"/>
      <c r="X172" s="64"/>
      <c r="Y172" s="67"/>
      <c r="Z172" s="67"/>
      <c r="AA172" s="67"/>
      <c r="AB172" s="67"/>
      <c r="AC172" s="67"/>
      <c r="AD172" s="67"/>
      <c r="AE172" s="67"/>
      <c r="AF172" s="67"/>
      <c r="AG172" s="64"/>
      <c r="AH172" s="67"/>
      <c r="AI172" s="67"/>
      <c r="AJ172" s="67"/>
      <c r="AK172" s="67"/>
      <c r="AL172" s="67"/>
      <c r="AM172" s="67"/>
      <c r="AN172" s="67"/>
      <c r="AO172" s="67"/>
      <c r="AP172" s="64"/>
      <c r="AQ172" s="67"/>
      <c r="AR172" s="67"/>
      <c r="AS172" s="67"/>
      <c r="AT172" s="67"/>
      <c r="AU172" s="67"/>
      <c r="AV172" s="67"/>
      <c r="AW172" s="67"/>
      <c r="AX172" s="67"/>
      <c r="AY172" s="149"/>
      <c r="AZ172" s="214"/>
      <c r="BA172" s="67"/>
      <c r="BB172" s="67"/>
      <c r="BC172" s="67"/>
      <c r="BD172" s="67"/>
      <c r="BE172" s="67"/>
      <c r="BF172" s="67"/>
      <c r="BG172" s="67"/>
      <c r="BH172" s="67"/>
    </row>
    <row r="173" spans="2:60" x14ac:dyDescent="0.3">
      <c r="C173" s="65" t="s">
        <v>169</v>
      </c>
      <c r="D173" s="77"/>
      <c r="E173" s="147"/>
      <c r="F173" s="147"/>
      <c r="G173" s="149">
        <f>G169/G$167</f>
        <v>0.158726497706873</v>
      </c>
      <c r="H173" s="149">
        <f t="shared" si="338"/>
        <v>0.23940300810298992</v>
      </c>
      <c r="I173" s="149">
        <f t="shared" si="338"/>
        <v>0.31793586687714448</v>
      </c>
      <c r="J173" s="149">
        <f t="shared" si="338"/>
        <v>0.45444135058451457</v>
      </c>
      <c r="K173" s="149">
        <f>K169/K$167</f>
        <v>0.49569121190914717</v>
      </c>
      <c r="L173" s="149">
        <f>L169/L$167</f>
        <v>0.5528702362431096</v>
      </c>
      <c r="M173" s="149"/>
      <c r="O173" s="67"/>
      <c r="P173" s="67"/>
      <c r="Q173" s="67"/>
      <c r="R173" s="67"/>
      <c r="S173" s="67"/>
      <c r="T173" s="67"/>
      <c r="U173" s="67"/>
      <c r="V173" s="67"/>
      <c r="W173" s="149"/>
      <c r="X173" s="64"/>
      <c r="Y173" s="67"/>
      <c r="Z173" s="67"/>
      <c r="AA173" s="67"/>
      <c r="AB173" s="67"/>
      <c r="AC173" s="67"/>
      <c r="AD173" s="67"/>
      <c r="AE173" s="67"/>
      <c r="AF173" s="67"/>
      <c r="AG173" s="64"/>
      <c r="AH173" s="67"/>
      <c r="AI173" s="67"/>
      <c r="AJ173" s="67"/>
      <c r="AK173" s="67"/>
      <c r="AL173" s="67"/>
      <c r="AM173" s="67"/>
      <c r="AN173" s="67"/>
      <c r="AO173" s="67"/>
      <c r="AP173" s="64"/>
      <c r="AQ173" s="67"/>
      <c r="AR173" s="67"/>
      <c r="AS173" s="67"/>
      <c r="AT173" s="67"/>
      <c r="AU173" s="67"/>
      <c r="AV173" s="67"/>
      <c r="AW173" s="67"/>
      <c r="AX173" s="67"/>
      <c r="AY173" s="149"/>
      <c r="AZ173" s="214"/>
      <c r="BA173" s="67"/>
      <c r="BB173" s="67"/>
      <c r="BC173" s="67"/>
      <c r="BD173" s="67"/>
      <c r="BE173" s="67"/>
      <c r="BF173" s="67"/>
      <c r="BG173" s="67"/>
      <c r="BH173" s="67"/>
    </row>
    <row r="174" spans="2:60" x14ac:dyDescent="0.3">
      <c r="C174" s="65"/>
      <c r="D174" s="77"/>
      <c r="E174" s="45"/>
      <c r="F174" s="42"/>
      <c r="G174" s="42"/>
      <c r="H174" s="42"/>
      <c r="I174" s="42"/>
      <c r="J174" s="42"/>
      <c r="K174" s="42"/>
      <c r="L174" s="42"/>
      <c r="O174" s="67"/>
      <c r="P174" s="67"/>
      <c r="Q174" s="67"/>
      <c r="R174" s="67"/>
      <c r="S174" s="67"/>
      <c r="T174" s="67"/>
      <c r="U174" s="67"/>
      <c r="V174" s="67"/>
      <c r="X174" s="64"/>
      <c r="Y174" s="67"/>
      <c r="Z174" s="67"/>
      <c r="AA174" s="67"/>
      <c r="AB174" s="67"/>
      <c r="AC174" s="67"/>
      <c r="AD174" s="67"/>
      <c r="AE174" s="67"/>
      <c r="AF174" s="67"/>
      <c r="AG174" s="64"/>
      <c r="AH174" s="67"/>
      <c r="AI174" s="67"/>
      <c r="AJ174" s="67"/>
      <c r="AK174" s="67"/>
      <c r="AL174" s="67"/>
      <c r="AM174" s="67"/>
      <c r="AN174" s="67"/>
      <c r="AO174" s="67"/>
      <c r="AP174" s="64"/>
      <c r="AQ174" s="67"/>
      <c r="AR174" s="67"/>
      <c r="AS174" s="67"/>
      <c r="AT174" s="67"/>
      <c r="AU174" s="67"/>
      <c r="AV174" s="67"/>
      <c r="AW174" s="67"/>
      <c r="AX174" s="67"/>
      <c r="AZ174" s="64"/>
      <c r="BA174" s="67"/>
      <c r="BB174" s="67"/>
      <c r="BC174" s="67"/>
      <c r="BD174" s="67"/>
      <c r="BE174" s="67"/>
      <c r="BF174" s="67"/>
      <c r="BG174" s="67"/>
      <c r="BH174" s="67"/>
    </row>
    <row r="175" spans="2:60" x14ac:dyDescent="0.3">
      <c r="C175" s="105" t="s">
        <v>139</v>
      </c>
      <c r="D175" s="128"/>
      <c r="E175" s="46"/>
      <c r="F175" s="106">
        <f t="shared" ref="F175:K175" si="339">SUM(F176:F177)</f>
        <v>0</v>
      </c>
      <c r="G175" s="106">
        <f t="shared" si="339"/>
        <v>27672</v>
      </c>
      <c r="H175" s="106">
        <f t="shared" si="339"/>
        <v>55698</v>
      </c>
      <c r="I175" s="106">
        <f t="shared" si="339"/>
        <v>76316</v>
      </c>
      <c r="J175" s="106">
        <f t="shared" si="339"/>
        <v>76131</v>
      </c>
      <c r="K175" s="106">
        <f t="shared" si="339"/>
        <v>86610</v>
      </c>
      <c r="L175" s="106">
        <f>SUM(L176:L177)</f>
        <v>168326</v>
      </c>
      <c r="M175" s="195">
        <f>L175/K175-1</f>
        <v>0.94349382288419359</v>
      </c>
      <c r="O175" s="106">
        <f t="shared" ref="O175:U175" si="340">SUM(O176:O177)</f>
        <v>0</v>
      </c>
      <c r="P175" s="106">
        <f t="shared" si="340"/>
        <v>0</v>
      </c>
      <c r="Q175" s="106">
        <f t="shared" si="340"/>
        <v>27672</v>
      </c>
      <c r="R175" s="106">
        <f t="shared" si="340"/>
        <v>55698</v>
      </c>
      <c r="S175" s="106">
        <f t="shared" si="340"/>
        <v>76316</v>
      </c>
      <c r="T175" s="106">
        <f t="shared" si="340"/>
        <v>76131</v>
      </c>
      <c r="U175" s="106">
        <f t="shared" si="340"/>
        <v>86610</v>
      </c>
      <c r="V175" s="106">
        <f>SUM(V176:V177)</f>
        <v>168326</v>
      </c>
      <c r="W175" s="195">
        <f>V175/U175-1</f>
        <v>0.94349382288419359</v>
      </c>
      <c r="X175" s="64"/>
      <c r="Y175" s="106">
        <f t="shared" ref="Y175:AF175" si="341">SUM(Y176:Y177)</f>
        <v>0</v>
      </c>
      <c r="Z175" s="106">
        <f t="shared" si="341"/>
        <v>0</v>
      </c>
      <c r="AA175" s="106">
        <f t="shared" si="341"/>
        <v>27672</v>
      </c>
      <c r="AB175" s="106">
        <f t="shared" si="341"/>
        <v>55698</v>
      </c>
      <c r="AC175" s="106">
        <f t="shared" si="341"/>
        <v>76316</v>
      </c>
      <c r="AD175" s="106">
        <f t="shared" si="341"/>
        <v>76131</v>
      </c>
      <c r="AE175" s="106">
        <f t="shared" si="341"/>
        <v>86610</v>
      </c>
      <c r="AF175" s="106">
        <f t="shared" si="341"/>
        <v>168326</v>
      </c>
      <c r="AG175" s="64"/>
      <c r="AH175" s="106">
        <f t="shared" ref="AH175:AO175" si="342">SUM(AH176:AH177)</f>
        <v>0</v>
      </c>
      <c r="AI175" s="106">
        <f t="shared" si="342"/>
        <v>0</v>
      </c>
      <c r="AJ175" s="106">
        <f t="shared" si="342"/>
        <v>27672</v>
      </c>
      <c r="AK175" s="106">
        <f t="shared" si="342"/>
        <v>55698</v>
      </c>
      <c r="AL175" s="106">
        <f t="shared" si="342"/>
        <v>76316</v>
      </c>
      <c r="AM175" s="106">
        <f t="shared" si="342"/>
        <v>76131</v>
      </c>
      <c r="AN175" s="106">
        <f t="shared" si="342"/>
        <v>86610</v>
      </c>
      <c r="AO175" s="106">
        <f t="shared" si="342"/>
        <v>168326</v>
      </c>
      <c r="AP175" s="64"/>
      <c r="AQ175" s="106">
        <f t="shared" ref="AQ175:AX175" si="343">SUM(AQ176:AQ177)</f>
        <v>0</v>
      </c>
      <c r="AR175" s="106">
        <f t="shared" si="343"/>
        <v>0</v>
      </c>
      <c r="AS175" s="106">
        <f t="shared" si="343"/>
        <v>27672</v>
      </c>
      <c r="AT175" s="106">
        <f t="shared" si="343"/>
        <v>55698</v>
      </c>
      <c r="AU175" s="106">
        <f t="shared" si="343"/>
        <v>76316</v>
      </c>
      <c r="AV175" s="106">
        <f t="shared" si="343"/>
        <v>76131</v>
      </c>
      <c r="AW175" s="106">
        <f t="shared" si="343"/>
        <v>86610</v>
      </c>
      <c r="AX175" s="106">
        <f t="shared" si="343"/>
        <v>168326</v>
      </c>
      <c r="AY175" s="195">
        <f>AX175/AW175-1</f>
        <v>0.94349382288419359</v>
      </c>
      <c r="AZ175" s="64"/>
      <c r="BA175" s="106">
        <f t="shared" ref="BA175:BH175" si="344">SUM(BA176:BA177)</f>
        <v>0</v>
      </c>
      <c r="BB175" s="106">
        <f t="shared" si="344"/>
        <v>0</v>
      </c>
      <c r="BC175" s="106">
        <f t="shared" si="344"/>
        <v>27672</v>
      </c>
      <c r="BD175" s="106">
        <f t="shared" si="344"/>
        <v>55698</v>
      </c>
      <c r="BE175" s="106">
        <f t="shared" si="344"/>
        <v>76316</v>
      </c>
      <c r="BF175" s="106">
        <f t="shared" si="344"/>
        <v>76131</v>
      </c>
      <c r="BG175" s="106">
        <f t="shared" si="344"/>
        <v>86610</v>
      </c>
      <c r="BH175" s="106">
        <f t="shared" si="344"/>
        <v>168326</v>
      </c>
    </row>
    <row r="176" spans="2:60" x14ac:dyDescent="0.3">
      <c r="C176" s="65" t="s">
        <v>137</v>
      </c>
      <c r="D176" s="77"/>
      <c r="E176" s="97"/>
      <c r="F176" s="97">
        <v>0</v>
      </c>
      <c r="G176" s="98">
        <v>27658</v>
      </c>
      <c r="H176" s="98">
        <v>55607</v>
      </c>
      <c r="I176" s="98">
        <v>75788</v>
      </c>
      <c r="J176" s="98">
        <f>SUM('Quarterly I.S'!K175:N175)</f>
        <v>72870</v>
      </c>
      <c r="K176" s="98">
        <f>SUM('Quarterly I.S'!O175:R175)</f>
        <v>72263</v>
      </c>
      <c r="L176" s="98">
        <f>SUM('Quarterly I.S'!S175:V175)</f>
        <v>135424</v>
      </c>
      <c r="M176" s="196">
        <f>L176/K176-1</f>
        <v>0.8740434247125084</v>
      </c>
      <c r="O176" s="67">
        <f>$E176</f>
        <v>0</v>
      </c>
      <c r="P176" s="67">
        <f>$F176</f>
        <v>0</v>
      </c>
      <c r="Q176" s="67">
        <f>$G176</f>
        <v>27658</v>
      </c>
      <c r="R176" s="67">
        <f>$H176</f>
        <v>55607</v>
      </c>
      <c r="S176" s="67">
        <f>$I176</f>
        <v>75788</v>
      </c>
      <c r="T176" s="67">
        <f>$J176</f>
        <v>72870</v>
      </c>
      <c r="U176" s="67">
        <f>$K176</f>
        <v>72263</v>
      </c>
      <c r="V176" s="67">
        <f>$L176</f>
        <v>135424</v>
      </c>
      <c r="W176" s="196">
        <f>V176/U176-1</f>
        <v>0.8740434247125084</v>
      </c>
      <c r="X176" s="64"/>
      <c r="Y176" s="67">
        <f>$E176</f>
        <v>0</v>
      </c>
      <c r="Z176" s="67">
        <f>$F176</f>
        <v>0</v>
      </c>
      <c r="AA176" s="67">
        <f>$G176</f>
        <v>27658</v>
      </c>
      <c r="AB176" s="67">
        <f>$H176</f>
        <v>55607</v>
      </c>
      <c r="AC176" s="67">
        <f>$I176</f>
        <v>75788</v>
      </c>
      <c r="AD176" s="67">
        <f>$J176</f>
        <v>72870</v>
      </c>
      <c r="AE176" s="67">
        <f>$K176</f>
        <v>72263</v>
      </c>
      <c r="AF176" s="67">
        <f>$L176</f>
        <v>135424</v>
      </c>
      <c r="AG176" s="64"/>
      <c r="AH176" s="67">
        <f>$E176</f>
        <v>0</v>
      </c>
      <c r="AI176" s="67">
        <f>$F176</f>
        <v>0</v>
      </c>
      <c r="AJ176" s="67">
        <f>$G176</f>
        <v>27658</v>
      </c>
      <c r="AK176" s="67">
        <f>$H176</f>
        <v>55607</v>
      </c>
      <c r="AL176" s="67">
        <f>$I176</f>
        <v>75788</v>
      </c>
      <c r="AM176" s="67">
        <f>$J176</f>
        <v>72870</v>
      </c>
      <c r="AN176" s="67">
        <f>$K176</f>
        <v>72263</v>
      </c>
      <c r="AO176" s="67">
        <f>$L176</f>
        <v>135424</v>
      </c>
      <c r="AP176" s="64"/>
      <c r="AQ176" s="67">
        <f>$E176</f>
        <v>0</v>
      </c>
      <c r="AR176" s="67">
        <f>$F176</f>
        <v>0</v>
      </c>
      <c r="AS176" s="67">
        <f>$G176</f>
        <v>27658</v>
      </c>
      <c r="AT176" s="67">
        <f>$H176</f>
        <v>55607</v>
      </c>
      <c r="AU176" s="67">
        <f>$I176</f>
        <v>75788</v>
      </c>
      <c r="AV176" s="67">
        <f>$J176</f>
        <v>72870</v>
      </c>
      <c r="AW176" s="67">
        <f>$K176</f>
        <v>72263</v>
      </c>
      <c r="AX176" s="67">
        <f>$L176</f>
        <v>135424</v>
      </c>
      <c r="AY176" s="196">
        <f>AX176/AW176-1</f>
        <v>0.8740434247125084</v>
      </c>
      <c r="AZ176" s="64"/>
      <c r="BA176" s="67">
        <f>$E176</f>
        <v>0</v>
      </c>
      <c r="BB176" s="67">
        <f>$F176</f>
        <v>0</v>
      </c>
      <c r="BC176" s="67">
        <f>$G176</f>
        <v>27658</v>
      </c>
      <c r="BD176" s="67">
        <f>$H176</f>
        <v>55607</v>
      </c>
      <c r="BE176" s="67">
        <f>$I176</f>
        <v>75788</v>
      </c>
      <c r="BF176" s="67">
        <f>$J176</f>
        <v>72870</v>
      </c>
      <c r="BG176" s="67">
        <f>$K176</f>
        <v>72263</v>
      </c>
      <c r="BH176" s="67">
        <f>$L176</f>
        <v>135424</v>
      </c>
    </row>
    <row r="177" spans="2:60" x14ac:dyDescent="0.3">
      <c r="C177" s="65" t="s">
        <v>138</v>
      </c>
      <c r="D177" s="77"/>
      <c r="E177" s="97"/>
      <c r="F177" s="97">
        <v>0</v>
      </c>
      <c r="G177" s="98">
        <v>14</v>
      </c>
      <c r="H177" s="98">
        <v>91</v>
      </c>
      <c r="I177" s="98">
        <v>528</v>
      </c>
      <c r="J177" s="98">
        <f>SUM('Quarterly I.S'!K176:N176)</f>
        <v>3261</v>
      </c>
      <c r="K177" s="98">
        <f>SUM('Quarterly I.S'!O176:R176)</f>
        <v>14347</v>
      </c>
      <c r="L177" s="98">
        <f>SUM('Quarterly I.S'!S176:V176)</f>
        <v>32902</v>
      </c>
      <c r="M177" s="196">
        <f>L177/K177-1</f>
        <v>1.2933017355544711</v>
      </c>
      <c r="O177" s="67">
        <f>$E177</f>
        <v>0</v>
      </c>
      <c r="P177" s="67">
        <f>$F177</f>
        <v>0</v>
      </c>
      <c r="Q177" s="67">
        <f>$G177</f>
        <v>14</v>
      </c>
      <c r="R177" s="67">
        <f>$H177</f>
        <v>91</v>
      </c>
      <c r="S177" s="67">
        <f>$I177</f>
        <v>528</v>
      </c>
      <c r="T177" s="67">
        <f>$J177</f>
        <v>3261</v>
      </c>
      <c r="U177" s="67">
        <f>$K177</f>
        <v>14347</v>
      </c>
      <c r="V177" s="67">
        <f>$L177</f>
        <v>32902</v>
      </c>
      <c r="W177" s="196">
        <f>V177/U177-1</f>
        <v>1.2933017355544711</v>
      </c>
      <c r="X177" s="64"/>
      <c r="Y177" s="67">
        <f>$E177</f>
        <v>0</v>
      </c>
      <c r="Z177" s="67">
        <f>$F177</f>
        <v>0</v>
      </c>
      <c r="AA177" s="67">
        <f>$G177</f>
        <v>14</v>
      </c>
      <c r="AB177" s="67">
        <f>$H177</f>
        <v>91</v>
      </c>
      <c r="AC177" s="67">
        <f>$I177</f>
        <v>528</v>
      </c>
      <c r="AD177" s="67">
        <f>$J177</f>
        <v>3261</v>
      </c>
      <c r="AE177" s="67">
        <f>$K177</f>
        <v>14347</v>
      </c>
      <c r="AF177" s="67">
        <f>$L177</f>
        <v>32902</v>
      </c>
      <c r="AG177" s="64"/>
      <c r="AH177" s="67">
        <f>$E177</f>
        <v>0</v>
      </c>
      <c r="AI177" s="67">
        <f>$F177</f>
        <v>0</v>
      </c>
      <c r="AJ177" s="67">
        <f>$G177</f>
        <v>14</v>
      </c>
      <c r="AK177" s="67">
        <f>$H177</f>
        <v>91</v>
      </c>
      <c r="AL177" s="67">
        <f>$I177</f>
        <v>528</v>
      </c>
      <c r="AM177" s="67">
        <f>$J177</f>
        <v>3261</v>
      </c>
      <c r="AN177" s="67">
        <f>$K177</f>
        <v>14347</v>
      </c>
      <c r="AO177" s="67">
        <f>$L177</f>
        <v>32902</v>
      </c>
      <c r="AP177" s="64"/>
      <c r="AQ177" s="67">
        <f>$E177</f>
        <v>0</v>
      </c>
      <c r="AR177" s="67">
        <f>$F177</f>
        <v>0</v>
      </c>
      <c r="AS177" s="67">
        <f>$G177</f>
        <v>14</v>
      </c>
      <c r="AT177" s="67">
        <f>$H177</f>
        <v>91</v>
      </c>
      <c r="AU177" s="67">
        <f>$I177</f>
        <v>528</v>
      </c>
      <c r="AV177" s="67">
        <f>$J177</f>
        <v>3261</v>
      </c>
      <c r="AW177" s="67">
        <f>$K177</f>
        <v>14347</v>
      </c>
      <c r="AX177" s="67">
        <f>$L177</f>
        <v>32902</v>
      </c>
      <c r="AY177" s="196">
        <f>AX177/AW177-1</f>
        <v>1.2933017355544711</v>
      </c>
      <c r="AZ177" s="64"/>
      <c r="BA177" s="67">
        <f>$E177</f>
        <v>0</v>
      </c>
      <c r="BB177" s="67">
        <f>$F177</f>
        <v>0</v>
      </c>
      <c r="BC177" s="67">
        <f>$G177</f>
        <v>14</v>
      </c>
      <c r="BD177" s="67">
        <f>$H177</f>
        <v>91</v>
      </c>
      <c r="BE177" s="67">
        <f>$I177</f>
        <v>528</v>
      </c>
      <c r="BF177" s="67">
        <f>$J177</f>
        <v>3261</v>
      </c>
      <c r="BG177" s="67">
        <f>$K177</f>
        <v>14347</v>
      </c>
      <c r="BH177" s="67">
        <f>$L177</f>
        <v>32902</v>
      </c>
    </row>
    <row r="178" spans="2:60" x14ac:dyDescent="0.3">
      <c r="C178" s="65"/>
      <c r="D178" s="77"/>
      <c r="E178" s="45"/>
      <c r="F178" s="42"/>
      <c r="G178" s="42"/>
      <c r="H178" s="42"/>
      <c r="I178" s="42"/>
      <c r="J178" s="42"/>
      <c r="K178" s="42"/>
      <c r="L178" s="42"/>
      <c r="O178" s="67"/>
      <c r="P178" s="67"/>
      <c r="Q178" s="67"/>
      <c r="R178" s="67"/>
      <c r="S178" s="67"/>
      <c r="T178" s="67"/>
      <c r="U178" s="67"/>
      <c r="V178" s="67"/>
      <c r="X178" s="64"/>
      <c r="Y178" s="67"/>
      <c r="Z178" s="67"/>
      <c r="AA178" s="67"/>
      <c r="AB178" s="67"/>
      <c r="AC178" s="67"/>
      <c r="AD178" s="67"/>
      <c r="AE178" s="67"/>
      <c r="AF178" s="67"/>
      <c r="AG178" s="64"/>
      <c r="AH178" s="67"/>
      <c r="AI178" s="67"/>
      <c r="AJ178" s="67"/>
      <c r="AK178" s="67"/>
      <c r="AL178" s="67"/>
      <c r="AM178" s="67"/>
      <c r="AN178" s="67"/>
      <c r="AO178" s="67"/>
      <c r="AP178" s="64"/>
      <c r="AQ178" s="67"/>
      <c r="AR178" s="67"/>
      <c r="AS178" s="67"/>
      <c r="AT178" s="67"/>
      <c r="AU178" s="67"/>
      <c r="AV178" s="67"/>
      <c r="AW178" s="67"/>
      <c r="AX178" s="67"/>
      <c r="AZ178" s="64"/>
      <c r="BA178" s="67"/>
      <c r="BB178" s="67"/>
      <c r="BC178" s="67"/>
      <c r="BD178" s="67"/>
      <c r="BE178" s="67"/>
      <c r="BF178" s="67"/>
      <c r="BG178" s="67"/>
      <c r="BH178" s="67"/>
    </row>
    <row r="179" spans="2:60" x14ac:dyDescent="0.3">
      <c r="C179" s="65" t="s">
        <v>122</v>
      </c>
      <c r="D179" s="77"/>
      <c r="E179" s="96"/>
      <c r="F179" s="97">
        <v>107945.73470780213</v>
      </c>
      <c r="G179" s="98">
        <v>164389.02949000002</v>
      </c>
      <c r="H179" s="98">
        <v>315077.3</v>
      </c>
      <c r="I179" s="98">
        <v>371128.87400000001</v>
      </c>
      <c r="J179" s="98">
        <f>'Quarterly I.S'!N178</f>
        <v>570427.51899999997</v>
      </c>
      <c r="K179" s="98">
        <f>'Quarterly I.S'!R178</f>
        <v>895325.21000000008</v>
      </c>
      <c r="L179" s="98">
        <f>'Quarterly I.S'!V178</f>
        <v>1232774.5019999999</v>
      </c>
      <c r="M179" s="196">
        <f>L179/K179-1</f>
        <v>0.37690136302539701</v>
      </c>
      <c r="O179" s="67">
        <f>$E179</f>
        <v>0</v>
      </c>
      <c r="P179" s="67">
        <f>$F179</f>
        <v>107945.73470780213</v>
      </c>
      <c r="Q179" s="67">
        <f>$G179</f>
        <v>164389.02949000002</v>
      </c>
      <c r="R179" s="67">
        <f>$H179</f>
        <v>315077.3</v>
      </c>
      <c r="S179" s="67">
        <f>$I179</f>
        <v>371128.87400000001</v>
      </c>
      <c r="T179" s="67">
        <f>$J179</f>
        <v>570427.51899999997</v>
      </c>
      <c r="U179" s="67">
        <f>$K179</f>
        <v>895325.21000000008</v>
      </c>
      <c r="V179" s="67">
        <f>$L179</f>
        <v>1232774.5019999999</v>
      </c>
      <c r="W179" s="196">
        <f>V179/U179-1</f>
        <v>0.37690136302539701</v>
      </c>
      <c r="X179" s="64"/>
      <c r="Y179" s="67">
        <f>$E179</f>
        <v>0</v>
      </c>
      <c r="Z179" s="67">
        <f>$F179</f>
        <v>107945.73470780213</v>
      </c>
      <c r="AA179" s="67">
        <f>$G179</f>
        <v>164389.02949000002</v>
      </c>
      <c r="AB179" s="67">
        <f>$H179</f>
        <v>315077.3</v>
      </c>
      <c r="AC179" s="67">
        <f>$I179</f>
        <v>371128.87400000001</v>
      </c>
      <c r="AD179" s="67">
        <f>$J179</f>
        <v>570427.51899999997</v>
      </c>
      <c r="AE179" s="67">
        <f>$K179</f>
        <v>895325.21000000008</v>
      </c>
      <c r="AF179" s="67">
        <f>$L179</f>
        <v>1232774.5019999999</v>
      </c>
      <c r="AG179" s="64"/>
      <c r="AH179" s="67">
        <f>$E179</f>
        <v>0</v>
      </c>
      <c r="AI179" s="67">
        <f>$F179</f>
        <v>107945.73470780213</v>
      </c>
      <c r="AJ179" s="67">
        <f>$G179</f>
        <v>164389.02949000002</v>
      </c>
      <c r="AK179" s="67">
        <f>$H179</f>
        <v>315077.3</v>
      </c>
      <c r="AL179" s="67">
        <f>$I179</f>
        <v>371128.87400000001</v>
      </c>
      <c r="AM179" s="67">
        <f>$J179</f>
        <v>570427.51899999997</v>
      </c>
      <c r="AN179" s="67">
        <f>$K179</f>
        <v>895325.21000000008</v>
      </c>
      <c r="AO179" s="67">
        <f>$L179</f>
        <v>1232774.5019999999</v>
      </c>
      <c r="AP179" s="64"/>
      <c r="AQ179" s="67">
        <f>$E179</f>
        <v>0</v>
      </c>
      <c r="AR179" s="67">
        <f>$F179</f>
        <v>107945.73470780213</v>
      </c>
      <c r="AS179" s="67">
        <f>$G179</f>
        <v>164389.02949000002</v>
      </c>
      <c r="AT179" s="67">
        <f>$H179</f>
        <v>315077.3</v>
      </c>
      <c r="AU179" s="67">
        <f>$I179</f>
        <v>371128.87400000001</v>
      </c>
      <c r="AV179" s="67">
        <f>$J179</f>
        <v>570427.51899999997</v>
      </c>
      <c r="AW179" s="67">
        <f>$K179</f>
        <v>895325.21000000008</v>
      </c>
      <c r="AX179" s="67">
        <f>$L179</f>
        <v>1232774.5019999999</v>
      </c>
      <c r="AY179" s="196">
        <f>AX179/AW179-1</f>
        <v>0.37690136302539701</v>
      </c>
      <c r="AZ179" s="64"/>
      <c r="BA179" s="67">
        <f>$E179</f>
        <v>0</v>
      </c>
      <c r="BB179" s="67">
        <f>$F179</f>
        <v>107945.73470780213</v>
      </c>
      <c r="BC179" s="67">
        <f>$G179</f>
        <v>164389.02949000002</v>
      </c>
      <c r="BD179" s="67">
        <f>$H179</f>
        <v>315077.3</v>
      </c>
      <c r="BE179" s="67">
        <f>$I179</f>
        <v>371128.87400000001</v>
      </c>
      <c r="BF179" s="67">
        <f>$J179</f>
        <v>570427.51899999997</v>
      </c>
      <c r="BG179" s="67">
        <f>$K179</f>
        <v>895325.21000000008</v>
      </c>
      <c r="BH179" s="67">
        <f>$L179</f>
        <v>1232774.5019999999</v>
      </c>
    </row>
    <row r="180" spans="2:60" x14ac:dyDescent="0.3">
      <c r="C180" s="65" t="s">
        <v>133</v>
      </c>
      <c r="D180" s="77"/>
      <c r="E180" s="96"/>
      <c r="F180" s="97"/>
      <c r="G180" s="98"/>
      <c r="H180" s="98"/>
      <c r="I180" s="98">
        <v>630107.12721000006</v>
      </c>
      <c r="J180" s="98">
        <f>'Quarterly I.S'!N179</f>
        <v>114895.8787</v>
      </c>
      <c r="K180" s="98">
        <f>'Quarterly I.S'!R179</f>
        <v>216305.49028</v>
      </c>
      <c r="L180" s="98">
        <f>'Quarterly I.S'!V179</f>
        <v>187874.35934</v>
      </c>
      <c r="M180" s="196">
        <f>L180/K180-1</f>
        <v>-0.13143971012107403</v>
      </c>
      <c r="O180" s="67">
        <f>$E180</f>
        <v>0</v>
      </c>
      <c r="P180" s="67">
        <f>$F180</f>
        <v>0</v>
      </c>
      <c r="Q180" s="67">
        <f>$G180</f>
        <v>0</v>
      </c>
      <c r="R180" s="67">
        <f>$H180</f>
        <v>0</v>
      </c>
      <c r="S180" s="67">
        <f>$I180</f>
        <v>630107.12721000006</v>
      </c>
      <c r="T180" s="67">
        <f>$J180</f>
        <v>114895.8787</v>
      </c>
      <c r="U180" s="67">
        <f>$K180</f>
        <v>216305.49028</v>
      </c>
      <c r="V180" s="67">
        <f>$L180</f>
        <v>187874.35934</v>
      </c>
      <c r="W180" s="196">
        <f>V180/U180-1</f>
        <v>-0.13143971012107403</v>
      </c>
      <c r="Y180" s="67">
        <f>$E180</f>
        <v>0</v>
      </c>
      <c r="Z180" s="67">
        <f>$F180</f>
        <v>0</v>
      </c>
      <c r="AA180" s="67">
        <f>$G180</f>
        <v>0</v>
      </c>
      <c r="AB180" s="67">
        <f>$H180</f>
        <v>0</v>
      </c>
      <c r="AC180" s="67">
        <f>$I180</f>
        <v>630107.12721000006</v>
      </c>
      <c r="AD180" s="67">
        <f>$J180</f>
        <v>114895.8787</v>
      </c>
      <c r="AE180" s="67">
        <f>$K180</f>
        <v>216305.49028</v>
      </c>
      <c r="AF180" s="67">
        <f>$L180</f>
        <v>187874.35934</v>
      </c>
      <c r="AG180" s="64"/>
      <c r="AH180" s="67">
        <f>$E180</f>
        <v>0</v>
      </c>
      <c r="AI180" s="67">
        <f>$F180</f>
        <v>0</v>
      </c>
      <c r="AJ180" s="67">
        <f>$G180</f>
        <v>0</v>
      </c>
      <c r="AK180" s="67">
        <f>$H180</f>
        <v>0</v>
      </c>
      <c r="AL180" s="67">
        <f>$I180</f>
        <v>630107.12721000006</v>
      </c>
      <c r="AM180" s="67">
        <f>$J180</f>
        <v>114895.8787</v>
      </c>
      <c r="AN180" s="67">
        <f>$K180</f>
        <v>216305.49028</v>
      </c>
      <c r="AO180" s="67">
        <f>$L180</f>
        <v>187874.35934</v>
      </c>
      <c r="AP180" s="64"/>
      <c r="AQ180" s="67">
        <f>$E180</f>
        <v>0</v>
      </c>
      <c r="AR180" s="67">
        <f>$F180</f>
        <v>0</v>
      </c>
      <c r="AS180" s="67">
        <f>$G180</f>
        <v>0</v>
      </c>
      <c r="AT180" s="67">
        <f>$H180</f>
        <v>0</v>
      </c>
      <c r="AU180" s="67">
        <f>$I180</f>
        <v>630107.12721000006</v>
      </c>
      <c r="AV180" s="67">
        <f>$J180</f>
        <v>114895.8787</v>
      </c>
      <c r="AW180" s="67">
        <f>$K180</f>
        <v>216305.49028</v>
      </c>
      <c r="AX180" s="67">
        <f>$L180</f>
        <v>187874.35934</v>
      </c>
      <c r="AY180" s="196">
        <f>AX180/AW180-1</f>
        <v>-0.13143971012107403</v>
      </c>
      <c r="AZ180" s="64"/>
      <c r="BA180" s="67">
        <f>$E180</f>
        <v>0</v>
      </c>
      <c r="BB180" s="67">
        <f>$F180</f>
        <v>0</v>
      </c>
      <c r="BC180" s="67">
        <f>$G180</f>
        <v>0</v>
      </c>
      <c r="BD180" s="67">
        <f>$H180</f>
        <v>0</v>
      </c>
      <c r="BE180" s="67">
        <f>$I180</f>
        <v>630107.12721000006</v>
      </c>
      <c r="BF180" s="67">
        <f>$J180</f>
        <v>114895.8787</v>
      </c>
      <c r="BG180" s="67">
        <f>$K180</f>
        <v>216305.49028</v>
      </c>
      <c r="BH180" s="67">
        <f>$L180</f>
        <v>187874.35934</v>
      </c>
    </row>
    <row r="181" spans="2:60" x14ac:dyDescent="0.3">
      <c r="C181" s="65"/>
      <c r="D181" s="77"/>
      <c r="E181" s="45"/>
      <c r="F181" s="45"/>
      <c r="G181" s="62"/>
      <c r="H181" s="62"/>
      <c r="I181" s="62"/>
      <c r="J181" s="62"/>
      <c r="K181" s="62"/>
      <c r="L181" s="62"/>
      <c r="M181" s="131"/>
      <c r="O181" s="45"/>
      <c r="P181" s="45"/>
      <c r="Q181" s="62"/>
      <c r="R181" s="62"/>
      <c r="S181" s="62"/>
      <c r="T181" s="62"/>
      <c r="U181" s="62"/>
      <c r="V181" s="62"/>
      <c r="W181" s="131"/>
      <c r="Y181" s="45"/>
      <c r="Z181" s="45"/>
      <c r="AA181" s="62"/>
      <c r="AB181" s="62"/>
      <c r="AC181" s="62"/>
      <c r="AD181" s="62"/>
      <c r="AE181" s="62"/>
      <c r="AF181" s="62"/>
      <c r="AH181" s="45"/>
      <c r="AI181" s="45"/>
      <c r="AJ181" s="62"/>
      <c r="AK181" s="62"/>
      <c r="AL181" s="62"/>
      <c r="AM181" s="62"/>
      <c r="AN181" s="62"/>
      <c r="AO181" s="62"/>
      <c r="AQ181" s="45"/>
      <c r="AR181" s="45"/>
      <c r="AS181" s="62"/>
      <c r="AT181" s="62"/>
      <c r="AU181" s="62"/>
      <c r="AV181" s="62"/>
      <c r="AW181" s="62"/>
      <c r="AX181" s="62"/>
      <c r="AY181" s="131"/>
      <c r="BA181" s="45"/>
      <c r="BB181" s="45"/>
      <c r="BC181" s="62"/>
      <c r="BD181" s="62"/>
      <c r="BE181" s="62"/>
      <c r="BF181" s="62"/>
      <c r="BG181" s="62"/>
      <c r="BH181" s="62"/>
    </row>
    <row r="182" spans="2:60" x14ac:dyDescent="0.3">
      <c r="C182" s="65"/>
      <c r="D182" s="77"/>
      <c r="E182" s="45"/>
      <c r="F182" s="45"/>
      <c r="G182" s="62"/>
      <c r="H182" s="62"/>
      <c r="I182" s="62"/>
      <c r="J182" s="62"/>
      <c r="K182" s="62"/>
      <c r="L182" s="62"/>
      <c r="M182" s="131"/>
      <c r="O182" s="45"/>
      <c r="P182" s="45"/>
      <c r="Q182" s="62"/>
      <c r="R182" s="62"/>
      <c r="S182" s="62"/>
      <c r="T182" s="62"/>
      <c r="U182" s="62"/>
      <c r="V182" s="62"/>
      <c r="W182" s="131"/>
      <c r="Y182" s="45"/>
      <c r="Z182" s="45"/>
      <c r="AA182" s="62"/>
      <c r="AB182" s="62"/>
      <c r="AC182" s="62"/>
      <c r="AD182" s="62"/>
      <c r="AE182" s="62"/>
      <c r="AF182" s="62"/>
      <c r="AH182" s="45"/>
      <c r="AI182" s="45"/>
      <c r="AJ182" s="62"/>
      <c r="AK182" s="62"/>
      <c r="AL182" s="62"/>
      <c r="AM182" s="62"/>
      <c r="AN182" s="62"/>
      <c r="AO182" s="62"/>
      <c r="AQ182" s="45"/>
      <c r="AR182" s="45"/>
      <c r="AS182" s="62"/>
      <c r="AT182" s="62"/>
      <c r="AU182" s="62"/>
      <c r="AV182" s="62"/>
      <c r="AW182" s="62"/>
      <c r="AX182" s="62"/>
      <c r="AY182" s="131"/>
      <c r="BA182" s="45"/>
      <c r="BB182" s="45"/>
      <c r="BC182" s="62"/>
      <c r="BD182" s="62"/>
      <c r="BE182" s="62"/>
      <c r="BF182" s="62"/>
      <c r="BG182" s="62"/>
      <c r="BH182" s="62"/>
    </row>
    <row r="183" spans="2:60" s="85" customFormat="1" x14ac:dyDescent="0.3">
      <c r="B183" s="84"/>
      <c r="C183" s="63" t="s">
        <v>136</v>
      </c>
      <c r="D183" s="63"/>
      <c r="E183" s="63"/>
      <c r="F183" s="63"/>
      <c r="G183" s="63"/>
      <c r="H183" s="63"/>
      <c r="I183" s="63"/>
      <c r="J183" s="63"/>
      <c r="K183" s="63"/>
      <c r="L183" s="63"/>
      <c r="M183" s="186"/>
      <c r="O183" s="63"/>
      <c r="P183" s="63"/>
      <c r="Q183" s="63"/>
      <c r="R183" s="63"/>
      <c r="S183" s="63"/>
      <c r="T183" s="63"/>
      <c r="U183" s="63"/>
      <c r="V183" s="63"/>
      <c r="W183" s="186"/>
      <c r="Y183" s="63"/>
      <c r="Z183" s="63"/>
      <c r="AA183" s="63"/>
      <c r="AB183" s="63"/>
      <c r="AC183" s="63"/>
      <c r="AD183" s="63"/>
      <c r="AE183" s="63"/>
      <c r="AF183" s="63"/>
      <c r="AH183" s="63"/>
      <c r="AI183" s="63"/>
      <c r="AJ183" s="63"/>
      <c r="AK183" s="63"/>
      <c r="AL183" s="63"/>
      <c r="AM183" s="63"/>
      <c r="AN183" s="63"/>
      <c r="AO183" s="63"/>
      <c r="AQ183" s="63"/>
      <c r="AR183" s="63"/>
      <c r="AS183" s="63"/>
      <c r="AT183" s="63"/>
      <c r="AU183" s="63"/>
      <c r="AV183" s="63"/>
      <c r="AW183" s="63"/>
      <c r="AX183" s="63"/>
      <c r="AY183" s="186"/>
      <c r="AZ183" s="110"/>
      <c r="BA183" s="63"/>
      <c r="BB183" s="63"/>
      <c r="BC183" s="63"/>
      <c r="BD183" s="63"/>
      <c r="BE183" s="63"/>
      <c r="BF183" s="63"/>
      <c r="BG183" s="63"/>
      <c r="BH183" s="63"/>
    </row>
    <row r="184" spans="2:60" x14ac:dyDescent="0.3">
      <c r="C184" s="36" t="s">
        <v>53</v>
      </c>
      <c r="E184" s="69"/>
      <c r="F184" s="69">
        <v>188881.86043299892</v>
      </c>
      <c r="G184" s="69">
        <v>205908.29168029997</v>
      </c>
      <c r="H184" s="69">
        <v>153323.7311532833</v>
      </c>
      <c r="I184" s="69">
        <v>183721.8407329992</v>
      </c>
      <c r="J184" s="69">
        <f>SUM('Quarterly I.S'!K183:N183)</f>
        <v>218780.21907700103</v>
      </c>
      <c r="K184" s="69">
        <f>SUM('Quarterly I.S'!O183:R183)</f>
        <v>404517.09696495772</v>
      </c>
      <c r="L184" s="69">
        <f>SUM('Quarterly I.S'!S183:V183)</f>
        <v>516219.78798722813</v>
      </c>
      <c r="M184" s="182">
        <f>L184/K184-1</f>
        <v>0.27613836809460479</v>
      </c>
      <c r="O184" s="70">
        <f>$E184</f>
        <v>0</v>
      </c>
      <c r="P184" s="70">
        <f>$F184</f>
        <v>188881.86043299892</v>
      </c>
      <c r="Q184" s="70">
        <f>$G184</f>
        <v>205908.29168029997</v>
      </c>
      <c r="R184" s="70">
        <f>$H184</f>
        <v>153323.7311532833</v>
      </c>
      <c r="S184" s="70">
        <f>$I184</f>
        <v>183721.8407329992</v>
      </c>
      <c r="T184" s="70">
        <f>$J184</f>
        <v>218780.21907700103</v>
      </c>
      <c r="U184" s="70">
        <f>$K184</f>
        <v>404517.09696495772</v>
      </c>
      <c r="V184" s="70">
        <f>$L184</f>
        <v>516219.78798722813</v>
      </c>
      <c r="W184" s="182">
        <f>V184/U184-1</f>
        <v>0.27613836809460479</v>
      </c>
      <c r="Y184" s="70">
        <f>$E184</f>
        <v>0</v>
      </c>
      <c r="Z184" s="70">
        <f>$F184</f>
        <v>188881.86043299892</v>
      </c>
      <c r="AA184" s="70">
        <f>$G184</f>
        <v>205908.29168029997</v>
      </c>
      <c r="AB184" s="70">
        <f>$H184</f>
        <v>153323.7311532833</v>
      </c>
      <c r="AC184" s="70">
        <f>$I184</f>
        <v>183721.8407329992</v>
      </c>
      <c r="AD184" s="70">
        <f>$J184</f>
        <v>218780.21907700103</v>
      </c>
      <c r="AE184" s="70">
        <f>$K184</f>
        <v>404517.09696495772</v>
      </c>
      <c r="AF184" s="70">
        <f>$L184</f>
        <v>516219.78798722813</v>
      </c>
      <c r="AH184" s="70">
        <f>$E184</f>
        <v>0</v>
      </c>
      <c r="AI184" s="70">
        <f>$F184</f>
        <v>188881.86043299892</v>
      </c>
      <c r="AJ184" s="70">
        <f>$G184</f>
        <v>205908.29168029997</v>
      </c>
      <c r="AK184" s="70">
        <f>$H184</f>
        <v>153323.7311532833</v>
      </c>
      <c r="AL184" s="70">
        <f>$I184</f>
        <v>183721.8407329992</v>
      </c>
      <c r="AM184" s="70">
        <f>$J184</f>
        <v>218780.21907700103</v>
      </c>
      <c r="AN184" s="70">
        <f>$K184</f>
        <v>404517.09696495772</v>
      </c>
      <c r="AO184" s="70">
        <f>$L184</f>
        <v>516219.78798722813</v>
      </c>
      <c r="AQ184" s="70">
        <f>$E184</f>
        <v>0</v>
      </c>
      <c r="AR184" s="70">
        <f>$F184</f>
        <v>188881.86043299892</v>
      </c>
      <c r="AS184" s="70">
        <f>$G184</f>
        <v>205908.29168029997</v>
      </c>
      <c r="AT184" s="70">
        <f>$H184</f>
        <v>153323.7311532833</v>
      </c>
      <c r="AU184" s="70">
        <f>$I184</f>
        <v>183721.8407329992</v>
      </c>
      <c r="AV184" s="70">
        <f>$J184</f>
        <v>218780.21907700103</v>
      </c>
      <c r="AW184" s="70">
        <f>$K184</f>
        <v>404517.09696495772</v>
      </c>
      <c r="AX184" s="70">
        <f>$L184</f>
        <v>516219.78798722813</v>
      </c>
      <c r="AY184" s="182">
        <f>AX184/AW184-1</f>
        <v>0.27613836809460479</v>
      </c>
      <c r="BA184" s="70">
        <f>$E184</f>
        <v>0</v>
      </c>
      <c r="BB184" s="70">
        <f>$F184</f>
        <v>188881.86043299892</v>
      </c>
      <c r="BC184" s="70">
        <f>$G184</f>
        <v>205908.29168029997</v>
      </c>
      <c r="BD184" s="70">
        <f>$H184</f>
        <v>153323.7311532833</v>
      </c>
      <c r="BE184" s="70">
        <f>$I184</f>
        <v>183721.8407329992</v>
      </c>
      <c r="BF184" s="70">
        <f>$J184</f>
        <v>218780.21907700103</v>
      </c>
      <c r="BG184" s="70">
        <f>$K184</f>
        <v>404517.09696495772</v>
      </c>
      <c r="BH184" s="70">
        <f>$L184</f>
        <v>516219.78798722813</v>
      </c>
    </row>
    <row r="185" spans="2:60" x14ac:dyDescent="0.3">
      <c r="C185" s="36" t="s">
        <v>134</v>
      </c>
      <c r="E185" s="69"/>
      <c r="F185" s="69">
        <v>64920</v>
      </c>
      <c r="G185" s="69">
        <v>47988</v>
      </c>
      <c r="H185" s="69">
        <v>48938</v>
      </c>
      <c r="I185" s="69">
        <v>63143</v>
      </c>
      <c r="J185" s="69">
        <f>SUM('Quarterly I.S'!K184:N184)</f>
        <v>64558</v>
      </c>
      <c r="K185" s="69">
        <f>SUM('Quarterly I.S'!O184:R184)</f>
        <v>76791</v>
      </c>
      <c r="L185" s="69">
        <f>SUM('Quarterly I.S'!S184:V184)</f>
        <v>68401</v>
      </c>
      <c r="M185" s="182">
        <f>L185/K185-1</f>
        <v>-0.1092575952911149</v>
      </c>
      <c r="O185" s="70">
        <f>$E185</f>
        <v>0</v>
      </c>
      <c r="P185" s="70">
        <f>$F185</f>
        <v>64920</v>
      </c>
      <c r="Q185" s="70">
        <f>$G185</f>
        <v>47988</v>
      </c>
      <c r="R185" s="70">
        <f>$H185</f>
        <v>48938</v>
      </c>
      <c r="S185" s="70">
        <f>$I185</f>
        <v>63143</v>
      </c>
      <c r="T185" s="70">
        <f>$J185</f>
        <v>64558</v>
      </c>
      <c r="U185" s="70">
        <f>$K185</f>
        <v>76791</v>
      </c>
      <c r="V185" s="70">
        <f>$L185</f>
        <v>68401</v>
      </c>
      <c r="W185" s="182">
        <f>V185/U185-1</f>
        <v>-0.1092575952911149</v>
      </c>
      <c r="Y185" s="70">
        <f>$E185</f>
        <v>0</v>
      </c>
      <c r="Z185" s="70">
        <f>$F185</f>
        <v>64920</v>
      </c>
      <c r="AA185" s="70">
        <f>$G185</f>
        <v>47988</v>
      </c>
      <c r="AB185" s="70">
        <f>$H185</f>
        <v>48938</v>
      </c>
      <c r="AC185" s="70">
        <f>$I185</f>
        <v>63143</v>
      </c>
      <c r="AD185" s="70">
        <f>$J185</f>
        <v>64558</v>
      </c>
      <c r="AE185" s="70">
        <f>$K185</f>
        <v>76791</v>
      </c>
      <c r="AF185" s="70">
        <f>$L185</f>
        <v>68401</v>
      </c>
      <c r="AH185" s="70">
        <f>$E185</f>
        <v>0</v>
      </c>
      <c r="AI185" s="70">
        <f>$F185</f>
        <v>64920</v>
      </c>
      <c r="AJ185" s="70">
        <f>$G185</f>
        <v>47988</v>
      </c>
      <c r="AK185" s="70">
        <f>$H185</f>
        <v>48938</v>
      </c>
      <c r="AL185" s="70">
        <f>$I185</f>
        <v>63143</v>
      </c>
      <c r="AM185" s="70">
        <f>$J185</f>
        <v>64558</v>
      </c>
      <c r="AN185" s="70">
        <f>$K185</f>
        <v>76791</v>
      </c>
      <c r="AO185" s="70">
        <f>$L185</f>
        <v>68401</v>
      </c>
      <c r="AQ185" s="70">
        <f>$E185</f>
        <v>0</v>
      </c>
      <c r="AR185" s="70">
        <f>$F185</f>
        <v>64920</v>
      </c>
      <c r="AS185" s="70">
        <f>$G185</f>
        <v>47988</v>
      </c>
      <c r="AT185" s="70">
        <f>$H185</f>
        <v>48938</v>
      </c>
      <c r="AU185" s="70">
        <f>$I185</f>
        <v>63143</v>
      </c>
      <c r="AV185" s="70">
        <f>$J185</f>
        <v>64558</v>
      </c>
      <c r="AW185" s="70">
        <f>$K185</f>
        <v>76791</v>
      </c>
      <c r="AX185" s="70">
        <f>$L185</f>
        <v>68401</v>
      </c>
      <c r="AY185" s="182">
        <f>AX185/AW185-1</f>
        <v>-0.1092575952911149</v>
      </c>
      <c r="BA185" s="70">
        <f>$E185</f>
        <v>0</v>
      </c>
      <c r="BB185" s="70">
        <f>$F185</f>
        <v>64920</v>
      </c>
      <c r="BC185" s="70">
        <f>$G185</f>
        <v>47988</v>
      </c>
      <c r="BD185" s="70">
        <f>$H185</f>
        <v>48938</v>
      </c>
      <c r="BE185" s="70">
        <f>$I185</f>
        <v>63143</v>
      </c>
      <c r="BF185" s="70">
        <f>$J185</f>
        <v>64558</v>
      </c>
      <c r="BG185" s="70">
        <f>$K185</f>
        <v>76791</v>
      </c>
      <c r="BH185" s="70">
        <f>$L185</f>
        <v>68401</v>
      </c>
    </row>
    <row r="186" spans="2:60" x14ac:dyDescent="0.3">
      <c r="E186" s="69"/>
      <c r="F186" s="69"/>
      <c r="G186" s="69"/>
      <c r="H186" s="69"/>
      <c r="I186" s="69"/>
      <c r="J186" s="69"/>
      <c r="K186" s="69"/>
      <c r="L186" s="69"/>
      <c r="M186" s="182"/>
      <c r="O186" s="70"/>
      <c r="P186" s="70"/>
      <c r="Q186" s="70"/>
      <c r="R186" s="70"/>
      <c r="S186" s="70"/>
      <c r="T186" s="70"/>
      <c r="U186" s="70"/>
      <c r="V186" s="70"/>
      <c r="W186" s="182"/>
      <c r="Y186" s="70"/>
      <c r="Z186" s="70"/>
      <c r="AA186" s="70"/>
      <c r="AB186" s="70"/>
      <c r="AC186" s="70"/>
      <c r="AD186" s="70"/>
      <c r="AE186" s="70"/>
      <c r="AF186" s="70"/>
      <c r="AH186" s="70"/>
      <c r="AI186" s="70"/>
      <c r="AJ186" s="70"/>
      <c r="AK186" s="247"/>
      <c r="AL186" s="247"/>
      <c r="AM186" s="247"/>
      <c r="AN186" s="247"/>
      <c r="AO186" s="247"/>
      <c r="AQ186" s="70"/>
      <c r="AR186" s="70"/>
      <c r="AS186" s="70"/>
      <c r="AT186" s="70"/>
      <c r="AU186" s="70"/>
      <c r="AV186" s="70"/>
      <c r="AW186" s="70"/>
      <c r="AX186" s="70"/>
      <c r="AY186" s="182"/>
      <c r="BA186" s="70"/>
      <c r="BB186" s="70"/>
      <c r="BC186" s="70"/>
      <c r="BD186" s="70"/>
      <c r="BE186" s="70"/>
      <c r="BF186" s="70"/>
      <c r="BG186" s="70"/>
      <c r="BH186" s="70"/>
    </row>
    <row r="187" spans="2:60" s="82" customFormat="1" x14ac:dyDescent="0.3">
      <c r="B187" s="81"/>
      <c r="C187" s="30" t="s">
        <v>96</v>
      </c>
      <c r="D187" s="30"/>
      <c r="E187" s="30"/>
      <c r="F187" s="30"/>
      <c r="G187" s="30"/>
      <c r="H187" s="30"/>
      <c r="I187" s="30"/>
      <c r="J187" s="30"/>
      <c r="K187" s="30"/>
      <c r="L187" s="30"/>
      <c r="M187" s="185"/>
      <c r="O187" s="30"/>
      <c r="P187" s="30"/>
      <c r="Q187" s="30"/>
      <c r="R187" s="30"/>
      <c r="S187" s="30"/>
      <c r="T187" s="30"/>
      <c r="U187" s="30"/>
      <c r="V187" s="30"/>
      <c r="W187" s="185"/>
      <c r="Y187" s="30"/>
      <c r="Z187" s="30"/>
      <c r="AA187" s="30"/>
      <c r="AB187" s="30"/>
      <c r="AC187" s="30"/>
      <c r="AD187" s="30"/>
      <c r="AE187" s="30"/>
      <c r="AF187" s="30"/>
      <c r="AH187" s="30"/>
      <c r="AI187" s="30"/>
      <c r="AJ187" s="30"/>
      <c r="AK187" s="30"/>
      <c r="AL187" s="30"/>
      <c r="AM187" s="30"/>
      <c r="AN187" s="30"/>
      <c r="AO187" s="30"/>
      <c r="AQ187" s="30"/>
      <c r="AR187" s="30"/>
      <c r="AS187" s="30"/>
      <c r="AT187" s="30"/>
      <c r="AU187" s="30"/>
      <c r="AV187" s="30"/>
      <c r="AW187" s="30"/>
      <c r="AX187" s="30"/>
      <c r="AY187" s="185"/>
      <c r="AZ187" s="110"/>
      <c r="BA187" s="30"/>
      <c r="BB187" s="30"/>
      <c r="BC187" s="30"/>
      <c r="BD187" s="30"/>
      <c r="BE187" s="30"/>
      <c r="BF187" s="30"/>
      <c r="BG187" s="30"/>
      <c r="BH187" s="30"/>
    </row>
    <row r="188" spans="2:60" x14ac:dyDescent="0.3">
      <c r="C188" s="36" t="s">
        <v>15</v>
      </c>
      <c r="F188" s="42">
        <f t="shared" ref="F188:L188" si="345">F21</f>
        <v>59725.768449999996</v>
      </c>
      <c r="G188" s="42">
        <f t="shared" si="345"/>
        <v>80069.782749999998</v>
      </c>
      <c r="H188" s="42">
        <f t="shared" si="345"/>
        <v>108182.99397</v>
      </c>
      <c r="I188" s="42">
        <f t="shared" si="345"/>
        <v>132525.21821000002</v>
      </c>
      <c r="J188" s="42">
        <f t="shared" si="345"/>
        <v>248447.03735999999</v>
      </c>
      <c r="K188" s="42">
        <f t="shared" si="345"/>
        <v>327129.06857999996</v>
      </c>
      <c r="L188" s="42">
        <f t="shared" si="345"/>
        <v>218654.67965330815</v>
      </c>
      <c r="O188" s="42">
        <f t="shared" ref="O188:V188" si="346">O21</f>
        <v>0</v>
      </c>
      <c r="P188" s="42">
        <f t="shared" si="346"/>
        <v>59725.768449999996</v>
      </c>
      <c r="Q188" s="42">
        <f t="shared" si="346"/>
        <v>80069.782749999998</v>
      </c>
      <c r="R188" s="42">
        <f t="shared" si="346"/>
        <v>108182.99397</v>
      </c>
      <c r="S188" s="42">
        <f t="shared" si="346"/>
        <v>132518.02545000002</v>
      </c>
      <c r="T188" s="42">
        <f t="shared" si="346"/>
        <v>234183.19245999999</v>
      </c>
      <c r="U188" s="42">
        <f t="shared" si="346"/>
        <v>310765.24540999997</v>
      </c>
      <c r="V188" s="42">
        <f t="shared" si="346"/>
        <v>203864.51470330817</v>
      </c>
      <c r="Y188" s="42">
        <f t="shared" ref="Y188:AF188" si="347">Y21</f>
        <v>0</v>
      </c>
      <c r="Z188" s="42">
        <f t="shared" si="347"/>
        <v>0</v>
      </c>
      <c r="AA188" s="42">
        <f t="shared" si="347"/>
        <v>0</v>
      </c>
      <c r="AB188" s="42">
        <f t="shared" si="347"/>
        <v>0</v>
      </c>
      <c r="AC188" s="42">
        <f t="shared" si="347"/>
        <v>0</v>
      </c>
      <c r="AD188" s="42">
        <f t="shared" si="347"/>
        <v>0</v>
      </c>
      <c r="AE188" s="42">
        <f t="shared" si="347"/>
        <v>0</v>
      </c>
      <c r="AF188" s="42">
        <f t="shared" si="347"/>
        <v>0</v>
      </c>
      <c r="AH188" s="42">
        <f t="shared" ref="AH188:AO188" si="348">AH21</f>
        <v>0</v>
      </c>
      <c r="AI188" s="42">
        <f t="shared" si="348"/>
        <v>0</v>
      </c>
      <c r="AJ188" s="42">
        <f t="shared" si="348"/>
        <v>0</v>
      </c>
      <c r="AK188" s="42">
        <f t="shared" si="348"/>
        <v>0</v>
      </c>
      <c r="AL188" s="42">
        <f t="shared" si="348"/>
        <v>0</v>
      </c>
      <c r="AM188" s="42">
        <f t="shared" si="348"/>
        <v>0</v>
      </c>
      <c r="AN188" s="42">
        <f t="shared" si="348"/>
        <v>0</v>
      </c>
      <c r="AO188" s="42">
        <f t="shared" si="348"/>
        <v>0</v>
      </c>
      <c r="AQ188" s="42">
        <f t="shared" ref="AQ188:AX188" si="349">AQ21</f>
        <v>0</v>
      </c>
      <c r="AR188" s="42">
        <f t="shared" si="349"/>
        <v>0</v>
      </c>
      <c r="AS188" s="42">
        <f t="shared" si="349"/>
        <v>0</v>
      </c>
      <c r="AT188" s="42">
        <f t="shared" si="349"/>
        <v>0</v>
      </c>
      <c r="AU188" s="42">
        <f t="shared" si="349"/>
        <v>0</v>
      </c>
      <c r="AV188" s="42">
        <f t="shared" si="349"/>
        <v>0</v>
      </c>
      <c r="AW188" s="42">
        <f t="shared" si="349"/>
        <v>0</v>
      </c>
      <c r="AX188" s="42">
        <f t="shared" si="349"/>
        <v>0</v>
      </c>
      <c r="BA188" s="42">
        <f t="shared" ref="BA188:BH188" si="350">BA21</f>
        <v>0</v>
      </c>
      <c r="BB188" s="42">
        <f t="shared" si="350"/>
        <v>0</v>
      </c>
      <c r="BC188" s="42">
        <f t="shared" si="350"/>
        <v>0</v>
      </c>
      <c r="BD188" s="42">
        <f t="shared" si="350"/>
        <v>0</v>
      </c>
      <c r="BE188" s="42">
        <f t="shared" si="350"/>
        <v>7.1927599999999998</v>
      </c>
      <c r="BF188" s="42">
        <f t="shared" si="350"/>
        <v>14263.844899999998</v>
      </c>
      <c r="BG188" s="42">
        <f t="shared" si="350"/>
        <v>16363.82317</v>
      </c>
      <c r="BH188" s="42">
        <f t="shared" si="350"/>
        <v>14790.164949999998</v>
      </c>
    </row>
    <row r="189" spans="2:60" x14ac:dyDescent="0.3">
      <c r="C189" s="36" t="s">
        <v>97</v>
      </c>
      <c r="F189" s="76">
        <v>22057.25</v>
      </c>
      <c r="G189" s="76">
        <v>33289</v>
      </c>
      <c r="H189" s="76">
        <v>37945</v>
      </c>
      <c r="I189" s="76">
        <v>24950</v>
      </c>
      <c r="J189" s="140">
        <f>SUM('Quarterly I.S'!K188:N188)</f>
        <v>66662.5</v>
      </c>
      <c r="K189" s="140">
        <f>SUM('Quarterly I.S'!O188:R188)</f>
        <v>79300</v>
      </c>
      <c r="L189" s="140">
        <f>SUM('Quarterly I.S'!S188:V188)</f>
        <v>22504</v>
      </c>
      <c r="M189" s="198"/>
      <c r="O189" s="70">
        <f>$E189</f>
        <v>0</v>
      </c>
      <c r="P189" s="70">
        <f>$F189</f>
        <v>22057.25</v>
      </c>
      <c r="Q189" s="70">
        <f>$G189</f>
        <v>33289</v>
      </c>
      <c r="R189" s="70">
        <f>$H189</f>
        <v>37945</v>
      </c>
      <c r="S189" s="70">
        <f>$I189</f>
        <v>24950</v>
      </c>
      <c r="T189" s="70">
        <f>$J189</f>
        <v>66662.5</v>
      </c>
      <c r="U189" s="70">
        <f>$K189</f>
        <v>79300</v>
      </c>
      <c r="V189" s="70">
        <f>$L189</f>
        <v>22504</v>
      </c>
      <c r="W189" s="198"/>
      <c r="Y189" s="70">
        <f>$E189</f>
        <v>0</v>
      </c>
      <c r="Z189" s="70">
        <f>$F189</f>
        <v>22057.25</v>
      </c>
      <c r="AA189" s="70">
        <f>$G189</f>
        <v>33289</v>
      </c>
      <c r="AB189" s="70">
        <f>$H189</f>
        <v>37945</v>
      </c>
      <c r="AC189" s="70">
        <f>$I189</f>
        <v>24950</v>
      </c>
      <c r="AD189" s="70">
        <f>$J189</f>
        <v>66662.5</v>
      </c>
      <c r="AE189" s="70">
        <f>$K189</f>
        <v>79300</v>
      </c>
      <c r="AF189" s="70">
        <f>$L189</f>
        <v>22504</v>
      </c>
      <c r="AH189" s="70">
        <f>$E189</f>
        <v>0</v>
      </c>
      <c r="AI189" s="70">
        <f>$F189</f>
        <v>22057.25</v>
      </c>
      <c r="AJ189" s="70">
        <f>$G189</f>
        <v>33289</v>
      </c>
      <c r="AK189" s="70">
        <f>$H189</f>
        <v>37945</v>
      </c>
      <c r="AL189" s="70">
        <f>$I189</f>
        <v>24950</v>
      </c>
      <c r="AM189" s="70">
        <f>$J189</f>
        <v>66662.5</v>
      </c>
      <c r="AN189" s="70">
        <f>$K189</f>
        <v>79300</v>
      </c>
      <c r="AO189" s="70">
        <f>$L189</f>
        <v>22504</v>
      </c>
      <c r="AQ189" s="70">
        <f>$E189</f>
        <v>0</v>
      </c>
      <c r="AR189" s="70">
        <f>$F189</f>
        <v>22057.25</v>
      </c>
      <c r="AS189" s="70">
        <f>$G189</f>
        <v>33289</v>
      </c>
      <c r="AT189" s="70">
        <f>$H189</f>
        <v>37945</v>
      </c>
      <c r="AU189" s="70">
        <f>$I189</f>
        <v>24950</v>
      </c>
      <c r="AV189" s="70">
        <f>$J189</f>
        <v>66662.5</v>
      </c>
      <c r="AW189" s="70">
        <f>$K189</f>
        <v>79300</v>
      </c>
      <c r="AX189" s="70">
        <f>$L189</f>
        <v>22504</v>
      </c>
      <c r="AY189" s="198"/>
      <c r="BA189" s="70">
        <f>$E189</f>
        <v>0</v>
      </c>
      <c r="BB189" s="70">
        <f>$F189</f>
        <v>22057.25</v>
      </c>
      <c r="BC189" s="70">
        <f>$G189</f>
        <v>33289</v>
      </c>
      <c r="BD189" s="70">
        <f>$H189</f>
        <v>37945</v>
      </c>
      <c r="BE189" s="70">
        <f>$I189</f>
        <v>24950</v>
      </c>
      <c r="BF189" s="70">
        <f>$J189</f>
        <v>66662.5</v>
      </c>
      <c r="BG189" s="70">
        <f>$K189</f>
        <v>79300</v>
      </c>
      <c r="BH189" s="70">
        <f>$L189</f>
        <v>22504</v>
      </c>
    </row>
    <row r="190" spans="2:60" x14ac:dyDescent="0.3">
      <c r="C190" s="56" t="s">
        <v>98</v>
      </c>
      <c r="E190" s="56"/>
      <c r="F190" s="57">
        <f t="shared" ref="F190:K190" si="351">F188-F189</f>
        <v>37668.518449999996</v>
      </c>
      <c r="G190" s="57">
        <f t="shared" si="351"/>
        <v>46780.782749999998</v>
      </c>
      <c r="H190" s="57">
        <f t="shared" si="351"/>
        <v>70237.993969999996</v>
      </c>
      <c r="I190" s="57">
        <f t="shared" si="351"/>
        <v>107575.21821000002</v>
      </c>
      <c r="J190" s="57">
        <f t="shared" si="351"/>
        <v>181784.53735999999</v>
      </c>
      <c r="K190" s="57">
        <f t="shared" si="351"/>
        <v>247829.06857999996</v>
      </c>
      <c r="L190" s="57">
        <f>L188-L189</f>
        <v>196150.67965330815</v>
      </c>
      <c r="M190" s="199"/>
      <c r="O190" s="57">
        <f t="shared" ref="O190:T190" si="352">O188-O189</f>
        <v>0</v>
      </c>
      <c r="P190" s="57">
        <f t="shared" si="352"/>
        <v>37668.518449999996</v>
      </c>
      <c r="Q190" s="57">
        <f t="shared" si="352"/>
        <v>46780.782749999998</v>
      </c>
      <c r="R190" s="57">
        <f t="shared" si="352"/>
        <v>70237.993969999996</v>
      </c>
      <c r="S190" s="57">
        <f t="shared" si="352"/>
        <v>107568.02545000002</v>
      </c>
      <c r="T190" s="57">
        <f t="shared" si="352"/>
        <v>167520.69245999999</v>
      </c>
      <c r="U190" s="57">
        <f>U188-U189</f>
        <v>231465.24540999997</v>
      </c>
      <c r="V190" s="57">
        <f>V188-V189</f>
        <v>181360.51470330817</v>
      </c>
      <c r="W190" s="199"/>
      <c r="Y190" s="57">
        <f t="shared" ref="Y190:AF190" si="353">Y188-Y189</f>
        <v>0</v>
      </c>
      <c r="Z190" s="57">
        <f t="shared" si="353"/>
        <v>-22057.25</v>
      </c>
      <c r="AA190" s="57">
        <f t="shared" si="353"/>
        <v>-33289</v>
      </c>
      <c r="AB190" s="57">
        <f t="shared" si="353"/>
        <v>-37945</v>
      </c>
      <c r="AC190" s="57">
        <f t="shared" si="353"/>
        <v>-24950</v>
      </c>
      <c r="AD190" s="57">
        <f t="shared" si="353"/>
        <v>-66662.5</v>
      </c>
      <c r="AE190" s="57">
        <f t="shared" si="353"/>
        <v>-79300</v>
      </c>
      <c r="AF190" s="57">
        <f t="shared" si="353"/>
        <v>-22504</v>
      </c>
      <c r="AH190" s="57">
        <f t="shared" ref="AH190:AO190" si="354">AH188-AH189</f>
        <v>0</v>
      </c>
      <c r="AI190" s="57">
        <f t="shared" si="354"/>
        <v>-22057.25</v>
      </c>
      <c r="AJ190" s="57">
        <f t="shared" si="354"/>
        <v>-33289</v>
      </c>
      <c r="AK190" s="57">
        <f t="shared" si="354"/>
        <v>-37945</v>
      </c>
      <c r="AL190" s="57">
        <f t="shared" si="354"/>
        <v>-24950</v>
      </c>
      <c r="AM190" s="57">
        <f t="shared" si="354"/>
        <v>-66662.5</v>
      </c>
      <c r="AN190" s="57">
        <f t="shared" si="354"/>
        <v>-79300</v>
      </c>
      <c r="AO190" s="57">
        <f t="shared" si="354"/>
        <v>-22504</v>
      </c>
      <c r="AQ190" s="57">
        <f t="shared" ref="AQ190:AX190" si="355">AQ188-AQ189</f>
        <v>0</v>
      </c>
      <c r="AR190" s="57">
        <f t="shared" si="355"/>
        <v>-22057.25</v>
      </c>
      <c r="AS190" s="57">
        <f t="shared" si="355"/>
        <v>-33289</v>
      </c>
      <c r="AT190" s="57">
        <f t="shared" si="355"/>
        <v>-37945</v>
      </c>
      <c r="AU190" s="57">
        <f t="shared" si="355"/>
        <v>-24950</v>
      </c>
      <c r="AV190" s="57">
        <f t="shared" si="355"/>
        <v>-66662.5</v>
      </c>
      <c r="AW190" s="57">
        <f t="shared" si="355"/>
        <v>-79300</v>
      </c>
      <c r="AX190" s="57">
        <f t="shared" si="355"/>
        <v>-22504</v>
      </c>
      <c r="AY190" s="199"/>
      <c r="BA190" s="57">
        <f t="shared" ref="BA190:BH190" si="356">BA188-BA189</f>
        <v>0</v>
      </c>
      <c r="BB190" s="57">
        <f t="shared" si="356"/>
        <v>-22057.25</v>
      </c>
      <c r="BC190" s="57">
        <f t="shared" si="356"/>
        <v>-33289</v>
      </c>
      <c r="BD190" s="57">
        <f t="shared" si="356"/>
        <v>-37945</v>
      </c>
      <c r="BE190" s="57">
        <f t="shared" si="356"/>
        <v>-24942.807239999998</v>
      </c>
      <c r="BF190" s="57">
        <f t="shared" si="356"/>
        <v>-52398.655100000004</v>
      </c>
      <c r="BG190" s="57">
        <f t="shared" si="356"/>
        <v>-62936.176829999997</v>
      </c>
      <c r="BH190" s="57">
        <f t="shared" si="356"/>
        <v>-7713.8350500000015</v>
      </c>
    </row>
    <row r="191" spans="2:60" x14ac:dyDescent="0.3">
      <c r="M191" s="197"/>
      <c r="W191" s="197"/>
      <c r="AY191" s="197"/>
    </row>
    <row r="192" spans="2:60" x14ac:dyDescent="0.3">
      <c r="C192" s="36" t="s">
        <v>128</v>
      </c>
      <c r="F192" s="42">
        <f t="shared" ref="F192:L192" si="357">F24</f>
        <v>-37584.866149999994</v>
      </c>
      <c r="G192" s="42">
        <f t="shared" si="357"/>
        <v>-32776.743999999999</v>
      </c>
      <c r="H192" s="42">
        <f t="shared" si="357"/>
        <v>-46137.948710000004</v>
      </c>
      <c r="I192" s="42">
        <f t="shared" si="357"/>
        <v>-56649.270799999998</v>
      </c>
      <c r="J192" s="42">
        <f t="shared" si="357"/>
        <v>-83437.473309999987</v>
      </c>
      <c r="K192" s="42">
        <f t="shared" si="357"/>
        <v>-163538.94128</v>
      </c>
      <c r="L192" s="42">
        <f t="shared" si="357"/>
        <v>-110908.27507647724</v>
      </c>
      <c r="M192" s="197"/>
      <c r="O192" s="42">
        <f t="shared" ref="O192:V192" si="358">O24</f>
        <v>0</v>
      </c>
      <c r="P192" s="42">
        <f t="shared" si="358"/>
        <v>-37584.866149999994</v>
      </c>
      <c r="Q192" s="42">
        <f t="shared" si="358"/>
        <v>-32776.743999999999</v>
      </c>
      <c r="R192" s="42">
        <f t="shared" si="358"/>
        <v>-46137.948710000004</v>
      </c>
      <c r="S192" s="42">
        <f t="shared" si="358"/>
        <v>-56649.270799999998</v>
      </c>
      <c r="T192" s="42">
        <f t="shared" si="358"/>
        <v>-83437.473309999987</v>
      </c>
      <c r="U192" s="42">
        <f t="shared" si="358"/>
        <v>-163538.94128</v>
      </c>
      <c r="V192" s="42">
        <f t="shared" si="358"/>
        <v>-110908.27507647724</v>
      </c>
      <c r="W192" s="197"/>
      <c r="Y192" s="42">
        <f t="shared" ref="Y192:AF192" si="359">Y24</f>
        <v>0</v>
      </c>
      <c r="Z192" s="42">
        <f t="shared" si="359"/>
        <v>0</v>
      </c>
      <c r="AA192" s="42">
        <f t="shared" si="359"/>
        <v>0</v>
      </c>
      <c r="AB192" s="42">
        <f t="shared" si="359"/>
        <v>0</v>
      </c>
      <c r="AC192" s="42">
        <f t="shared" si="359"/>
        <v>0</v>
      </c>
      <c r="AD192" s="42">
        <f t="shared" si="359"/>
        <v>0</v>
      </c>
      <c r="AE192" s="42">
        <f t="shared" si="359"/>
        <v>0</v>
      </c>
      <c r="AF192" s="42">
        <f t="shared" si="359"/>
        <v>0</v>
      </c>
      <c r="AH192" s="42">
        <f t="shared" ref="AH192:AO192" si="360">AH24</f>
        <v>0</v>
      </c>
      <c r="AI192" s="42">
        <f t="shared" si="360"/>
        <v>0</v>
      </c>
      <c r="AJ192" s="42">
        <f t="shared" si="360"/>
        <v>0</v>
      </c>
      <c r="AK192" s="42">
        <f t="shared" si="360"/>
        <v>0</v>
      </c>
      <c r="AL192" s="42">
        <f t="shared" si="360"/>
        <v>0</v>
      </c>
      <c r="AM192" s="42">
        <f t="shared" si="360"/>
        <v>0</v>
      </c>
      <c r="AN192" s="42">
        <f t="shared" si="360"/>
        <v>0</v>
      </c>
      <c r="AO192" s="42">
        <f t="shared" si="360"/>
        <v>0</v>
      </c>
      <c r="AQ192" s="42">
        <f t="shared" ref="AQ192:AX192" si="361">AQ24</f>
        <v>0</v>
      </c>
      <c r="AR192" s="42">
        <f t="shared" si="361"/>
        <v>0</v>
      </c>
      <c r="AS192" s="42">
        <f t="shared" si="361"/>
        <v>0</v>
      </c>
      <c r="AT192" s="42">
        <f t="shared" si="361"/>
        <v>0</v>
      </c>
      <c r="AU192" s="42">
        <f t="shared" si="361"/>
        <v>0</v>
      </c>
      <c r="AV192" s="42">
        <f t="shared" si="361"/>
        <v>0</v>
      </c>
      <c r="AW192" s="42">
        <f t="shared" si="361"/>
        <v>0</v>
      </c>
      <c r="AX192" s="42">
        <f t="shared" si="361"/>
        <v>0</v>
      </c>
      <c r="AY192" s="197"/>
      <c r="BA192" s="42">
        <f t="shared" ref="BA192:BH192" si="362">BA24</f>
        <v>0</v>
      </c>
      <c r="BB192" s="42">
        <f t="shared" si="362"/>
        <v>0</v>
      </c>
      <c r="BC192" s="42">
        <f t="shared" si="362"/>
        <v>0</v>
      </c>
      <c r="BD192" s="42">
        <f t="shared" si="362"/>
        <v>0</v>
      </c>
      <c r="BE192" s="42">
        <f t="shared" si="362"/>
        <v>0</v>
      </c>
      <c r="BF192" s="42">
        <f t="shared" si="362"/>
        <v>0</v>
      </c>
      <c r="BG192" s="42">
        <f t="shared" si="362"/>
        <v>0</v>
      </c>
      <c r="BH192" s="42">
        <f t="shared" si="362"/>
        <v>0</v>
      </c>
    </row>
    <row r="193" spans="3:60" x14ac:dyDescent="0.3">
      <c r="C193" s="36" t="s">
        <v>97</v>
      </c>
      <c r="F193" s="76">
        <v>-16774.3</v>
      </c>
      <c r="G193" s="76">
        <v>-16244</v>
      </c>
      <c r="H193" s="76">
        <v>-16815</v>
      </c>
      <c r="I193" s="76">
        <v>-12294.547</v>
      </c>
      <c r="J193" s="140">
        <f>SUM('Quarterly I.S'!K192:N192)</f>
        <v>-12512</v>
      </c>
      <c r="K193" s="140">
        <f>SUM('Quarterly I.S'!O192:R192)</f>
        <v>-26502.5</v>
      </c>
      <c r="L193" s="140">
        <f>SUM('Quarterly I.S'!S192:V192)</f>
        <v>-11467.38133</v>
      </c>
      <c r="M193" s="198"/>
      <c r="O193" s="70">
        <f>$E193</f>
        <v>0</v>
      </c>
      <c r="P193" s="70">
        <f>$F193</f>
        <v>-16774.3</v>
      </c>
      <c r="Q193" s="70">
        <f>$G193</f>
        <v>-16244</v>
      </c>
      <c r="R193" s="70">
        <f>$H193</f>
        <v>-16815</v>
      </c>
      <c r="S193" s="70">
        <f>$I193</f>
        <v>-12294.547</v>
      </c>
      <c r="T193" s="70">
        <f>$J193</f>
        <v>-12512</v>
      </c>
      <c r="U193" s="70">
        <f>$K193</f>
        <v>-26502.5</v>
      </c>
      <c r="V193" s="70">
        <f>$L193</f>
        <v>-11467.38133</v>
      </c>
      <c r="W193" s="198"/>
      <c r="Y193" s="70">
        <f>$E193</f>
        <v>0</v>
      </c>
      <c r="Z193" s="70">
        <f>$F193</f>
        <v>-16774.3</v>
      </c>
      <c r="AA193" s="70">
        <f>$G193</f>
        <v>-16244</v>
      </c>
      <c r="AB193" s="70">
        <f>$H193</f>
        <v>-16815</v>
      </c>
      <c r="AC193" s="70">
        <f>$I193</f>
        <v>-12294.547</v>
      </c>
      <c r="AD193" s="70">
        <f>$J193</f>
        <v>-12512</v>
      </c>
      <c r="AE193" s="70">
        <f>$K193</f>
        <v>-26502.5</v>
      </c>
      <c r="AF193" s="70">
        <f>$L193</f>
        <v>-11467.38133</v>
      </c>
      <c r="AH193" s="70">
        <f>$E193</f>
        <v>0</v>
      </c>
      <c r="AI193" s="70">
        <f>$F193</f>
        <v>-16774.3</v>
      </c>
      <c r="AJ193" s="70">
        <f>$G193</f>
        <v>-16244</v>
      </c>
      <c r="AK193" s="70">
        <f>$H193</f>
        <v>-16815</v>
      </c>
      <c r="AL193" s="70">
        <f>$I193</f>
        <v>-12294.547</v>
      </c>
      <c r="AM193" s="70">
        <f>$J193</f>
        <v>-12512</v>
      </c>
      <c r="AN193" s="70">
        <f>$K193</f>
        <v>-26502.5</v>
      </c>
      <c r="AO193" s="70">
        <f>$L193</f>
        <v>-11467.38133</v>
      </c>
      <c r="AQ193" s="70">
        <f>$E193</f>
        <v>0</v>
      </c>
      <c r="AR193" s="70">
        <f>$F193</f>
        <v>-16774.3</v>
      </c>
      <c r="AS193" s="70">
        <f>$G193</f>
        <v>-16244</v>
      </c>
      <c r="AT193" s="70">
        <f>$H193</f>
        <v>-16815</v>
      </c>
      <c r="AU193" s="70">
        <f>$I193</f>
        <v>-12294.547</v>
      </c>
      <c r="AV193" s="70">
        <f>$J193</f>
        <v>-12512</v>
      </c>
      <c r="AW193" s="70">
        <f>$K193</f>
        <v>-26502.5</v>
      </c>
      <c r="AX193" s="70">
        <f>$L193</f>
        <v>-11467.38133</v>
      </c>
      <c r="AY193" s="198"/>
      <c r="BA193" s="70">
        <f>$E193</f>
        <v>0</v>
      </c>
      <c r="BB193" s="70">
        <f>$F193</f>
        <v>-16774.3</v>
      </c>
      <c r="BC193" s="70">
        <f>$G193</f>
        <v>-16244</v>
      </c>
      <c r="BD193" s="70">
        <f>$H193</f>
        <v>-16815</v>
      </c>
      <c r="BE193" s="70">
        <f>$I193</f>
        <v>-12294.547</v>
      </c>
      <c r="BF193" s="70">
        <f>$J193</f>
        <v>-12512</v>
      </c>
      <c r="BG193" s="70">
        <f>$K193</f>
        <v>-26502.5</v>
      </c>
      <c r="BH193" s="70">
        <f>$L193</f>
        <v>-11467.38133</v>
      </c>
    </row>
    <row r="194" spans="3:60" x14ac:dyDescent="0.3">
      <c r="C194" s="56" t="s">
        <v>98</v>
      </c>
      <c r="E194" s="56"/>
      <c r="F194" s="57">
        <f t="shared" ref="F194:K194" si="363">F192-F193</f>
        <v>-20810.566149999995</v>
      </c>
      <c r="G194" s="57">
        <f t="shared" si="363"/>
        <v>-16532.743999999999</v>
      </c>
      <c r="H194" s="57">
        <f t="shared" si="363"/>
        <v>-29322.948710000004</v>
      </c>
      <c r="I194" s="57">
        <f t="shared" si="363"/>
        <v>-44354.7238</v>
      </c>
      <c r="J194" s="57">
        <f t="shared" si="363"/>
        <v>-70925.473309999987</v>
      </c>
      <c r="K194" s="57">
        <f t="shared" si="363"/>
        <v>-137036.44128</v>
      </c>
      <c r="L194" s="57">
        <f>L192-L193</f>
        <v>-99440.893746477232</v>
      </c>
      <c r="M194" s="176"/>
      <c r="O194" s="57">
        <f t="shared" ref="O194:T194" si="364">O192-O193</f>
        <v>0</v>
      </c>
      <c r="P194" s="57">
        <f t="shared" si="364"/>
        <v>-20810.566149999995</v>
      </c>
      <c r="Q194" s="57">
        <f t="shared" si="364"/>
        <v>-16532.743999999999</v>
      </c>
      <c r="R194" s="57">
        <f t="shared" si="364"/>
        <v>-29322.948710000004</v>
      </c>
      <c r="S194" s="57">
        <f t="shared" si="364"/>
        <v>-44354.7238</v>
      </c>
      <c r="T194" s="57">
        <f t="shared" si="364"/>
        <v>-70925.473309999987</v>
      </c>
      <c r="U194" s="57">
        <f>U192-U193</f>
        <v>-137036.44128</v>
      </c>
      <c r="V194" s="57">
        <f>V192-V193</f>
        <v>-99440.893746477232</v>
      </c>
      <c r="W194" s="176"/>
      <c r="Y194" s="57">
        <f t="shared" ref="Y194:AF194" si="365">Y192-Y193</f>
        <v>0</v>
      </c>
      <c r="Z194" s="57">
        <f t="shared" si="365"/>
        <v>16774.3</v>
      </c>
      <c r="AA194" s="57">
        <f t="shared" si="365"/>
        <v>16244</v>
      </c>
      <c r="AB194" s="57">
        <f t="shared" si="365"/>
        <v>16815</v>
      </c>
      <c r="AC194" s="57">
        <f t="shared" si="365"/>
        <v>12294.547</v>
      </c>
      <c r="AD194" s="57">
        <f t="shared" si="365"/>
        <v>12512</v>
      </c>
      <c r="AE194" s="57">
        <f t="shared" si="365"/>
        <v>26502.5</v>
      </c>
      <c r="AF194" s="57">
        <f t="shared" si="365"/>
        <v>11467.38133</v>
      </c>
      <c r="AH194" s="57">
        <f t="shared" ref="AH194:AO194" si="366">AH192-AH193</f>
        <v>0</v>
      </c>
      <c r="AI194" s="57">
        <f t="shared" si="366"/>
        <v>16774.3</v>
      </c>
      <c r="AJ194" s="57">
        <f t="shared" si="366"/>
        <v>16244</v>
      </c>
      <c r="AK194" s="57">
        <f t="shared" si="366"/>
        <v>16815</v>
      </c>
      <c r="AL194" s="57">
        <f t="shared" si="366"/>
        <v>12294.547</v>
      </c>
      <c r="AM194" s="57">
        <f t="shared" si="366"/>
        <v>12512</v>
      </c>
      <c r="AN194" s="57">
        <f t="shared" si="366"/>
        <v>26502.5</v>
      </c>
      <c r="AO194" s="57">
        <f t="shared" si="366"/>
        <v>11467.38133</v>
      </c>
      <c r="AQ194" s="57">
        <f t="shared" ref="AQ194:AX194" si="367">AQ192-AQ193</f>
        <v>0</v>
      </c>
      <c r="AR194" s="57">
        <f t="shared" si="367"/>
        <v>16774.3</v>
      </c>
      <c r="AS194" s="57">
        <f t="shared" si="367"/>
        <v>16244</v>
      </c>
      <c r="AT194" s="57">
        <f t="shared" si="367"/>
        <v>16815</v>
      </c>
      <c r="AU194" s="57">
        <f t="shared" si="367"/>
        <v>12294.547</v>
      </c>
      <c r="AV194" s="57">
        <f t="shared" si="367"/>
        <v>12512</v>
      </c>
      <c r="AW194" s="57">
        <f t="shared" si="367"/>
        <v>26502.5</v>
      </c>
      <c r="AX194" s="57">
        <f t="shared" si="367"/>
        <v>11467.38133</v>
      </c>
      <c r="AY194" s="176"/>
      <c r="BA194" s="57">
        <f t="shared" ref="BA194:BH194" si="368">BA192-BA193</f>
        <v>0</v>
      </c>
      <c r="BB194" s="57">
        <f t="shared" si="368"/>
        <v>16774.3</v>
      </c>
      <c r="BC194" s="57">
        <f t="shared" si="368"/>
        <v>16244</v>
      </c>
      <c r="BD194" s="57">
        <f t="shared" si="368"/>
        <v>16815</v>
      </c>
      <c r="BE194" s="57">
        <f t="shared" si="368"/>
        <v>12294.547</v>
      </c>
      <c r="BF194" s="57">
        <f t="shared" si="368"/>
        <v>12512</v>
      </c>
      <c r="BG194" s="57">
        <f t="shared" si="368"/>
        <v>26502.5</v>
      </c>
      <c r="BH194" s="57">
        <f t="shared" si="368"/>
        <v>11467.38133</v>
      </c>
    </row>
    <row r="196" spans="3:60" x14ac:dyDescent="0.3">
      <c r="F196" s="36">
        <v>22057.25</v>
      </c>
      <c r="G196" s="36">
        <v>33289</v>
      </c>
      <c r="H196" s="36">
        <v>37945</v>
      </c>
      <c r="I196" s="36">
        <v>24950</v>
      </c>
      <c r="J196" s="36">
        <v>66662.5</v>
      </c>
      <c r="K196" s="36">
        <v>79300</v>
      </c>
    </row>
    <row r="197" spans="3:60" x14ac:dyDescent="0.3">
      <c r="F197" s="42">
        <f t="shared" ref="F197:K197" si="369">F196-F189</f>
        <v>0</v>
      </c>
      <c r="G197" s="42">
        <f t="shared" si="369"/>
        <v>0</v>
      </c>
      <c r="H197" s="42">
        <f t="shared" si="369"/>
        <v>0</v>
      </c>
      <c r="I197" s="42">
        <f t="shared" si="369"/>
        <v>0</v>
      </c>
      <c r="J197" s="42">
        <f t="shared" si="369"/>
        <v>0</v>
      </c>
      <c r="K197" s="42">
        <f t="shared" si="369"/>
        <v>0</v>
      </c>
    </row>
    <row r="199" spans="3:60" x14ac:dyDescent="0.3">
      <c r="F199" s="36">
        <v>-16774.3</v>
      </c>
      <c r="G199" s="36">
        <v>-16244</v>
      </c>
      <c r="H199" s="36">
        <v>-16815</v>
      </c>
      <c r="I199" s="36">
        <v>-12294.547</v>
      </c>
      <c r="J199" s="36">
        <v>-12512</v>
      </c>
      <c r="K199" s="36">
        <v>-26502.5</v>
      </c>
    </row>
    <row r="200" spans="3:60" x14ac:dyDescent="0.3">
      <c r="F200" s="42">
        <f t="shared" ref="F200:K200" si="370">F199-F193</f>
        <v>0</v>
      </c>
      <c r="G200" s="42">
        <f t="shared" si="370"/>
        <v>0</v>
      </c>
      <c r="H200" s="42">
        <f t="shared" si="370"/>
        <v>0</v>
      </c>
      <c r="I200" s="42">
        <f t="shared" si="370"/>
        <v>0</v>
      </c>
      <c r="J200" s="42">
        <f t="shared" si="370"/>
        <v>0</v>
      </c>
      <c r="K200" s="42">
        <f t="shared" si="370"/>
        <v>0</v>
      </c>
    </row>
  </sheetData>
  <pageMargins left="0.7" right="0.7" top="1.3149999999999999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E8F8D-B742-4619-90B3-8F85D8CF8297}">
  <sheetPr>
    <tabColor theme="4" tint="-0.249977111117893"/>
  </sheetPr>
  <dimension ref="B2:AQ608"/>
  <sheetViews>
    <sheetView showGridLines="0" zoomScale="90" zoomScaleNormal="90" workbookViewId="0">
      <pane xSplit="2" ySplit="3" topLeftCell="I420" activePane="bottomRight" state="frozen"/>
      <selection activeCell="D11" sqref="A1:XFD1048576"/>
      <selection pane="topRight" activeCell="D11" sqref="A1:XFD1048576"/>
      <selection pane="bottomLeft" activeCell="D11" sqref="A1:XFD1048576"/>
      <selection pane="bottomRight" activeCell="D11" sqref="A1:XFD1048576"/>
    </sheetView>
  </sheetViews>
  <sheetFormatPr defaultRowHeight="14.5" x14ac:dyDescent="0.35"/>
  <cols>
    <col min="2" max="2" width="43.7265625" bestFit="1" customWidth="1"/>
    <col min="3" max="3" width="16.7265625" bestFit="1" customWidth="1"/>
    <col min="4" max="4" width="20.81640625" bestFit="1" customWidth="1"/>
    <col min="5" max="5" width="21.1796875" bestFit="1" customWidth="1"/>
    <col min="6" max="6" width="12.54296875" bestFit="1" customWidth="1"/>
    <col min="7" max="7" width="15" bestFit="1" customWidth="1"/>
    <col min="9" max="9" width="43.7265625" customWidth="1"/>
    <col min="10" max="10" width="16.7265625" bestFit="1" customWidth="1"/>
    <col min="11" max="11" width="20.81640625" bestFit="1" customWidth="1"/>
    <col min="12" max="12" width="21.1796875" bestFit="1" customWidth="1"/>
    <col min="13" max="13" width="12.26953125" bestFit="1" customWidth="1"/>
    <col min="14" max="14" width="13.453125" bestFit="1" customWidth="1"/>
    <col min="16" max="16" width="43.7265625" bestFit="1" customWidth="1"/>
    <col min="17" max="17" width="16.26953125" bestFit="1" customWidth="1"/>
    <col min="18" max="18" width="20.26953125" bestFit="1" customWidth="1"/>
    <col min="19" max="19" width="21.1796875" bestFit="1" customWidth="1"/>
    <col min="20" max="20" width="12.26953125" bestFit="1" customWidth="1"/>
    <col min="21" max="21" width="13.453125" bestFit="1" customWidth="1"/>
    <col min="23" max="23" width="43.7265625" bestFit="1" customWidth="1"/>
    <col min="24" max="24" width="16.26953125" bestFit="1" customWidth="1"/>
    <col min="25" max="25" width="20.26953125" bestFit="1" customWidth="1"/>
    <col min="26" max="26" width="21.1796875" bestFit="1" customWidth="1"/>
    <col min="27" max="27" width="12.26953125" bestFit="1" customWidth="1"/>
    <col min="28" max="28" width="13.453125" bestFit="1" customWidth="1"/>
    <col min="30" max="30" width="43.7265625" bestFit="1" customWidth="1"/>
    <col min="31" max="31" width="16.7265625" bestFit="1" customWidth="1"/>
    <col min="32" max="32" width="20.81640625" bestFit="1" customWidth="1"/>
    <col min="33" max="33" width="21.1796875" bestFit="1" customWidth="1"/>
    <col min="34" max="34" width="11.26953125" bestFit="1" customWidth="1"/>
    <col min="35" max="35" width="15" bestFit="1" customWidth="1"/>
    <col min="36" max="36" width="13.453125" bestFit="1" customWidth="1"/>
    <col min="37" max="37" width="43.7265625" bestFit="1" customWidth="1"/>
    <col min="38" max="38" width="16.7265625" bestFit="1" customWidth="1"/>
    <col min="39" max="39" width="20.81640625" bestFit="1" customWidth="1"/>
    <col min="40" max="40" width="21.1796875" bestFit="1" customWidth="1"/>
    <col min="41" max="41" width="12.26953125" bestFit="1" customWidth="1"/>
    <col min="42" max="42" width="13.453125" bestFit="1" customWidth="1"/>
    <col min="43" max="43" width="12" bestFit="1" customWidth="1"/>
  </cols>
  <sheetData>
    <row r="2" spans="2:42" ht="18.5" x14ac:dyDescent="0.35">
      <c r="B2" s="303" t="s">
        <v>147</v>
      </c>
      <c r="C2" s="303"/>
      <c r="D2" s="303"/>
      <c r="E2" s="303"/>
      <c r="F2" s="303"/>
      <c r="G2" s="303"/>
      <c r="AD2" s="22" t="s">
        <v>153</v>
      </c>
      <c r="AE2" s="22"/>
      <c r="AF2" s="22"/>
      <c r="AG2" s="22"/>
      <c r="AH2" s="22"/>
      <c r="AI2" s="22"/>
      <c r="AK2" s="22" t="s">
        <v>155</v>
      </c>
      <c r="AL2" s="22"/>
      <c r="AM2" s="22"/>
      <c r="AN2" s="22"/>
      <c r="AO2" s="22"/>
      <c r="AP2" s="22"/>
    </row>
    <row r="3" spans="2:42" s="138" customFormat="1" ht="15.5" x14ac:dyDescent="0.35">
      <c r="B3" s="24"/>
      <c r="C3" s="24" t="s">
        <v>10</v>
      </c>
      <c r="D3" s="24" t="s">
        <v>69</v>
      </c>
      <c r="E3" s="24" t="s">
        <v>70</v>
      </c>
      <c r="F3" s="24" t="s">
        <v>44</v>
      </c>
      <c r="G3" s="9" t="s">
        <v>45</v>
      </c>
      <c r="AD3" s="24"/>
      <c r="AE3" s="24" t="s">
        <v>10</v>
      </c>
      <c r="AF3" s="24" t="s">
        <v>69</v>
      </c>
      <c r="AG3" s="24" t="s">
        <v>70</v>
      </c>
      <c r="AH3" s="24" t="s">
        <v>44</v>
      </c>
      <c r="AI3" s="9" t="s">
        <v>45</v>
      </c>
      <c r="AJ3"/>
      <c r="AK3" s="24"/>
      <c r="AL3" s="24" t="s">
        <v>10</v>
      </c>
      <c r="AM3" s="24" t="s">
        <v>69</v>
      </c>
      <c r="AN3" s="24" t="s">
        <v>70</v>
      </c>
      <c r="AO3" s="24" t="s">
        <v>44</v>
      </c>
      <c r="AP3" s="9" t="s">
        <v>45</v>
      </c>
    </row>
    <row r="4" spans="2:42" x14ac:dyDescent="0.35">
      <c r="B4" t="s">
        <v>85</v>
      </c>
      <c r="C4" s="2">
        <v>20112456.34</v>
      </c>
      <c r="D4" s="2">
        <v>0</v>
      </c>
      <c r="E4" s="2">
        <v>0</v>
      </c>
      <c r="F4" s="2">
        <v>0</v>
      </c>
      <c r="G4" s="2">
        <v>20112456.34</v>
      </c>
    </row>
    <row r="5" spans="2:42" x14ac:dyDescent="0.35">
      <c r="B5" t="s">
        <v>19</v>
      </c>
      <c r="C5" s="2">
        <v>172546362.48295999</v>
      </c>
      <c r="D5" s="2">
        <v>0</v>
      </c>
      <c r="E5" s="2">
        <v>0</v>
      </c>
      <c r="F5" s="2">
        <v>0</v>
      </c>
      <c r="G5" s="2">
        <v>172546362.48295999</v>
      </c>
    </row>
    <row r="6" spans="2:42" x14ac:dyDescent="0.35">
      <c r="B6" t="s">
        <v>86</v>
      </c>
      <c r="C6" s="2">
        <v>132136988.63999984</v>
      </c>
      <c r="D6" s="2">
        <v>0</v>
      </c>
      <c r="E6" s="2">
        <v>0</v>
      </c>
      <c r="F6" s="2">
        <v>0</v>
      </c>
      <c r="G6" s="2">
        <v>132136988.63999984</v>
      </c>
    </row>
    <row r="7" spans="2:42" x14ac:dyDescent="0.35">
      <c r="B7" t="s">
        <v>87</v>
      </c>
      <c r="C7" s="2">
        <v>-280274.79000000004</v>
      </c>
      <c r="D7" s="2">
        <v>0</v>
      </c>
      <c r="E7" s="2">
        <v>0</v>
      </c>
      <c r="F7" s="2">
        <v>0</v>
      </c>
      <c r="G7" s="2">
        <v>-280274.79000000004</v>
      </c>
    </row>
    <row r="8" spans="2:42" x14ac:dyDescent="0.35">
      <c r="B8" s="19" t="s">
        <v>18</v>
      </c>
      <c r="C8" s="20">
        <v>324515532.6729598</v>
      </c>
      <c r="D8" s="20">
        <v>0</v>
      </c>
      <c r="E8" s="20">
        <v>0</v>
      </c>
      <c r="F8" s="20">
        <v>0</v>
      </c>
      <c r="G8" s="20">
        <v>324515532.6729598</v>
      </c>
    </row>
    <row r="9" spans="2:42" x14ac:dyDescent="0.35">
      <c r="C9" s="2"/>
      <c r="D9" s="2"/>
      <c r="E9" s="2"/>
      <c r="F9" s="2"/>
      <c r="G9" s="2"/>
    </row>
    <row r="10" spans="2:42" x14ac:dyDescent="0.35">
      <c r="C10" s="2"/>
      <c r="D10" s="2"/>
      <c r="E10" s="2"/>
      <c r="F10" s="2"/>
      <c r="G10" s="2"/>
    </row>
    <row r="11" spans="2:42" x14ac:dyDescent="0.35">
      <c r="B11" t="s">
        <v>12</v>
      </c>
      <c r="C11" s="2">
        <v>394995956.07999998</v>
      </c>
      <c r="D11" s="2">
        <v>0</v>
      </c>
      <c r="E11" s="2">
        <v>0</v>
      </c>
      <c r="F11" s="2">
        <v>0</v>
      </c>
      <c r="G11" s="2">
        <v>394995956.07999998</v>
      </c>
    </row>
    <row r="12" spans="2:42" x14ac:dyDescent="0.35">
      <c r="B12" t="s">
        <v>3</v>
      </c>
      <c r="C12" s="2">
        <v>-280150992.66000003</v>
      </c>
      <c r="D12" s="2">
        <v>0</v>
      </c>
      <c r="E12" s="2">
        <v>0</v>
      </c>
      <c r="F12" s="2">
        <v>0</v>
      </c>
      <c r="G12" s="2">
        <v>-280150992.66000003</v>
      </c>
    </row>
    <row r="13" spans="2:42" x14ac:dyDescent="0.35">
      <c r="B13" t="s">
        <v>88</v>
      </c>
      <c r="C13" s="2">
        <v>58547587.309999995</v>
      </c>
      <c r="D13" s="2">
        <v>0</v>
      </c>
      <c r="E13" s="2">
        <v>0</v>
      </c>
      <c r="F13" s="2">
        <v>0</v>
      </c>
      <c r="G13" s="2">
        <v>58547587.309999995</v>
      </c>
    </row>
    <row r="14" spans="2:42" x14ac:dyDescent="0.35">
      <c r="B14" t="s">
        <v>13</v>
      </c>
      <c r="C14" s="2">
        <v>-18636346.579999998</v>
      </c>
      <c r="D14" s="2">
        <v>0</v>
      </c>
      <c r="E14" s="2">
        <v>0</v>
      </c>
      <c r="F14" s="2">
        <v>0</v>
      </c>
      <c r="G14" s="2">
        <v>-18636346.579999998</v>
      </c>
    </row>
    <row r="15" spans="2:42" x14ac:dyDescent="0.35">
      <c r="B15" s="19" t="s">
        <v>14</v>
      </c>
      <c r="C15" s="20">
        <v>154756204.14999998</v>
      </c>
      <c r="D15" s="20">
        <v>0</v>
      </c>
      <c r="E15" s="20">
        <v>0</v>
      </c>
      <c r="F15" s="20">
        <v>0</v>
      </c>
      <c r="G15" s="20">
        <v>154756204.14999998</v>
      </c>
    </row>
    <row r="16" spans="2:42" x14ac:dyDescent="0.35">
      <c r="C16" s="2"/>
      <c r="D16" s="2"/>
      <c r="E16" s="2"/>
      <c r="F16" s="2"/>
      <c r="G16" s="2"/>
    </row>
    <row r="17" spans="2:7" x14ac:dyDescent="0.35">
      <c r="C17" s="2"/>
      <c r="D17" s="2"/>
      <c r="E17" s="2"/>
      <c r="F17" s="2"/>
      <c r="G17" s="2"/>
    </row>
    <row r="18" spans="2:7" x14ac:dyDescent="0.35">
      <c r="B18" t="s">
        <v>15</v>
      </c>
      <c r="C18" s="2">
        <v>59725768.449999996</v>
      </c>
      <c r="D18" s="2">
        <v>0</v>
      </c>
      <c r="E18" s="2">
        <v>0</v>
      </c>
      <c r="F18" s="2">
        <v>0</v>
      </c>
      <c r="G18" s="2">
        <v>59725768.449999996</v>
      </c>
    </row>
    <row r="19" spans="2:7" x14ac:dyDescent="0.35">
      <c r="B19" t="s">
        <v>16</v>
      </c>
      <c r="C19" s="2">
        <v>-37584866.149999991</v>
      </c>
      <c r="D19" s="2">
        <v>0</v>
      </c>
      <c r="E19" s="2">
        <v>0</v>
      </c>
      <c r="F19" s="2">
        <v>0</v>
      </c>
      <c r="G19" s="2">
        <v>-37584866.149999991</v>
      </c>
    </row>
    <row r="20" spans="2:7" x14ac:dyDescent="0.35">
      <c r="B20" s="19" t="s">
        <v>17</v>
      </c>
      <c r="C20" s="20">
        <v>22140902.300000004</v>
      </c>
      <c r="D20" s="20">
        <v>0</v>
      </c>
      <c r="E20" s="20">
        <v>0</v>
      </c>
      <c r="F20" s="20">
        <v>0</v>
      </c>
      <c r="G20" s="20">
        <v>22140902.300000004</v>
      </c>
    </row>
    <row r="21" spans="2:7" x14ac:dyDescent="0.35">
      <c r="C21" s="2"/>
      <c r="D21" s="2"/>
      <c r="E21" s="2"/>
      <c r="F21" s="2"/>
      <c r="G21" s="2"/>
    </row>
    <row r="22" spans="2:7" x14ac:dyDescent="0.35">
      <c r="C22" s="2"/>
      <c r="D22" s="2"/>
      <c r="E22" s="2"/>
      <c r="F22" s="2"/>
      <c r="G22" s="2"/>
    </row>
    <row r="23" spans="2:7" x14ac:dyDescent="0.35">
      <c r="B23" s="16" t="s">
        <v>20</v>
      </c>
      <c r="C23" s="23">
        <v>51526217.909040004</v>
      </c>
      <c r="D23" s="23">
        <v>0</v>
      </c>
      <c r="E23" s="23">
        <v>0</v>
      </c>
      <c r="F23" s="23">
        <v>0</v>
      </c>
      <c r="G23" s="23">
        <v>51526217.909040004</v>
      </c>
    </row>
    <row r="24" spans="2:7" x14ac:dyDescent="0.35">
      <c r="C24" s="2"/>
      <c r="D24" s="2"/>
      <c r="E24" s="2"/>
      <c r="F24" s="2"/>
      <c r="G24" s="2"/>
    </row>
    <row r="25" spans="2:7" x14ac:dyDescent="0.35">
      <c r="B25" t="s">
        <v>0</v>
      </c>
      <c r="C25" s="2">
        <v>2369588123.8599997</v>
      </c>
      <c r="D25" s="2">
        <v>0</v>
      </c>
      <c r="E25" s="2">
        <v>0</v>
      </c>
      <c r="F25" s="2">
        <v>0</v>
      </c>
      <c r="G25" s="23">
        <v>2369588123.8599997</v>
      </c>
    </row>
    <row r="26" spans="2:7" x14ac:dyDescent="0.35">
      <c r="B26" t="s">
        <v>2</v>
      </c>
      <c r="C26" s="2">
        <v>-2369587038.0099998</v>
      </c>
      <c r="D26" s="2">
        <v>0</v>
      </c>
      <c r="E26" s="2">
        <v>0</v>
      </c>
      <c r="F26" s="2">
        <v>0</v>
      </c>
      <c r="G26" s="23">
        <v>-2369587038.0099998</v>
      </c>
    </row>
    <row r="27" spans="2:7" x14ac:dyDescent="0.35">
      <c r="B27" s="19" t="s">
        <v>21</v>
      </c>
      <c r="C27" s="20">
        <v>1085.8499999046326</v>
      </c>
      <c r="D27" s="20">
        <v>0</v>
      </c>
      <c r="E27" s="20">
        <v>0</v>
      </c>
      <c r="F27" s="20">
        <v>0</v>
      </c>
      <c r="G27" s="20">
        <v>1085.8499999046326</v>
      </c>
    </row>
    <row r="28" spans="2:7" x14ac:dyDescent="0.35">
      <c r="C28" s="2"/>
      <c r="D28" s="2"/>
      <c r="E28" s="2"/>
      <c r="F28" s="2"/>
      <c r="G28" s="2"/>
    </row>
    <row r="29" spans="2:7" x14ac:dyDescent="0.35">
      <c r="C29" s="2"/>
      <c r="D29" s="2"/>
      <c r="E29" s="2"/>
      <c r="F29" s="2"/>
      <c r="G29" s="2"/>
    </row>
    <row r="30" spans="2:7" x14ac:dyDescent="0.35">
      <c r="B30" t="s">
        <v>24</v>
      </c>
      <c r="C30" s="2">
        <v>0</v>
      </c>
      <c r="D30" s="2">
        <v>0</v>
      </c>
      <c r="E30" s="2">
        <v>0</v>
      </c>
      <c r="F30" s="2">
        <v>0</v>
      </c>
      <c r="G30" s="23">
        <v>0</v>
      </c>
    </row>
    <row r="31" spans="2:7" x14ac:dyDescent="0.35">
      <c r="B31" t="s">
        <v>25</v>
      </c>
      <c r="C31" s="2">
        <v>0</v>
      </c>
      <c r="D31" s="2">
        <v>0</v>
      </c>
      <c r="E31" s="2">
        <v>0</v>
      </c>
      <c r="F31" s="2">
        <v>0</v>
      </c>
      <c r="G31" s="23">
        <v>0</v>
      </c>
    </row>
    <row r="32" spans="2:7" x14ac:dyDescent="0.35">
      <c r="B32" t="s">
        <v>26</v>
      </c>
      <c r="C32" s="2">
        <v>0</v>
      </c>
      <c r="D32" s="2">
        <v>0</v>
      </c>
      <c r="E32" s="2">
        <v>0</v>
      </c>
      <c r="F32" s="2">
        <v>0</v>
      </c>
      <c r="G32" s="23">
        <v>0</v>
      </c>
    </row>
    <row r="33" spans="2:7" x14ac:dyDescent="0.35">
      <c r="B33" s="19" t="s">
        <v>101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</row>
    <row r="34" spans="2:7" x14ac:dyDescent="0.35">
      <c r="C34" s="2"/>
      <c r="D34" s="2"/>
      <c r="E34" s="2"/>
      <c r="F34" s="2"/>
      <c r="G34" s="2"/>
    </row>
    <row r="35" spans="2:7" x14ac:dyDescent="0.35">
      <c r="C35" s="2"/>
      <c r="D35" s="2"/>
      <c r="E35" s="2"/>
      <c r="F35" s="2"/>
      <c r="G35" s="2"/>
    </row>
    <row r="36" spans="2:7" x14ac:dyDescent="0.35">
      <c r="B36" t="s">
        <v>27</v>
      </c>
      <c r="C36" s="2">
        <v>0</v>
      </c>
      <c r="D36" s="2">
        <v>0</v>
      </c>
      <c r="E36" s="2">
        <v>0</v>
      </c>
      <c r="F36" s="2">
        <v>0</v>
      </c>
      <c r="G36" s="23">
        <v>0</v>
      </c>
    </row>
    <row r="37" spans="2:7" x14ac:dyDescent="0.35">
      <c r="B37" t="s">
        <v>28</v>
      </c>
      <c r="C37" s="2">
        <v>0</v>
      </c>
      <c r="D37" s="2">
        <v>0</v>
      </c>
      <c r="E37" s="2">
        <v>0</v>
      </c>
      <c r="F37" s="2">
        <v>0</v>
      </c>
      <c r="G37" s="23">
        <v>0</v>
      </c>
    </row>
    <row r="38" spans="2:7" x14ac:dyDescent="0.35">
      <c r="B38" t="s">
        <v>29</v>
      </c>
      <c r="C38" s="2">
        <v>0</v>
      </c>
      <c r="D38" s="2">
        <v>0</v>
      </c>
      <c r="E38" s="2">
        <v>0</v>
      </c>
      <c r="F38" s="2">
        <v>0</v>
      </c>
      <c r="G38" s="23">
        <v>0</v>
      </c>
    </row>
    <row r="39" spans="2:7" x14ac:dyDescent="0.35">
      <c r="B39" t="s">
        <v>30</v>
      </c>
      <c r="C39" s="2">
        <v>0</v>
      </c>
      <c r="D39" s="2">
        <v>0</v>
      </c>
      <c r="E39" s="2">
        <v>0</v>
      </c>
      <c r="F39" s="2">
        <v>0</v>
      </c>
      <c r="G39" s="23">
        <v>0</v>
      </c>
    </row>
    <row r="40" spans="2:7" x14ac:dyDescent="0.35">
      <c r="B40" s="19" t="s">
        <v>90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</row>
    <row r="41" spans="2:7" x14ac:dyDescent="0.35">
      <c r="C41" s="2"/>
      <c r="D41" s="2"/>
      <c r="E41" s="2"/>
      <c r="F41" s="2"/>
      <c r="G41" s="2"/>
    </row>
    <row r="42" spans="2:7" x14ac:dyDescent="0.35">
      <c r="C42" s="2"/>
      <c r="D42" s="2"/>
      <c r="E42" s="2"/>
      <c r="F42" s="2"/>
      <c r="G42" s="2"/>
    </row>
    <row r="43" spans="2:7" x14ac:dyDescent="0.35">
      <c r="B43" s="16" t="s">
        <v>89</v>
      </c>
      <c r="C43" s="2">
        <v>0</v>
      </c>
      <c r="D43" s="2">
        <v>9130879</v>
      </c>
      <c r="E43" s="2">
        <v>2210373</v>
      </c>
      <c r="F43" s="2">
        <v>0</v>
      </c>
      <c r="G43" s="23">
        <v>11341252</v>
      </c>
    </row>
    <row r="44" spans="2:7" x14ac:dyDescent="0.35">
      <c r="C44" s="2"/>
      <c r="D44" s="2"/>
      <c r="E44" s="2"/>
      <c r="F44" s="2"/>
      <c r="G44" s="2"/>
    </row>
    <row r="45" spans="2:7" x14ac:dyDescent="0.35">
      <c r="B45" t="s">
        <v>31</v>
      </c>
      <c r="C45" s="2">
        <v>0</v>
      </c>
      <c r="D45" s="2">
        <v>0</v>
      </c>
      <c r="E45" s="2">
        <v>30718939</v>
      </c>
      <c r="F45" s="2">
        <v>0</v>
      </c>
      <c r="G45" s="2">
        <v>30718939</v>
      </c>
    </row>
    <row r="46" spans="2:7" x14ac:dyDescent="0.35">
      <c r="B46" t="s">
        <v>32</v>
      </c>
      <c r="C46" s="2">
        <v>0</v>
      </c>
      <c r="D46" s="2">
        <v>0</v>
      </c>
      <c r="E46" s="2">
        <v>-5057580</v>
      </c>
      <c r="F46" s="2">
        <v>0</v>
      </c>
      <c r="G46" s="2">
        <v>-5057580</v>
      </c>
    </row>
    <row r="47" spans="2:7" x14ac:dyDescent="0.35">
      <c r="B47" s="19" t="s">
        <v>33</v>
      </c>
      <c r="C47" s="20">
        <v>0</v>
      </c>
      <c r="D47" s="20">
        <v>0</v>
      </c>
      <c r="E47" s="20">
        <v>25661359</v>
      </c>
      <c r="F47" s="20">
        <v>0</v>
      </c>
      <c r="G47" s="20">
        <v>25661359</v>
      </c>
    </row>
    <row r="48" spans="2:7" x14ac:dyDescent="0.35">
      <c r="C48" s="2"/>
      <c r="D48" s="2"/>
      <c r="E48" s="2"/>
      <c r="F48" s="2"/>
      <c r="G48" s="2"/>
    </row>
    <row r="49" spans="2:7" x14ac:dyDescent="0.35">
      <c r="C49" s="2"/>
      <c r="D49" s="2"/>
      <c r="E49" s="2"/>
      <c r="F49" s="2"/>
      <c r="G49" s="2"/>
    </row>
    <row r="50" spans="2:7" x14ac:dyDescent="0.35">
      <c r="B50" t="s">
        <v>35</v>
      </c>
      <c r="C50" s="2">
        <v>3109359.13</v>
      </c>
      <c r="D50" s="2">
        <v>0</v>
      </c>
      <c r="E50" s="2">
        <v>0</v>
      </c>
      <c r="F50" s="2">
        <v>0</v>
      </c>
      <c r="G50" s="2">
        <v>3109359.13</v>
      </c>
    </row>
    <row r="51" spans="2:7" x14ac:dyDescent="0.35">
      <c r="B51" t="s">
        <v>36</v>
      </c>
      <c r="C51" s="2">
        <v>-7192249.0699999994</v>
      </c>
      <c r="D51" s="2">
        <v>0</v>
      </c>
      <c r="E51" s="2">
        <v>0</v>
      </c>
      <c r="F51" s="2">
        <v>0</v>
      </c>
      <c r="G51" s="2">
        <v>-7192249.0699999994</v>
      </c>
    </row>
    <row r="52" spans="2:7" x14ac:dyDescent="0.35">
      <c r="B52" s="19" t="s">
        <v>37</v>
      </c>
      <c r="C52" s="20">
        <v>-4082889.9399999995</v>
      </c>
      <c r="D52" s="20">
        <v>0</v>
      </c>
      <c r="E52" s="20">
        <v>0</v>
      </c>
      <c r="F52" s="20">
        <v>0</v>
      </c>
      <c r="G52" s="20">
        <v>-4082889.9399999995</v>
      </c>
    </row>
    <row r="53" spans="2:7" x14ac:dyDescent="0.35">
      <c r="C53" s="2"/>
      <c r="D53" s="2"/>
      <c r="E53" s="2"/>
      <c r="F53" s="2"/>
      <c r="G53" s="2"/>
    </row>
    <row r="54" spans="2:7" x14ac:dyDescent="0.35">
      <c r="C54" s="2"/>
      <c r="D54" s="2"/>
      <c r="E54" s="2"/>
      <c r="F54" s="2"/>
      <c r="G54" s="2"/>
    </row>
    <row r="55" spans="2:7" x14ac:dyDescent="0.35">
      <c r="B55" t="s">
        <v>38</v>
      </c>
      <c r="C55" s="2">
        <v>-10680642.940000001</v>
      </c>
      <c r="D55" s="2">
        <v>-33044</v>
      </c>
      <c r="E55" s="2">
        <v>-584193</v>
      </c>
      <c r="F55" s="2">
        <v>0</v>
      </c>
      <c r="G55" s="2">
        <v>-11297879.940000001</v>
      </c>
    </row>
    <row r="56" spans="2:7" x14ac:dyDescent="0.35">
      <c r="B56" t="s">
        <v>78</v>
      </c>
      <c r="C56" s="2">
        <v>-111402473.96999997</v>
      </c>
      <c r="D56" s="2">
        <v>-4084496</v>
      </c>
      <c r="E56" s="2">
        <v>-4935696</v>
      </c>
      <c r="F56" s="2">
        <v>0</v>
      </c>
      <c r="G56" s="2">
        <v>-120422665.96999997</v>
      </c>
    </row>
    <row r="57" spans="2:7" x14ac:dyDescent="0.35">
      <c r="B57" t="s">
        <v>39</v>
      </c>
      <c r="C57" s="2">
        <v>-73387235.290000021</v>
      </c>
      <c r="D57" s="2">
        <v>-685522</v>
      </c>
      <c r="E57" s="2">
        <v>-1583176</v>
      </c>
      <c r="F57" s="2">
        <v>0</v>
      </c>
      <c r="G57" s="2">
        <v>-75655933.290000021</v>
      </c>
    </row>
    <row r="58" spans="2:7" x14ac:dyDescent="0.35">
      <c r="B58" t="s">
        <v>40</v>
      </c>
      <c r="C58" s="2">
        <v>-3203274.9</v>
      </c>
      <c r="D58" s="2">
        <v>0</v>
      </c>
      <c r="E58" s="2">
        <v>0</v>
      </c>
      <c r="F58" s="2">
        <v>0</v>
      </c>
      <c r="G58" s="2">
        <v>-3203274.9</v>
      </c>
    </row>
    <row r="59" spans="2:7" x14ac:dyDescent="0.35">
      <c r="B59" t="s">
        <v>41</v>
      </c>
      <c r="C59" s="2">
        <v>-152521.15</v>
      </c>
      <c r="D59" s="2">
        <v>0</v>
      </c>
      <c r="E59" s="2">
        <v>0</v>
      </c>
      <c r="F59" s="2">
        <v>0</v>
      </c>
      <c r="G59" s="2">
        <v>-152521.15</v>
      </c>
    </row>
    <row r="60" spans="2:7" x14ac:dyDescent="0.35">
      <c r="B60" t="s">
        <v>42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</row>
    <row r="61" spans="2:7" x14ac:dyDescent="0.35">
      <c r="B61" t="s">
        <v>4</v>
      </c>
      <c r="C61" s="2">
        <v>66898</v>
      </c>
      <c r="D61" s="2">
        <v>0</v>
      </c>
      <c r="E61" s="2">
        <v>0</v>
      </c>
      <c r="F61" s="2">
        <v>0</v>
      </c>
      <c r="G61" s="2">
        <v>66898</v>
      </c>
    </row>
    <row r="62" spans="2:7" x14ac:dyDescent="0.35">
      <c r="B62" t="s">
        <v>5</v>
      </c>
      <c r="C62" s="2">
        <v>-80000</v>
      </c>
      <c r="D62" s="2">
        <v>0</v>
      </c>
      <c r="E62" s="2">
        <v>0</v>
      </c>
      <c r="F62" s="2">
        <v>0</v>
      </c>
      <c r="G62" s="2">
        <v>-80000</v>
      </c>
    </row>
    <row r="63" spans="2:7" x14ac:dyDescent="0.35">
      <c r="B63" t="s">
        <v>182</v>
      </c>
      <c r="C63" s="2">
        <v>-14330365.689999999</v>
      </c>
      <c r="D63" s="2">
        <v>0</v>
      </c>
      <c r="E63" s="2">
        <v>0</v>
      </c>
      <c r="F63" s="2">
        <v>0</v>
      </c>
      <c r="G63" s="2">
        <v>-14330365.689999999</v>
      </c>
    </row>
    <row r="64" spans="2:7" x14ac:dyDescent="0.35">
      <c r="B64" s="19" t="s">
        <v>11</v>
      </c>
      <c r="C64" s="20">
        <v>-213169615.94</v>
      </c>
      <c r="D64" s="20">
        <v>-4803062</v>
      </c>
      <c r="E64" s="20">
        <v>-7103065</v>
      </c>
      <c r="F64" s="20">
        <v>0</v>
      </c>
      <c r="G64" s="20">
        <v>-225075742.94</v>
      </c>
    </row>
    <row r="65" spans="2:7" x14ac:dyDescent="0.35">
      <c r="C65" s="2"/>
      <c r="D65" s="2"/>
      <c r="E65" s="2"/>
      <c r="F65" s="2"/>
      <c r="G65" s="2"/>
    </row>
    <row r="66" spans="2:7" x14ac:dyDescent="0.35">
      <c r="C66" s="2"/>
      <c r="D66" s="2"/>
      <c r="E66" s="2"/>
      <c r="F66" s="2"/>
      <c r="G66" s="2"/>
    </row>
    <row r="67" spans="2:7" x14ac:dyDescent="0.35">
      <c r="B67" s="11" t="s">
        <v>43</v>
      </c>
      <c r="C67" s="4">
        <v>335687437.00199968</v>
      </c>
      <c r="D67" s="4">
        <v>4327817</v>
      </c>
      <c r="E67" s="4">
        <v>20768667</v>
      </c>
      <c r="F67" s="4">
        <v>0</v>
      </c>
      <c r="G67" s="4">
        <v>360783921.00199968</v>
      </c>
    </row>
    <row r="68" spans="2:7" x14ac:dyDescent="0.35">
      <c r="B68" t="s">
        <v>6</v>
      </c>
      <c r="C68" s="2">
        <v>-57332397.770000003</v>
      </c>
      <c r="D68" s="2">
        <v>-978684</v>
      </c>
      <c r="E68" s="2">
        <v>-4658202</v>
      </c>
      <c r="F68" s="2">
        <v>0</v>
      </c>
      <c r="G68" s="2">
        <v>-62969283.770000003</v>
      </c>
    </row>
    <row r="69" spans="2:7" x14ac:dyDescent="0.35">
      <c r="B69" s="11" t="s">
        <v>7</v>
      </c>
      <c r="C69" s="4">
        <v>278355039.2319997</v>
      </c>
      <c r="D69" s="4">
        <v>3349133</v>
      </c>
      <c r="E69" s="4">
        <v>16110465</v>
      </c>
      <c r="F69" s="4">
        <v>0</v>
      </c>
      <c r="G69" s="4">
        <v>297814637.2319997</v>
      </c>
    </row>
    <row r="70" spans="2:7" x14ac:dyDescent="0.35">
      <c r="B70" t="s">
        <v>8</v>
      </c>
      <c r="C70" s="2">
        <v>-11278319.571465198</v>
      </c>
      <c r="D70" s="2">
        <v>-584722.23429999989</v>
      </c>
      <c r="E70" s="2">
        <v>-3199891.7999999993</v>
      </c>
      <c r="F70" s="2">
        <v>0</v>
      </c>
      <c r="G70" s="2">
        <v>-15062933.605765197</v>
      </c>
    </row>
    <row r="71" spans="2:7" x14ac:dyDescent="0.35">
      <c r="B71" s="11" t="s">
        <v>143</v>
      </c>
      <c r="C71" s="4">
        <v>267076719.6605345</v>
      </c>
      <c r="D71" s="4">
        <v>2764410.7657000003</v>
      </c>
      <c r="E71" s="4">
        <v>12910573.200000001</v>
      </c>
      <c r="F71" s="4">
        <v>0</v>
      </c>
      <c r="G71" s="4">
        <v>282751703.62623447</v>
      </c>
    </row>
    <row r="72" spans="2:7" x14ac:dyDescent="0.35">
      <c r="C72" s="3">
        <v>0</v>
      </c>
      <c r="D72" s="3">
        <v>0</v>
      </c>
      <c r="E72" s="3">
        <v>0</v>
      </c>
      <c r="F72" s="3">
        <v>0</v>
      </c>
      <c r="G72" s="3">
        <v>0</v>
      </c>
    </row>
    <row r="75" spans="2:7" ht="18.5" x14ac:dyDescent="0.35">
      <c r="B75" s="303" t="s">
        <v>144</v>
      </c>
      <c r="C75" s="303"/>
      <c r="D75" s="303"/>
      <c r="E75" s="303"/>
      <c r="F75" s="303"/>
      <c r="G75" s="303"/>
    </row>
    <row r="76" spans="2:7" ht="15.5" x14ac:dyDescent="0.35">
      <c r="B76" s="8"/>
      <c r="C76" s="8" t="s">
        <v>10</v>
      </c>
      <c r="D76" s="8" t="s">
        <v>69</v>
      </c>
      <c r="E76" s="8" t="s">
        <v>70</v>
      </c>
      <c r="F76" s="8" t="s">
        <v>44</v>
      </c>
      <c r="G76" s="9" t="s">
        <v>45</v>
      </c>
    </row>
    <row r="77" spans="2:7" x14ac:dyDescent="0.35">
      <c r="B77" t="s">
        <v>85</v>
      </c>
      <c r="C77" s="2">
        <v>213712406</v>
      </c>
      <c r="D77" s="2">
        <v>0</v>
      </c>
      <c r="E77" s="2">
        <v>0</v>
      </c>
      <c r="F77" s="2">
        <v>0</v>
      </c>
      <c r="G77" s="2">
        <v>213712406</v>
      </c>
    </row>
    <row r="78" spans="2:7" x14ac:dyDescent="0.35">
      <c r="B78" t="s">
        <v>19</v>
      </c>
      <c r="C78" s="2">
        <v>107127052.02599999</v>
      </c>
      <c r="D78" s="2">
        <v>0</v>
      </c>
      <c r="E78" s="2">
        <v>0</v>
      </c>
      <c r="F78" s="2">
        <v>0</v>
      </c>
      <c r="G78" s="2">
        <v>107127052.02599999</v>
      </c>
    </row>
    <row r="79" spans="2:7" x14ac:dyDescent="0.35">
      <c r="B79" t="s">
        <v>86</v>
      </c>
      <c r="C79" s="2">
        <v>85219998</v>
      </c>
      <c r="D79" s="2">
        <v>0</v>
      </c>
      <c r="E79" s="2">
        <v>0</v>
      </c>
      <c r="F79" s="2">
        <v>0</v>
      </c>
      <c r="G79" s="2">
        <v>85219998</v>
      </c>
    </row>
    <row r="80" spans="2:7" x14ac:dyDescent="0.35">
      <c r="B80" t="s">
        <v>87</v>
      </c>
      <c r="C80" s="2">
        <v>-74318</v>
      </c>
      <c r="D80" s="2">
        <v>0</v>
      </c>
      <c r="E80" s="2">
        <v>0</v>
      </c>
      <c r="F80" s="2">
        <v>0</v>
      </c>
      <c r="G80" s="2">
        <v>-74318</v>
      </c>
    </row>
    <row r="81" spans="2:7" ht="16" x14ac:dyDescent="0.5">
      <c r="B81" s="5" t="s">
        <v>18</v>
      </c>
      <c r="C81" s="18">
        <v>405985138.02600002</v>
      </c>
      <c r="D81" s="18">
        <v>0</v>
      </c>
      <c r="E81" s="18">
        <v>0</v>
      </c>
      <c r="F81" s="18">
        <v>0</v>
      </c>
      <c r="G81" s="18">
        <v>405985138.02600002</v>
      </c>
    </row>
    <row r="82" spans="2:7" x14ac:dyDescent="0.35">
      <c r="C82" s="2"/>
      <c r="D82" s="2"/>
      <c r="E82" s="2"/>
      <c r="F82" s="2"/>
      <c r="G82" s="2"/>
    </row>
    <row r="83" spans="2:7" x14ac:dyDescent="0.35">
      <c r="C83" s="2"/>
      <c r="D83" s="2"/>
      <c r="E83" s="2"/>
      <c r="F83" s="2"/>
      <c r="G83" s="2"/>
    </row>
    <row r="84" spans="2:7" x14ac:dyDescent="0.35">
      <c r="B84" t="s">
        <v>12</v>
      </c>
      <c r="C84" s="2">
        <v>373115635</v>
      </c>
      <c r="D84" s="2">
        <v>0</v>
      </c>
      <c r="E84" s="2">
        <v>0</v>
      </c>
      <c r="F84" s="2">
        <v>0</v>
      </c>
      <c r="G84" s="2">
        <v>373115635</v>
      </c>
    </row>
    <row r="85" spans="2:7" x14ac:dyDescent="0.35">
      <c r="B85" t="s">
        <v>88</v>
      </c>
      <c r="C85" s="2">
        <v>120578481.54000001</v>
      </c>
      <c r="D85" s="2">
        <v>0</v>
      </c>
      <c r="E85" s="2">
        <v>0</v>
      </c>
      <c r="F85" s="2">
        <v>0</v>
      </c>
      <c r="G85" s="2">
        <v>120578481.54000001</v>
      </c>
    </row>
    <row r="86" spans="2:7" x14ac:dyDescent="0.35">
      <c r="B86" t="s">
        <v>3</v>
      </c>
      <c r="C86" s="2">
        <v>-212985528.32000002</v>
      </c>
      <c r="D86" s="2">
        <v>0</v>
      </c>
      <c r="E86" s="2">
        <v>0</v>
      </c>
      <c r="F86" s="2">
        <v>0</v>
      </c>
      <c r="G86" s="2">
        <v>-212985528.32000002</v>
      </c>
    </row>
    <row r="87" spans="2:7" x14ac:dyDescent="0.35">
      <c r="B87" t="s">
        <v>13</v>
      </c>
      <c r="C87" s="2">
        <v>-3112054</v>
      </c>
      <c r="D87" s="2">
        <v>0</v>
      </c>
      <c r="E87" s="2">
        <v>0</v>
      </c>
      <c r="F87" s="2">
        <v>0</v>
      </c>
      <c r="G87" s="2">
        <v>-3112054</v>
      </c>
    </row>
    <row r="88" spans="2:7" ht="16" x14ac:dyDescent="0.5">
      <c r="B88" s="5" t="s">
        <v>14</v>
      </c>
      <c r="C88" s="18">
        <v>277596534.22000003</v>
      </c>
      <c r="D88" s="18">
        <v>0</v>
      </c>
      <c r="E88" s="18">
        <v>0</v>
      </c>
      <c r="F88" s="18">
        <v>0</v>
      </c>
      <c r="G88" s="18">
        <v>277596534.22000003</v>
      </c>
    </row>
    <row r="89" spans="2:7" x14ac:dyDescent="0.35">
      <c r="C89" s="2"/>
      <c r="D89" s="2"/>
      <c r="E89" s="2"/>
      <c r="F89" s="2"/>
      <c r="G89" s="2"/>
    </row>
    <row r="90" spans="2:7" x14ac:dyDescent="0.35">
      <c r="C90" s="2"/>
      <c r="D90" s="2"/>
      <c r="E90" s="2"/>
      <c r="F90" s="2"/>
      <c r="G90" s="2"/>
    </row>
    <row r="91" spans="2:7" x14ac:dyDescent="0.35">
      <c r="B91" t="s">
        <v>15</v>
      </c>
      <c r="C91" s="2">
        <v>80069782.75</v>
      </c>
      <c r="D91" s="2">
        <v>0</v>
      </c>
      <c r="E91" s="2">
        <v>0</v>
      </c>
      <c r="F91" s="2">
        <v>0</v>
      </c>
      <c r="G91" s="2">
        <v>80069782.75</v>
      </c>
    </row>
    <row r="92" spans="2:7" x14ac:dyDescent="0.35">
      <c r="B92" t="s">
        <v>16</v>
      </c>
      <c r="C92" s="2">
        <v>-32776744</v>
      </c>
      <c r="D92" s="2">
        <v>0</v>
      </c>
      <c r="E92" s="2">
        <v>0</v>
      </c>
      <c r="F92" s="2">
        <v>0</v>
      </c>
      <c r="G92" s="2">
        <v>-32776744</v>
      </c>
    </row>
    <row r="93" spans="2:7" ht="16" x14ac:dyDescent="0.5">
      <c r="B93" s="5" t="s">
        <v>17</v>
      </c>
      <c r="C93" s="18">
        <v>47293038.75</v>
      </c>
      <c r="D93" s="18">
        <v>0</v>
      </c>
      <c r="E93" s="18">
        <v>0</v>
      </c>
      <c r="F93" s="18">
        <v>0</v>
      </c>
      <c r="G93" s="18">
        <v>47293038.75</v>
      </c>
    </row>
    <row r="94" spans="2:7" x14ac:dyDescent="0.35">
      <c r="C94" s="2"/>
      <c r="D94" s="2"/>
      <c r="E94" s="2"/>
      <c r="F94" s="2"/>
      <c r="G94" s="2"/>
    </row>
    <row r="95" spans="2:7" x14ac:dyDescent="0.35">
      <c r="C95" s="2"/>
      <c r="D95" s="2"/>
      <c r="E95" s="2"/>
      <c r="F95" s="2"/>
      <c r="G95" s="2"/>
    </row>
    <row r="96" spans="2:7" x14ac:dyDescent="0.35">
      <c r="B96" s="14" t="s">
        <v>20</v>
      </c>
      <c r="C96" s="23">
        <v>53683307.986999996</v>
      </c>
      <c r="D96" s="23">
        <v>0</v>
      </c>
      <c r="E96" s="23">
        <v>0</v>
      </c>
      <c r="F96" s="23">
        <v>0</v>
      </c>
      <c r="G96" s="23">
        <v>53683307.986999996</v>
      </c>
    </row>
    <row r="97" spans="2:7" x14ac:dyDescent="0.35">
      <c r="C97" s="2"/>
      <c r="D97" s="2"/>
      <c r="E97" s="2"/>
      <c r="F97" s="2"/>
      <c r="G97" s="2"/>
    </row>
    <row r="98" spans="2:7" x14ac:dyDescent="0.35">
      <c r="B98" t="s">
        <v>0</v>
      </c>
      <c r="C98" s="2">
        <v>2867065775</v>
      </c>
      <c r="D98" s="2">
        <v>0</v>
      </c>
      <c r="E98" s="2">
        <v>0</v>
      </c>
      <c r="F98" s="2">
        <v>0</v>
      </c>
      <c r="G98" s="2">
        <v>2867065775</v>
      </c>
    </row>
    <row r="99" spans="2:7" x14ac:dyDescent="0.35">
      <c r="B99" t="s">
        <v>2</v>
      </c>
      <c r="C99" s="2">
        <v>-2867065775</v>
      </c>
      <c r="D99" s="2">
        <v>0</v>
      </c>
      <c r="E99" s="2">
        <v>0</v>
      </c>
      <c r="F99" s="2">
        <v>0</v>
      </c>
      <c r="G99" s="2">
        <v>-2867065775</v>
      </c>
    </row>
    <row r="100" spans="2:7" ht="16" x14ac:dyDescent="0.5">
      <c r="B100" s="5" t="s">
        <v>21</v>
      </c>
      <c r="C100" s="18">
        <v>0</v>
      </c>
      <c r="D100" s="18">
        <v>0</v>
      </c>
      <c r="E100" s="18">
        <v>0</v>
      </c>
      <c r="F100" s="18">
        <v>0</v>
      </c>
      <c r="G100" s="18">
        <v>0</v>
      </c>
    </row>
    <row r="101" spans="2:7" x14ac:dyDescent="0.35">
      <c r="C101" s="2"/>
      <c r="D101" s="2"/>
      <c r="E101" s="2"/>
      <c r="F101" s="2"/>
      <c r="G101" s="2"/>
    </row>
    <row r="102" spans="2:7" x14ac:dyDescent="0.35">
      <c r="C102" s="2"/>
      <c r="D102" s="2"/>
      <c r="E102" s="2"/>
      <c r="F102" s="2"/>
      <c r="G102" s="2"/>
    </row>
    <row r="103" spans="2:7" x14ac:dyDescent="0.35">
      <c r="B103" t="s">
        <v>24</v>
      </c>
      <c r="C103" s="2">
        <v>0</v>
      </c>
      <c r="D103" s="2">
        <v>109227579</v>
      </c>
      <c r="E103" s="2">
        <v>0</v>
      </c>
      <c r="F103" s="2">
        <v>0</v>
      </c>
      <c r="G103" s="2">
        <v>109227579</v>
      </c>
    </row>
    <row r="104" spans="2:7" x14ac:dyDescent="0.35">
      <c r="B104" t="s">
        <v>25</v>
      </c>
      <c r="C104" s="2">
        <v>0</v>
      </c>
      <c r="D104" s="2">
        <v>-49136896</v>
      </c>
      <c r="E104" s="2">
        <v>0</v>
      </c>
      <c r="F104" s="2">
        <v>0</v>
      </c>
      <c r="G104" s="2">
        <v>-49136896</v>
      </c>
    </row>
    <row r="105" spans="2:7" x14ac:dyDescent="0.35">
      <c r="B105" t="s">
        <v>26</v>
      </c>
      <c r="C105" s="2">
        <v>0</v>
      </c>
      <c r="D105" s="2">
        <v>-20847331</v>
      </c>
      <c r="E105" s="2">
        <v>0</v>
      </c>
      <c r="F105" s="2">
        <v>0</v>
      </c>
      <c r="G105" s="2">
        <v>-20847331</v>
      </c>
    </row>
    <row r="106" spans="2:7" ht="16" x14ac:dyDescent="0.5">
      <c r="B106" s="5" t="s">
        <v>101</v>
      </c>
      <c r="C106" s="18">
        <v>0</v>
      </c>
      <c r="D106" s="18">
        <v>39243352</v>
      </c>
      <c r="E106" s="18">
        <v>0</v>
      </c>
      <c r="F106" s="18">
        <v>0</v>
      </c>
      <c r="G106" s="18">
        <v>39243352</v>
      </c>
    </row>
    <row r="107" spans="2:7" x14ac:dyDescent="0.35">
      <c r="C107" s="2"/>
      <c r="D107" s="2"/>
      <c r="E107" s="2"/>
      <c r="F107" s="2"/>
      <c r="G107" s="2"/>
    </row>
    <row r="108" spans="2:7" x14ac:dyDescent="0.35">
      <c r="C108" s="2"/>
      <c r="D108" s="2"/>
      <c r="E108" s="2"/>
      <c r="F108" s="2"/>
      <c r="G108" s="2"/>
    </row>
    <row r="109" spans="2:7" x14ac:dyDescent="0.35">
      <c r="B109" t="s">
        <v>27</v>
      </c>
      <c r="C109" s="2">
        <v>0</v>
      </c>
      <c r="D109" s="2">
        <v>-20563815</v>
      </c>
      <c r="E109" s="2">
        <v>0</v>
      </c>
      <c r="F109" s="2">
        <v>0</v>
      </c>
      <c r="G109" s="2">
        <v>-20563815</v>
      </c>
    </row>
    <row r="110" spans="2:7" x14ac:dyDescent="0.35">
      <c r="B110" t="s">
        <v>28</v>
      </c>
      <c r="C110" s="2">
        <v>0</v>
      </c>
      <c r="D110" s="2">
        <v>-18448684</v>
      </c>
      <c r="E110" s="2">
        <v>0</v>
      </c>
      <c r="F110" s="2">
        <v>0</v>
      </c>
      <c r="G110" s="2">
        <v>-18448684</v>
      </c>
    </row>
    <row r="111" spans="2:7" x14ac:dyDescent="0.35">
      <c r="B111" t="s">
        <v>29</v>
      </c>
      <c r="C111" s="2">
        <v>0</v>
      </c>
      <c r="D111" s="2">
        <v>2377747</v>
      </c>
      <c r="E111" s="2">
        <v>0</v>
      </c>
      <c r="F111" s="2">
        <v>0</v>
      </c>
      <c r="G111" s="2">
        <v>2377747</v>
      </c>
    </row>
    <row r="112" spans="2:7" x14ac:dyDescent="0.35">
      <c r="B112" t="s">
        <v>30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</row>
    <row r="113" spans="2:7" ht="16" x14ac:dyDescent="0.5">
      <c r="B113" s="5" t="s">
        <v>90</v>
      </c>
      <c r="C113" s="18">
        <v>0</v>
      </c>
      <c r="D113" s="18">
        <v>-36634752</v>
      </c>
      <c r="E113" s="18">
        <v>0</v>
      </c>
      <c r="F113" s="18">
        <v>0</v>
      </c>
      <c r="G113" s="18">
        <v>-36634752</v>
      </c>
    </row>
    <row r="114" spans="2:7" x14ac:dyDescent="0.35">
      <c r="C114" s="2"/>
      <c r="D114" s="2"/>
      <c r="E114" s="2"/>
      <c r="F114" s="2"/>
      <c r="G114" s="2"/>
    </row>
    <row r="115" spans="2:7" x14ac:dyDescent="0.35">
      <c r="C115" s="2"/>
      <c r="D115" s="2"/>
      <c r="E115" s="2"/>
      <c r="F115" s="2"/>
      <c r="G115" s="2"/>
    </row>
    <row r="116" spans="2:7" x14ac:dyDescent="0.35">
      <c r="B116" s="16" t="s">
        <v>89</v>
      </c>
      <c r="C116" s="23">
        <v>0</v>
      </c>
      <c r="D116" s="23">
        <v>24176135</v>
      </c>
      <c r="E116" s="23">
        <v>2299145</v>
      </c>
      <c r="F116" s="23">
        <v>0</v>
      </c>
      <c r="G116" s="23">
        <v>26475280</v>
      </c>
    </row>
    <row r="117" spans="2:7" x14ac:dyDescent="0.35">
      <c r="C117" s="2"/>
      <c r="D117" s="2"/>
      <c r="E117" s="2"/>
      <c r="F117" s="2"/>
      <c r="G117" s="2"/>
    </row>
    <row r="118" spans="2:7" x14ac:dyDescent="0.35">
      <c r="C118" s="2"/>
      <c r="D118" s="2"/>
      <c r="E118" s="2"/>
      <c r="F118" s="2"/>
      <c r="G118" s="2"/>
    </row>
    <row r="119" spans="2:7" x14ac:dyDescent="0.35">
      <c r="C119" s="2"/>
      <c r="D119" s="2"/>
      <c r="E119" s="2"/>
      <c r="F119" s="2"/>
      <c r="G119" s="2"/>
    </row>
    <row r="120" spans="2:7" x14ac:dyDescent="0.35">
      <c r="B120" t="s">
        <v>31</v>
      </c>
      <c r="C120" s="2">
        <v>0</v>
      </c>
      <c r="D120" s="2">
        <v>0</v>
      </c>
      <c r="E120" s="2">
        <v>36464087</v>
      </c>
      <c r="F120" s="2">
        <v>0</v>
      </c>
      <c r="G120" s="2">
        <v>36464087</v>
      </c>
    </row>
    <row r="121" spans="2:7" x14ac:dyDescent="0.35">
      <c r="B121" t="s">
        <v>32</v>
      </c>
      <c r="C121" s="2">
        <v>0</v>
      </c>
      <c r="D121" s="2">
        <v>0</v>
      </c>
      <c r="E121" s="2">
        <v>-4648736</v>
      </c>
      <c r="F121" s="2">
        <v>0</v>
      </c>
      <c r="G121" s="2">
        <v>-4648736</v>
      </c>
    </row>
    <row r="122" spans="2:7" ht="16" x14ac:dyDescent="0.5">
      <c r="B122" s="5" t="s">
        <v>33</v>
      </c>
      <c r="C122" s="18">
        <v>0</v>
      </c>
      <c r="D122" s="18">
        <v>0</v>
      </c>
      <c r="E122" s="18">
        <v>31815351</v>
      </c>
      <c r="F122" s="18">
        <v>0</v>
      </c>
      <c r="G122" s="18">
        <v>31815351</v>
      </c>
    </row>
    <row r="123" spans="2:7" x14ac:dyDescent="0.35">
      <c r="C123" s="2"/>
      <c r="D123" s="2"/>
      <c r="E123" s="2"/>
      <c r="F123" s="2"/>
      <c r="G123" s="2"/>
    </row>
    <row r="124" spans="2:7" x14ac:dyDescent="0.35">
      <c r="C124" s="2"/>
      <c r="D124" s="2"/>
      <c r="E124" s="2"/>
      <c r="F124" s="2"/>
      <c r="G124" s="2"/>
    </row>
    <row r="125" spans="2:7" x14ac:dyDescent="0.35">
      <c r="B125" t="s">
        <v>35</v>
      </c>
      <c r="C125" s="2">
        <v>5443713</v>
      </c>
      <c r="D125" s="2">
        <v>0</v>
      </c>
      <c r="E125" s="2">
        <v>0</v>
      </c>
      <c r="F125" s="2">
        <v>0</v>
      </c>
      <c r="G125" s="2">
        <v>5443713</v>
      </c>
    </row>
    <row r="126" spans="2:7" x14ac:dyDescent="0.35">
      <c r="B126" t="s">
        <v>36</v>
      </c>
      <c r="C126" s="2">
        <v>-7932880</v>
      </c>
      <c r="D126" s="2">
        <v>0</v>
      </c>
      <c r="E126" s="2">
        <v>0</v>
      </c>
      <c r="F126" s="2">
        <v>0</v>
      </c>
      <c r="G126" s="2">
        <v>-7932880</v>
      </c>
    </row>
    <row r="127" spans="2:7" ht="16" x14ac:dyDescent="0.5">
      <c r="B127" s="5" t="s">
        <v>37</v>
      </c>
      <c r="C127" s="18">
        <v>-2489167</v>
      </c>
      <c r="D127" s="18">
        <v>0</v>
      </c>
      <c r="E127" s="18">
        <v>0</v>
      </c>
      <c r="F127" s="18">
        <v>0</v>
      </c>
      <c r="G127" s="18">
        <v>-2489167</v>
      </c>
    </row>
    <row r="128" spans="2:7" x14ac:dyDescent="0.35">
      <c r="C128" s="2"/>
      <c r="D128" s="2"/>
      <c r="E128" s="2"/>
      <c r="F128" s="2"/>
      <c r="G128" s="2"/>
    </row>
    <row r="129" spans="2:41" x14ac:dyDescent="0.35">
      <c r="C129" s="2"/>
      <c r="D129" s="2"/>
      <c r="E129" s="2"/>
      <c r="F129" s="2"/>
      <c r="G129" s="2"/>
    </row>
    <row r="130" spans="2:41" x14ac:dyDescent="0.35">
      <c r="B130" t="s">
        <v>47</v>
      </c>
      <c r="C130" s="2">
        <v>-20890281.940000001</v>
      </c>
      <c r="D130" s="2">
        <v>-703578</v>
      </c>
      <c r="E130" s="2">
        <v>-550943</v>
      </c>
      <c r="F130" s="2">
        <v>0</v>
      </c>
      <c r="G130" s="2">
        <v>-22144802.940000001</v>
      </c>
    </row>
    <row r="131" spans="2:41" x14ac:dyDescent="0.35">
      <c r="B131" t="s">
        <v>78</v>
      </c>
      <c r="C131" s="2">
        <v>-145735887.22999999</v>
      </c>
      <c r="D131" s="2">
        <v>-14185820</v>
      </c>
      <c r="E131" s="2">
        <v>-5967248</v>
      </c>
      <c r="F131" s="2">
        <v>0</v>
      </c>
      <c r="G131" s="2">
        <v>-165888955.22999999</v>
      </c>
    </row>
    <row r="132" spans="2:41" x14ac:dyDescent="0.35">
      <c r="B132" t="s">
        <v>39</v>
      </c>
      <c r="C132" s="2">
        <v>-73206470.209999993</v>
      </c>
      <c r="D132" s="2">
        <v>-9226015</v>
      </c>
      <c r="E132" s="2">
        <v>-1912766</v>
      </c>
      <c r="F132" s="2">
        <v>0</v>
      </c>
      <c r="G132" s="2">
        <v>-84345251.209999993</v>
      </c>
    </row>
    <row r="133" spans="2:41" x14ac:dyDescent="0.35">
      <c r="B133" t="s">
        <v>40</v>
      </c>
      <c r="C133" s="2">
        <v>-4094466</v>
      </c>
      <c r="D133" s="2">
        <v>-531375</v>
      </c>
      <c r="E133" s="2">
        <v>-12010</v>
      </c>
      <c r="F133" s="2">
        <v>0</v>
      </c>
      <c r="G133" s="2">
        <v>-4637851</v>
      </c>
    </row>
    <row r="134" spans="2:41" x14ac:dyDescent="0.35">
      <c r="B134" t="s">
        <v>41</v>
      </c>
      <c r="C134" s="2">
        <v>-24132295</v>
      </c>
      <c r="D134" s="2">
        <v>0</v>
      </c>
      <c r="E134" s="2">
        <v>0</v>
      </c>
      <c r="F134" s="2">
        <v>0</v>
      </c>
      <c r="G134" s="2">
        <v>-24132295</v>
      </c>
    </row>
    <row r="135" spans="2:41" x14ac:dyDescent="0.35">
      <c r="B135" t="s">
        <v>42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</row>
    <row r="136" spans="2:41" x14ac:dyDescent="0.35">
      <c r="B136" t="s">
        <v>4</v>
      </c>
      <c r="C136" s="2">
        <v>-640534</v>
      </c>
      <c r="D136" s="2">
        <v>34085</v>
      </c>
      <c r="E136" s="2">
        <v>0</v>
      </c>
      <c r="F136" s="2">
        <v>0</v>
      </c>
      <c r="G136" s="2">
        <v>-606449</v>
      </c>
    </row>
    <row r="137" spans="2:41" x14ac:dyDescent="0.35">
      <c r="B137" t="s">
        <v>5</v>
      </c>
      <c r="C137" s="2">
        <v>-61000</v>
      </c>
      <c r="D137" s="2">
        <v>0</v>
      </c>
      <c r="E137" s="2">
        <v>0</v>
      </c>
      <c r="F137" s="2">
        <v>0</v>
      </c>
      <c r="G137" s="2">
        <v>-61000</v>
      </c>
    </row>
    <row r="138" spans="2:41" x14ac:dyDescent="0.35">
      <c r="B138" t="s">
        <v>182</v>
      </c>
      <c r="C138" s="2">
        <v>-6354954</v>
      </c>
      <c r="D138" s="2">
        <v>-281293.12328000006</v>
      </c>
      <c r="E138" s="2">
        <v>0</v>
      </c>
      <c r="F138" s="2">
        <v>0</v>
      </c>
      <c r="G138" s="2">
        <v>-6636247.1232799999</v>
      </c>
    </row>
    <row r="139" spans="2:41" ht="16" x14ac:dyDescent="0.5">
      <c r="B139" s="5" t="s">
        <v>11</v>
      </c>
      <c r="C139" s="18">
        <v>-275115888.38</v>
      </c>
      <c r="D139" s="18">
        <v>-24893996.12328</v>
      </c>
      <c r="E139" s="18">
        <v>-8442967</v>
      </c>
      <c r="F139" s="18">
        <v>0</v>
      </c>
      <c r="G139" s="18">
        <v>-308452851.50327998</v>
      </c>
    </row>
    <row r="140" spans="2:41" x14ac:dyDescent="0.35">
      <c r="C140" s="2"/>
      <c r="D140" s="2"/>
      <c r="E140" s="2"/>
      <c r="F140" s="2"/>
      <c r="G140" s="2"/>
    </row>
    <row r="141" spans="2:41" x14ac:dyDescent="0.35">
      <c r="C141" s="2"/>
      <c r="D141" s="2"/>
      <c r="E141" s="2"/>
      <c r="F141" s="2"/>
      <c r="G141" s="2"/>
    </row>
    <row r="142" spans="2:41" x14ac:dyDescent="0.35">
      <c r="B142" s="11" t="s">
        <v>43</v>
      </c>
      <c r="C142" s="4">
        <v>506952963.60300004</v>
      </c>
      <c r="D142" s="4">
        <v>1890738.8767200001</v>
      </c>
      <c r="E142" s="4">
        <v>25671529</v>
      </c>
      <c r="F142" s="4">
        <v>0</v>
      </c>
      <c r="G142" s="4">
        <v>534515231.47972006</v>
      </c>
    </row>
    <row r="143" spans="2:41" x14ac:dyDescent="0.35">
      <c r="B143" t="s">
        <v>6</v>
      </c>
      <c r="C143" s="2">
        <v>-116210721.00999999</v>
      </c>
      <c r="D143" s="2">
        <v>-5973743</v>
      </c>
      <c r="E143" s="2">
        <v>-5817682</v>
      </c>
      <c r="F143" s="2">
        <v>0</v>
      </c>
      <c r="G143" s="2">
        <v>-128002146.00999999</v>
      </c>
    </row>
    <row r="144" spans="2:41" x14ac:dyDescent="0.35">
      <c r="B144" s="11" t="s">
        <v>7</v>
      </c>
      <c r="C144" s="4">
        <v>390742242.59300005</v>
      </c>
      <c r="D144" s="4">
        <v>-4083004.1232799999</v>
      </c>
      <c r="E144" s="4">
        <v>19853847</v>
      </c>
      <c r="F144" s="4">
        <v>0</v>
      </c>
      <c r="G144" s="4">
        <v>406513085.46972007</v>
      </c>
      <c r="AI144" s="3"/>
      <c r="AJ144" s="3"/>
      <c r="AL144" s="3"/>
      <c r="AM144" s="3"/>
      <c r="AN144" s="3"/>
      <c r="AO144" s="3"/>
    </row>
    <row r="145" spans="2:42" x14ac:dyDescent="0.35">
      <c r="B145" t="s">
        <v>8</v>
      </c>
      <c r="C145" s="2">
        <v>-14521304.261981372</v>
      </c>
      <c r="D145" s="2">
        <v>678768.35810000007</v>
      </c>
      <c r="E145" s="2">
        <v>-3958500.399999999</v>
      </c>
      <c r="F145" s="2">
        <v>0</v>
      </c>
      <c r="G145">
        <v>-17801036.30388137</v>
      </c>
      <c r="AI145" s="3"/>
      <c r="AJ145" s="3"/>
      <c r="AL145" s="3"/>
      <c r="AM145" s="3"/>
      <c r="AN145" s="3"/>
      <c r="AO145" s="3"/>
    </row>
    <row r="146" spans="2:42" x14ac:dyDescent="0.35">
      <c r="B146" s="11" t="s">
        <v>143</v>
      </c>
      <c r="C146" s="4">
        <v>376220938.33101869</v>
      </c>
      <c r="D146" s="4">
        <v>-3404235.7651800001</v>
      </c>
      <c r="E146" s="4">
        <v>15895346.600000001</v>
      </c>
      <c r="F146" s="4">
        <v>0</v>
      </c>
      <c r="G146" s="4">
        <v>388712049.16583872</v>
      </c>
      <c r="AI146" s="3"/>
      <c r="AJ146" s="3"/>
      <c r="AL146" s="3"/>
      <c r="AM146" s="3"/>
      <c r="AN146" s="3"/>
      <c r="AO146" s="3"/>
    </row>
    <row r="147" spans="2:42" x14ac:dyDescent="0.35">
      <c r="C147" s="3">
        <v>0</v>
      </c>
      <c r="D147" s="3">
        <v>0</v>
      </c>
      <c r="E147" s="3">
        <v>0</v>
      </c>
      <c r="F147" s="3">
        <v>0</v>
      </c>
      <c r="G147" s="3">
        <v>0</v>
      </c>
      <c r="AI147" s="3"/>
      <c r="AJ147" s="3"/>
      <c r="AL147" s="3"/>
      <c r="AM147" s="3"/>
      <c r="AN147" s="3"/>
      <c r="AO147" s="3"/>
    </row>
    <row r="148" spans="2:42" x14ac:dyDescent="0.35">
      <c r="AI148" s="3"/>
      <c r="AJ148" s="3"/>
      <c r="AL148" s="3"/>
      <c r="AM148" s="3"/>
      <c r="AN148" s="3"/>
      <c r="AO148" s="3"/>
    </row>
    <row r="150" spans="2:42" ht="18.5" x14ac:dyDescent="0.35">
      <c r="B150" s="303" t="s">
        <v>145</v>
      </c>
      <c r="C150" s="303"/>
      <c r="D150" s="303"/>
      <c r="E150" s="303"/>
      <c r="F150" s="303"/>
      <c r="G150" s="303"/>
      <c r="AD150" s="22" t="s">
        <v>153</v>
      </c>
      <c r="AE150" s="22"/>
      <c r="AF150" s="22"/>
      <c r="AG150" s="22"/>
      <c r="AH150" s="22"/>
      <c r="AI150" s="22"/>
      <c r="AK150" s="22" t="s">
        <v>155</v>
      </c>
      <c r="AL150" s="22"/>
      <c r="AM150" s="22"/>
      <c r="AN150" s="22"/>
      <c r="AO150" s="22"/>
      <c r="AP150" s="22"/>
    </row>
    <row r="151" spans="2:42" ht="15.5" x14ac:dyDescent="0.35">
      <c r="B151" s="8"/>
      <c r="C151" s="8" t="s">
        <v>10</v>
      </c>
      <c r="D151" s="8" t="s">
        <v>69</v>
      </c>
      <c r="E151" s="8" t="s">
        <v>70</v>
      </c>
      <c r="F151" s="8" t="s">
        <v>44</v>
      </c>
      <c r="G151" s="9" t="s">
        <v>45</v>
      </c>
      <c r="AD151" s="24"/>
      <c r="AE151" s="24" t="s">
        <v>10</v>
      </c>
      <c r="AF151" s="24" t="s">
        <v>69</v>
      </c>
      <c r="AG151" s="24" t="s">
        <v>70</v>
      </c>
      <c r="AH151" s="24" t="s">
        <v>44</v>
      </c>
      <c r="AI151" s="9" t="s">
        <v>45</v>
      </c>
      <c r="AK151" s="24"/>
      <c r="AL151" s="24" t="s">
        <v>10</v>
      </c>
      <c r="AM151" s="24" t="s">
        <v>69</v>
      </c>
      <c r="AN151" s="24" t="s">
        <v>70</v>
      </c>
      <c r="AO151" s="24" t="s">
        <v>44</v>
      </c>
      <c r="AP151" s="9" t="s">
        <v>45</v>
      </c>
    </row>
    <row r="152" spans="2:42" x14ac:dyDescent="0.35">
      <c r="B152" t="s">
        <v>85</v>
      </c>
      <c r="C152" s="2">
        <v>320398207.24000001</v>
      </c>
      <c r="D152" s="2">
        <v>0</v>
      </c>
      <c r="E152" s="2">
        <v>0</v>
      </c>
      <c r="F152" s="2">
        <v>0</v>
      </c>
      <c r="G152" s="2">
        <v>320398207.24000001</v>
      </c>
      <c r="AD152" t="s">
        <v>85</v>
      </c>
      <c r="AE152" s="2">
        <v>192337163</v>
      </c>
      <c r="AF152" s="2">
        <v>0</v>
      </c>
      <c r="AG152" s="2">
        <v>0</v>
      </c>
      <c r="AH152" s="2">
        <v>0</v>
      </c>
      <c r="AI152" s="2">
        <v>192337163</v>
      </c>
      <c r="AK152" t="s">
        <v>85</v>
      </c>
      <c r="AL152" s="2">
        <v>128061044.24000001</v>
      </c>
      <c r="AM152" s="2">
        <v>0</v>
      </c>
      <c r="AN152" s="2">
        <v>0</v>
      </c>
      <c r="AO152" s="2">
        <v>0</v>
      </c>
      <c r="AP152" s="2">
        <v>128061044.24000001</v>
      </c>
    </row>
    <row r="153" spans="2:42" x14ac:dyDescent="0.35">
      <c r="B153" t="s">
        <v>19</v>
      </c>
      <c r="C153" s="2">
        <v>103794947.55599999</v>
      </c>
      <c r="D153" s="2">
        <v>0</v>
      </c>
      <c r="E153" s="2">
        <v>0</v>
      </c>
      <c r="F153" s="2">
        <v>0</v>
      </c>
      <c r="G153" s="2">
        <v>103794947.55599999</v>
      </c>
      <c r="AD153" t="s">
        <v>19</v>
      </c>
      <c r="AE153" s="2">
        <v>77412773.038000003</v>
      </c>
      <c r="AF153" s="2">
        <v>0</v>
      </c>
      <c r="AG153" s="2">
        <v>0</v>
      </c>
      <c r="AH153" s="2">
        <v>0</v>
      </c>
      <c r="AI153" s="2">
        <v>77412773.038000003</v>
      </c>
      <c r="AK153" t="s">
        <v>19</v>
      </c>
      <c r="AL153" s="2">
        <v>26382174.517999992</v>
      </c>
      <c r="AM153" s="2">
        <v>0</v>
      </c>
      <c r="AN153" s="2">
        <v>0</v>
      </c>
      <c r="AO153" s="2">
        <v>0</v>
      </c>
      <c r="AP153" s="2">
        <v>26382174.517999992</v>
      </c>
    </row>
    <row r="154" spans="2:42" x14ac:dyDescent="0.35">
      <c r="B154" t="s">
        <v>86</v>
      </c>
      <c r="C154" s="2">
        <v>-9278718.4399998933</v>
      </c>
      <c r="D154" s="2">
        <v>0</v>
      </c>
      <c r="E154" s="2">
        <v>0</v>
      </c>
      <c r="F154" s="2">
        <v>0</v>
      </c>
      <c r="G154" s="2">
        <v>-9278718.4399998933</v>
      </c>
      <c r="AD154" t="s">
        <v>86</v>
      </c>
      <c r="AE154" s="2">
        <v>-26710740</v>
      </c>
      <c r="AF154" s="2">
        <v>0</v>
      </c>
      <c r="AG154" s="2">
        <v>0</v>
      </c>
      <c r="AH154" s="2">
        <v>0</v>
      </c>
      <c r="AI154" s="2">
        <v>-26710740</v>
      </c>
      <c r="AK154" t="s">
        <v>86</v>
      </c>
      <c r="AL154" s="2">
        <v>17432021.560000107</v>
      </c>
      <c r="AM154" s="2">
        <v>0</v>
      </c>
      <c r="AN154" s="2">
        <v>0</v>
      </c>
      <c r="AO154" s="2">
        <v>0</v>
      </c>
      <c r="AP154" s="2">
        <v>17432021.560000107</v>
      </c>
    </row>
    <row r="155" spans="2:42" x14ac:dyDescent="0.35">
      <c r="B155" t="s">
        <v>87</v>
      </c>
      <c r="C155" s="2">
        <v>-51753</v>
      </c>
      <c r="D155" s="2">
        <v>0</v>
      </c>
      <c r="E155" s="2">
        <v>0</v>
      </c>
      <c r="F155" s="2">
        <v>0</v>
      </c>
      <c r="G155" s="2">
        <v>-51753</v>
      </c>
      <c r="AD155" t="s">
        <v>87</v>
      </c>
      <c r="AE155" s="2">
        <v>-51753</v>
      </c>
      <c r="AF155" s="2">
        <v>0</v>
      </c>
      <c r="AG155" s="2">
        <v>0</v>
      </c>
      <c r="AH155" s="2">
        <v>0</v>
      </c>
      <c r="AI155" s="2">
        <v>-51753</v>
      </c>
      <c r="AK155" t="s">
        <v>87</v>
      </c>
      <c r="AL155" s="2">
        <v>0</v>
      </c>
      <c r="AM155" s="2">
        <v>0</v>
      </c>
      <c r="AN155" s="2">
        <v>0</v>
      </c>
      <c r="AO155" s="2">
        <v>0</v>
      </c>
      <c r="AP155" s="2">
        <v>0</v>
      </c>
    </row>
    <row r="156" spans="2:42" x14ac:dyDescent="0.35">
      <c r="B156" s="19" t="s">
        <v>18</v>
      </c>
      <c r="C156" s="20">
        <v>414862683.35600013</v>
      </c>
      <c r="D156" s="20">
        <v>0</v>
      </c>
      <c r="E156" s="20">
        <v>0</v>
      </c>
      <c r="F156" s="20">
        <v>0</v>
      </c>
      <c r="G156" s="20">
        <v>414862683.35600013</v>
      </c>
      <c r="AD156" s="19" t="s">
        <v>18</v>
      </c>
      <c r="AE156" s="20">
        <v>242987443.03799999</v>
      </c>
      <c r="AF156" s="20">
        <v>0</v>
      </c>
      <c r="AG156" s="20">
        <v>0</v>
      </c>
      <c r="AH156" s="20">
        <v>0</v>
      </c>
      <c r="AI156" s="20">
        <v>242987443.03799999</v>
      </c>
      <c r="AK156" s="19" t="s">
        <v>18</v>
      </c>
      <c r="AL156" s="20">
        <v>171875240.31800014</v>
      </c>
      <c r="AM156" s="20">
        <v>0</v>
      </c>
      <c r="AN156" s="20">
        <v>0</v>
      </c>
      <c r="AO156" s="20">
        <v>0</v>
      </c>
      <c r="AP156" s="20">
        <v>171875240.31800014</v>
      </c>
    </row>
    <row r="157" spans="2:42" x14ac:dyDescent="0.35">
      <c r="C157" s="2"/>
      <c r="D157" s="2"/>
      <c r="E157" s="2"/>
      <c r="F157" s="2"/>
      <c r="G157" s="2"/>
      <c r="AE157" s="2"/>
      <c r="AF157" s="2"/>
      <c r="AG157" s="2"/>
      <c r="AH157" s="2"/>
      <c r="AI157" s="2"/>
      <c r="AL157" s="2"/>
      <c r="AM157" s="2"/>
      <c r="AN157" s="2"/>
      <c r="AO157" s="2"/>
      <c r="AP157" s="2"/>
    </row>
    <row r="158" spans="2:42" x14ac:dyDescent="0.35">
      <c r="C158" s="2"/>
      <c r="D158" s="2"/>
      <c r="E158" s="2"/>
      <c r="F158" s="2"/>
      <c r="G158" s="2"/>
      <c r="AE158" s="2"/>
      <c r="AF158" s="2"/>
      <c r="AG158" s="2"/>
      <c r="AH158" s="2"/>
      <c r="AI158" s="2"/>
      <c r="AL158" s="2"/>
      <c r="AM158" s="2"/>
      <c r="AN158" s="2"/>
      <c r="AO158" s="2"/>
      <c r="AP158" s="2"/>
    </row>
    <row r="159" spans="2:42" x14ac:dyDescent="0.35">
      <c r="B159" t="s">
        <v>12</v>
      </c>
      <c r="C159" s="2">
        <v>475836301.60000002</v>
      </c>
      <c r="D159" s="2">
        <v>0</v>
      </c>
      <c r="E159" s="2">
        <v>0</v>
      </c>
      <c r="F159" s="2">
        <v>0</v>
      </c>
      <c r="G159" s="2">
        <v>475836301.60000002</v>
      </c>
      <c r="AD159" t="s">
        <v>12</v>
      </c>
      <c r="AE159" s="2">
        <v>346450570.24000001</v>
      </c>
      <c r="AF159" s="2">
        <v>0</v>
      </c>
      <c r="AG159" s="2">
        <v>0</v>
      </c>
      <c r="AH159" s="2">
        <v>0</v>
      </c>
      <c r="AI159" s="2">
        <v>346450570.24000001</v>
      </c>
      <c r="AK159" t="s">
        <v>12</v>
      </c>
      <c r="AL159" s="2">
        <v>129385731.36000001</v>
      </c>
      <c r="AM159" s="2">
        <v>0</v>
      </c>
      <c r="AN159" s="2">
        <v>0</v>
      </c>
      <c r="AO159" s="2">
        <v>0</v>
      </c>
      <c r="AP159" s="2">
        <v>129385731.36000001</v>
      </c>
    </row>
    <row r="160" spans="2:42" x14ac:dyDescent="0.35">
      <c r="B160" t="s">
        <v>3</v>
      </c>
      <c r="C160" s="2">
        <v>-201022239.71000004</v>
      </c>
      <c r="D160" s="2">
        <v>0</v>
      </c>
      <c r="E160" s="2">
        <v>0</v>
      </c>
      <c r="F160" s="2">
        <v>0</v>
      </c>
      <c r="G160" s="2">
        <v>-201022239.71000004</v>
      </c>
      <c r="AD160" t="s">
        <v>3</v>
      </c>
      <c r="AE160" s="2">
        <v>-154135267.88</v>
      </c>
      <c r="AF160" s="2">
        <v>0</v>
      </c>
      <c r="AG160" s="2">
        <v>0</v>
      </c>
      <c r="AH160" s="2">
        <v>0</v>
      </c>
      <c r="AI160" s="2">
        <v>-154135267.88</v>
      </c>
      <c r="AK160" t="s">
        <v>3</v>
      </c>
      <c r="AL160" s="2">
        <v>-46886971.830000043</v>
      </c>
      <c r="AM160" s="2">
        <v>0</v>
      </c>
      <c r="AN160" s="2">
        <v>0</v>
      </c>
      <c r="AO160" s="2">
        <v>0</v>
      </c>
      <c r="AP160" s="2">
        <v>-46886971.830000043</v>
      </c>
    </row>
    <row r="161" spans="2:42" x14ac:dyDescent="0.35">
      <c r="B161" t="s">
        <v>88</v>
      </c>
      <c r="C161" s="2">
        <v>96463867.040000007</v>
      </c>
      <c r="D161" s="2">
        <v>0</v>
      </c>
      <c r="E161" s="2">
        <v>0</v>
      </c>
      <c r="F161" s="2">
        <v>0</v>
      </c>
      <c r="G161" s="2">
        <v>96463867.040000007</v>
      </c>
      <c r="AD161" t="s">
        <v>88</v>
      </c>
      <c r="AE161" s="2">
        <v>77620896.431428567</v>
      </c>
      <c r="AF161" s="2">
        <v>0</v>
      </c>
      <c r="AG161" s="2">
        <v>0</v>
      </c>
      <c r="AH161" s="2">
        <v>0</v>
      </c>
      <c r="AI161" s="2">
        <v>77620896.431428567</v>
      </c>
      <c r="AK161" t="s">
        <v>88</v>
      </c>
      <c r="AL161" s="2">
        <v>18842970.60857144</v>
      </c>
      <c r="AM161" s="2">
        <v>0</v>
      </c>
      <c r="AN161" s="2">
        <v>0</v>
      </c>
      <c r="AO161" s="2">
        <v>0</v>
      </c>
      <c r="AP161" s="2">
        <v>18842970.60857144</v>
      </c>
    </row>
    <row r="162" spans="2:42" x14ac:dyDescent="0.35">
      <c r="B162" t="s">
        <v>13</v>
      </c>
      <c r="C162" s="2">
        <v>-5676931.6099999994</v>
      </c>
      <c r="D162" s="2">
        <v>0</v>
      </c>
      <c r="E162" s="2">
        <v>0</v>
      </c>
      <c r="F162" s="2">
        <v>0</v>
      </c>
      <c r="G162" s="2">
        <v>-5676931.6099999994</v>
      </c>
      <c r="AD162" t="s">
        <v>13</v>
      </c>
      <c r="AE162" s="2">
        <v>-3661048.69</v>
      </c>
      <c r="AF162" s="2">
        <v>0</v>
      </c>
      <c r="AG162" s="2">
        <v>0</v>
      </c>
      <c r="AH162" s="2">
        <v>0</v>
      </c>
      <c r="AI162" s="2">
        <v>-3661048.69</v>
      </c>
      <c r="AK162" t="s">
        <v>13</v>
      </c>
      <c r="AL162" s="2">
        <v>-2015882.9199999995</v>
      </c>
      <c r="AM162" s="2">
        <v>0</v>
      </c>
      <c r="AN162" s="2">
        <v>0</v>
      </c>
      <c r="AO162" s="2">
        <v>0</v>
      </c>
      <c r="AP162" s="2">
        <v>-2015882.9199999995</v>
      </c>
    </row>
    <row r="163" spans="2:42" x14ac:dyDescent="0.35">
      <c r="B163" s="19" t="s">
        <v>14</v>
      </c>
      <c r="C163" s="20">
        <v>365600997.31999999</v>
      </c>
      <c r="D163" s="20">
        <v>0</v>
      </c>
      <c r="E163" s="20">
        <v>0</v>
      </c>
      <c r="F163" s="20">
        <v>0</v>
      </c>
      <c r="G163" s="20">
        <v>365600997.31999999</v>
      </c>
      <c r="AD163" s="19" t="s">
        <v>14</v>
      </c>
      <c r="AE163" s="20">
        <v>266275150.10142857</v>
      </c>
      <c r="AF163" s="20">
        <v>0</v>
      </c>
      <c r="AG163" s="20">
        <v>0</v>
      </c>
      <c r="AH163" s="20">
        <v>0</v>
      </c>
      <c r="AI163" s="20">
        <v>266275150.10142857</v>
      </c>
      <c r="AK163" s="19" t="s">
        <v>14</v>
      </c>
      <c r="AL163" s="20">
        <v>99325847.21857141</v>
      </c>
      <c r="AM163" s="20">
        <v>0</v>
      </c>
      <c r="AN163" s="20">
        <v>0</v>
      </c>
      <c r="AO163" s="20">
        <v>0</v>
      </c>
      <c r="AP163" s="20">
        <v>99325847.21857141</v>
      </c>
    </row>
    <row r="164" spans="2:42" x14ac:dyDescent="0.35">
      <c r="C164" s="2"/>
      <c r="D164" s="2"/>
      <c r="E164" s="2"/>
      <c r="F164" s="2"/>
      <c r="G164" s="2"/>
      <c r="AE164" s="2"/>
      <c r="AF164" s="2"/>
      <c r="AG164" s="2"/>
      <c r="AH164" s="2"/>
      <c r="AI164" s="2"/>
      <c r="AL164" s="2"/>
      <c r="AM164" s="2"/>
      <c r="AN164" s="2"/>
      <c r="AO164" s="2"/>
      <c r="AP164" s="2"/>
    </row>
    <row r="165" spans="2:42" x14ac:dyDescent="0.35">
      <c r="C165" s="2"/>
      <c r="D165" s="2"/>
      <c r="E165" s="2"/>
      <c r="F165" s="2"/>
      <c r="G165" s="2"/>
      <c r="AE165" s="2"/>
      <c r="AF165" s="2"/>
      <c r="AG165" s="2"/>
      <c r="AH165" s="2"/>
      <c r="AI165" s="2"/>
      <c r="AL165" s="2"/>
      <c r="AM165" s="2"/>
      <c r="AN165" s="2"/>
      <c r="AO165" s="2"/>
      <c r="AP165" s="2"/>
    </row>
    <row r="166" spans="2:42" x14ac:dyDescent="0.35">
      <c r="B166" t="s">
        <v>15</v>
      </c>
      <c r="C166" s="2">
        <v>108182993.97</v>
      </c>
      <c r="D166" s="2">
        <v>0</v>
      </c>
      <c r="E166" s="2">
        <v>0</v>
      </c>
      <c r="F166" s="2">
        <v>0</v>
      </c>
      <c r="G166" s="2">
        <v>108182993.97</v>
      </c>
      <c r="AD166" t="s">
        <v>15</v>
      </c>
      <c r="AE166" s="2">
        <v>57533665.049999997</v>
      </c>
      <c r="AF166" s="2">
        <v>0</v>
      </c>
      <c r="AG166" s="2">
        <v>0</v>
      </c>
      <c r="AH166" s="2">
        <v>0</v>
      </c>
      <c r="AI166" s="2">
        <v>57533665.049999997</v>
      </c>
      <c r="AK166" t="s">
        <v>15</v>
      </c>
      <c r="AL166" s="2">
        <v>50649328.920000002</v>
      </c>
      <c r="AM166" s="2">
        <v>0</v>
      </c>
      <c r="AN166" s="2">
        <v>0</v>
      </c>
      <c r="AO166" s="2">
        <v>0</v>
      </c>
      <c r="AP166" s="2">
        <v>50649328.920000002</v>
      </c>
    </row>
    <row r="167" spans="2:42" x14ac:dyDescent="0.35">
      <c r="B167" t="s">
        <v>16</v>
      </c>
      <c r="C167" s="2">
        <v>-46137948.710000001</v>
      </c>
      <c r="D167" s="2">
        <v>0</v>
      </c>
      <c r="E167" s="2">
        <v>0</v>
      </c>
      <c r="F167" s="2">
        <v>0</v>
      </c>
      <c r="G167" s="2">
        <v>-46137948.710000001</v>
      </c>
      <c r="AD167" t="s">
        <v>16</v>
      </c>
      <c r="AE167" s="2">
        <v>-25491638</v>
      </c>
      <c r="AF167" s="2">
        <v>0</v>
      </c>
      <c r="AG167" s="2">
        <v>0</v>
      </c>
      <c r="AH167" s="2">
        <v>0</v>
      </c>
      <c r="AI167" s="2">
        <v>-25491638</v>
      </c>
      <c r="AK167" t="s">
        <v>16</v>
      </c>
      <c r="AL167" s="2">
        <v>-20646310.710000001</v>
      </c>
      <c r="AM167" s="2">
        <v>0</v>
      </c>
      <c r="AN167" s="2">
        <v>0</v>
      </c>
      <c r="AO167" s="2">
        <v>0</v>
      </c>
      <c r="AP167" s="2">
        <v>-20646310.710000001</v>
      </c>
    </row>
    <row r="168" spans="2:42" x14ac:dyDescent="0.35">
      <c r="B168" s="19" t="s">
        <v>17</v>
      </c>
      <c r="C168" s="20">
        <v>62045045.259999998</v>
      </c>
      <c r="D168" s="20">
        <v>0</v>
      </c>
      <c r="E168" s="20">
        <v>0</v>
      </c>
      <c r="F168" s="20">
        <v>0</v>
      </c>
      <c r="G168" s="20">
        <v>62045045.259999998</v>
      </c>
      <c r="AD168" s="19" t="s">
        <v>17</v>
      </c>
      <c r="AE168" s="20">
        <v>32042027.049999997</v>
      </c>
      <c r="AF168" s="20">
        <v>0</v>
      </c>
      <c r="AG168" s="20">
        <v>0</v>
      </c>
      <c r="AH168" s="20">
        <v>0</v>
      </c>
      <c r="AI168" s="20">
        <v>32042027.049999997</v>
      </c>
      <c r="AK168" s="19" t="s">
        <v>17</v>
      </c>
      <c r="AL168" s="20">
        <v>30003018.210000001</v>
      </c>
      <c r="AM168" s="20">
        <v>0</v>
      </c>
      <c r="AN168" s="20">
        <v>0</v>
      </c>
      <c r="AO168" s="20">
        <v>0</v>
      </c>
      <c r="AP168" s="20">
        <v>30003018.210000001</v>
      </c>
    </row>
    <row r="169" spans="2:42" x14ac:dyDescent="0.35">
      <c r="C169" s="2"/>
      <c r="D169" s="2"/>
      <c r="E169" s="2"/>
      <c r="F169" s="2"/>
      <c r="G169" s="2"/>
      <c r="AE169" s="2"/>
      <c r="AF169" s="2"/>
      <c r="AG169" s="2"/>
      <c r="AH169" s="2"/>
      <c r="AI169" s="2"/>
      <c r="AL169" s="2"/>
      <c r="AM169" s="2"/>
      <c r="AN169" s="2"/>
      <c r="AO169" s="2"/>
      <c r="AP169" s="2"/>
    </row>
    <row r="170" spans="2:42" x14ac:dyDescent="0.35">
      <c r="C170" s="2"/>
      <c r="D170" s="2"/>
      <c r="E170" s="2"/>
      <c r="F170" s="2"/>
      <c r="G170" s="2"/>
      <c r="AE170" s="2"/>
      <c r="AF170" s="2"/>
      <c r="AG170" s="2"/>
      <c r="AH170" s="2"/>
      <c r="AI170" s="2"/>
      <c r="AL170" s="2"/>
      <c r="AM170" s="2"/>
      <c r="AN170" s="2"/>
      <c r="AO170" s="2"/>
      <c r="AP170" s="2"/>
    </row>
    <row r="171" spans="2:42" x14ac:dyDescent="0.35">
      <c r="B171" s="16" t="s">
        <v>20</v>
      </c>
      <c r="C171" s="23">
        <v>29041025.26070004</v>
      </c>
      <c r="D171" s="23">
        <v>0</v>
      </c>
      <c r="E171" s="23">
        <v>0</v>
      </c>
      <c r="F171" s="23">
        <v>0</v>
      </c>
      <c r="G171" s="23">
        <v>29041025.26070004</v>
      </c>
      <c r="AD171" s="16" t="s">
        <v>20</v>
      </c>
      <c r="AE171" s="23">
        <v>18453934.990899999</v>
      </c>
      <c r="AF171" s="23">
        <v>0</v>
      </c>
      <c r="AG171" s="23">
        <v>0</v>
      </c>
      <c r="AH171" s="23">
        <v>0</v>
      </c>
      <c r="AI171" s="23">
        <v>18453934.990899999</v>
      </c>
      <c r="AK171" s="16" t="s">
        <v>20</v>
      </c>
      <c r="AL171" s="23">
        <v>10587090.269800041</v>
      </c>
      <c r="AM171" s="23">
        <v>0</v>
      </c>
      <c r="AN171" s="23">
        <v>0</v>
      </c>
      <c r="AO171" s="23">
        <v>0</v>
      </c>
      <c r="AP171" s="23">
        <v>10587090.269800041</v>
      </c>
    </row>
    <row r="172" spans="2:42" x14ac:dyDescent="0.35">
      <c r="C172" s="2"/>
      <c r="D172" s="2"/>
      <c r="E172" s="2"/>
      <c r="F172" s="2"/>
      <c r="G172" s="2"/>
      <c r="AE172" s="2"/>
      <c r="AF172" s="2"/>
      <c r="AG172" s="2"/>
      <c r="AH172" s="2"/>
      <c r="AI172" s="2"/>
      <c r="AL172" s="2"/>
      <c r="AM172" s="2"/>
      <c r="AN172" s="2"/>
      <c r="AO172" s="2"/>
      <c r="AP172" s="2"/>
    </row>
    <row r="173" spans="2:42" x14ac:dyDescent="0.35">
      <c r="C173" s="2"/>
      <c r="D173" s="2"/>
      <c r="E173" s="2"/>
      <c r="F173" s="2"/>
      <c r="G173" s="2"/>
    </row>
    <row r="174" spans="2:42" x14ac:dyDescent="0.35">
      <c r="C174" s="2"/>
      <c r="D174" s="2"/>
      <c r="E174" s="2"/>
      <c r="F174" s="2"/>
      <c r="G174" s="2"/>
    </row>
    <row r="175" spans="2:42" x14ac:dyDescent="0.35">
      <c r="B175" t="s">
        <v>0</v>
      </c>
      <c r="C175" s="2">
        <v>2102289979.9100001</v>
      </c>
      <c r="D175" s="2">
        <v>0</v>
      </c>
      <c r="E175" s="2">
        <v>0</v>
      </c>
      <c r="F175" s="2">
        <v>0</v>
      </c>
      <c r="G175" s="2">
        <v>2102289979.9100001</v>
      </c>
      <c r="AD175" t="s">
        <v>0</v>
      </c>
      <c r="AE175" s="2">
        <v>1896732148</v>
      </c>
      <c r="AF175" s="2">
        <v>0</v>
      </c>
      <c r="AG175" s="2">
        <v>0</v>
      </c>
      <c r="AH175" s="2">
        <v>0</v>
      </c>
      <c r="AI175" s="2">
        <v>1896732148</v>
      </c>
      <c r="AK175" t="s">
        <v>0</v>
      </c>
      <c r="AL175" s="2">
        <v>205557831.91000009</v>
      </c>
      <c r="AM175" s="2">
        <v>0</v>
      </c>
      <c r="AN175" s="2">
        <v>0</v>
      </c>
      <c r="AO175" s="2">
        <v>0</v>
      </c>
      <c r="AP175" s="2">
        <v>205557831.91000009</v>
      </c>
    </row>
    <row r="176" spans="2:42" x14ac:dyDescent="0.35">
      <c r="B176" t="s">
        <v>2</v>
      </c>
      <c r="C176" s="2">
        <v>-2102289979.9100001</v>
      </c>
      <c r="D176" s="2">
        <v>0</v>
      </c>
      <c r="E176" s="2">
        <v>0</v>
      </c>
      <c r="F176" s="2">
        <v>0</v>
      </c>
      <c r="G176" s="2">
        <v>-2102289979.9100001</v>
      </c>
      <c r="AD176" t="s">
        <v>2</v>
      </c>
      <c r="AE176" s="2">
        <v>-1896889953</v>
      </c>
      <c r="AF176" s="2">
        <v>0</v>
      </c>
      <c r="AG176" s="2">
        <v>0</v>
      </c>
      <c r="AH176" s="2">
        <v>0</v>
      </c>
      <c r="AI176" s="2">
        <v>-1896889953</v>
      </c>
      <c r="AK176" t="s">
        <v>2</v>
      </c>
      <c r="AL176" s="2">
        <v>-205400026.91000009</v>
      </c>
      <c r="AM176" s="2">
        <v>0</v>
      </c>
      <c r="AN176" s="2">
        <v>0</v>
      </c>
      <c r="AO176" s="2">
        <v>0</v>
      </c>
      <c r="AP176" s="2">
        <v>-205400026.91000009</v>
      </c>
    </row>
    <row r="177" spans="2:42" x14ac:dyDescent="0.35">
      <c r="B177" s="19" t="s">
        <v>21</v>
      </c>
      <c r="C177" s="20">
        <v>0</v>
      </c>
      <c r="D177" s="20">
        <v>0</v>
      </c>
      <c r="E177" s="20">
        <v>0</v>
      </c>
      <c r="F177" s="20">
        <v>0</v>
      </c>
      <c r="G177" s="20">
        <v>0</v>
      </c>
      <c r="AD177" s="19" t="s">
        <v>21</v>
      </c>
      <c r="AE177" s="20">
        <v>-157805</v>
      </c>
      <c r="AF177" s="20">
        <v>0</v>
      </c>
      <c r="AG177" s="20">
        <v>0</v>
      </c>
      <c r="AH177" s="20">
        <v>0</v>
      </c>
      <c r="AI177" s="20">
        <v>-157805</v>
      </c>
      <c r="AK177" s="19" t="s">
        <v>21</v>
      </c>
      <c r="AL177" s="20">
        <v>157805</v>
      </c>
      <c r="AM177" s="20">
        <v>0</v>
      </c>
      <c r="AN177" s="20">
        <v>0</v>
      </c>
      <c r="AO177" s="20">
        <v>0</v>
      </c>
      <c r="AP177" s="20">
        <v>157805</v>
      </c>
    </row>
    <row r="178" spans="2:42" x14ac:dyDescent="0.35">
      <c r="C178" s="2"/>
      <c r="D178" s="2"/>
      <c r="E178" s="2"/>
      <c r="F178" s="2"/>
      <c r="G178" s="2"/>
      <c r="AE178" s="2"/>
      <c r="AF178" s="2"/>
      <c r="AG178" s="2"/>
      <c r="AH178" s="2"/>
      <c r="AI178" s="2"/>
      <c r="AL178" s="2"/>
      <c r="AM178" s="2"/>
      <c r="AN178" s="2"/>
      <c r="AO178" s="2"/>
      <c r="AP178" s="2"/>
    </row>
    <row r="179" spans="2:42" x14ac:dyDescent="0.35">
      <c r="C179" s="2"/>
      <c r="D179" s="2"/>
      <c r="E179" s="2"/>
      <c r="F179" s="2"/>
      <c r="G179" s="2"/>
      <c r="AE179" s="2"/>
      <c r="AF179" s="2"/>
      <c r="AG179" s="2"/>
      <c r="AH179" s="2"/>
      <c r="AI179" s="2"/>
      <c r="AL179" s="2"/>
      <c r="AM179" s="2"/>
      <c r="AN179" s="2"/>
      <c r="AO179" s="2"/>
      <c r="AP179" s="2"/>
    </row>
    <row r="180" spans="2:42" x14ac:dyDescent="0.35">
      <c r="B180" t="s">
        <v>24</v>
      </c>
      <c r="C180" s="2">
        <v>0</v>
      </c>
      <c r="D180" s="2">
        <v>283856094</v>
      </c>
      <c r="E180" s="2">
        <v>0</v>
      </c>
      <c r="F180" s="2">
        <v>0</v>
      </c>
      <c r="G180" s="2">
        <v>283856094</v>
      </c>
      <c r="AD180" t="s">
        <v>24</v>
      </c>
      <c r="AE180" s="2">
        <v>0</v>
      </c>
      <c r="AF180" s="2">
        <v>202916573</v>
      </c>
      <c r="AG180" s="2">
        <v>0</v>
      </c>
      <c r="AH180" s="2">
        <v>0</v>
      </c>
      <c r="AI180" s="2">
        <v>202916573</v>
      </c>
      <c r="AK180" t="s">
        <v>24</v>
      </c>
      <c r="AL180" s="2">
        <v>0</v>
      </c>
      <c r="AM180" s="2">
        <v>80939521</v>
      </c>
      <c r="AN180" s="2">
        <v>0</v>
      </c>
      <c r="AO180" s="2">
        <v>0</v>
      </c>
      <c r="AP180" s="2">
        <v>80939521</v>
      </c>
    </row>
    <row r="181" spans="2:42" x14ac:dyDescent="0.35">
      <c r="B181" t="s">
        <v>25</v>
      </c>
      <c r="C181" s="2">
        <v>0</v>
      </c>
      <c r="D181" s="2">
        <v>-49818883</v>
      </c>
      <c r="E181" s="2">
        <v>0</v>
      </c>
      <c r="F181" s="2">
        <v>0</v>
      </c>
      <c r="G181" s="2">
        <v>-49818883</v>
      </c>
      <c r="AD181" t="s">
        <v>25</v>
      </c>
      <c r="AE181" s="2">
        <v>0</v>
      </c>
      <c r="AF181" s="2">
        <v>-36143060</v>
      </c>
      <c r="AG181" s="2">
        <v>0</v>
      </c>
      <c r="AH181" s="2">
        <v>0</v>
      </c>
      <c r="AI181" s="2">
        <v>-36143060</v>
      </c>
      <c r="AK181" t="s">
        <v>25</v>
      </c>
      <c r="AL181" s="2">
        <v>0</v>
      </c>
      <c r="AM181" s="2">
        <v>-13675823</v>
      </c>
      <c r="AN181" s="2">
        <v>0</v>
      </c>
      <c r="AO181" s="2">
        <v>0</v>
      </c>
      <c r="AP181" s="2">
        <v>-13675823</v>
      </c>
    </row>
    <row r="182" spans="2:42" x14ac:dyDescent="0.35">
      <c r="B182" t="s">
        <v>26</v>
      </c>
      <c r="C182" s="2">
        <v>0</v>
      </c>
      <c r="D182" s="2">
        <v>-73108785</v>
      </c>
      <c r="E182" s="2">
        <v>0</v>
      </c>
      <c r="F182" s="2">
        <v>0</v>
      </c>
      <c r="G182" s="2">
        <v>-73108785</v>
      </c>
      <c r="AD182" t="s">
        <v>26</v>
      </c>
      <c r="AE182" s="2">
        <v>0</v>
      </c>
      <c r="AF182" s="2">
        <v>-52937000</v>
      </c>
      <c r="AG182" s="2">
        <v>0</v>
      </c>
      <c r="AH182" s="2">
        <v>0</v>
      </c>
      <c r="AI182" s="2">
        <v>-52937000</v>
      </c>
      <c r="AK182" t="s">
        <v>26</v>
      </c>
      <c r="AL182" s="2">
        <v>0</v>
      </c>
      <c r="AM182" s="2">
        <v>-20171785</v>
      </c>
      <c r="AN182" s="2">
        <v>0</v>
      </c>
      <c r="AO182" s="2">
        <v>0</v>
      </c>
      <c r="AP182" s="2">
        <v>-20171785</v>
      </c>
    </row>
    <row r="183" spans="2:42" x14ac:dyDescent="0.35">
      <c r="B183" s="19" t="s">
        <v>101</v>
      </c>
      <c r="C183" s="20">
        <v>0</v>
      </c>
      <c r="D183" s="20">
        <v>160928426</v>
      </c>
      <c r="E183" s="20">
        <v>0</v>
      </c>
      <c r="F183" s="20">
        <v>0</v>
      </c>
      <c r="G183" s="20">
        <v>160928426</v>
      </c>
      <c r="AD183" s="19" t="s">
        <v>152</v>
      </c>
      <c r="AE183" s="20">
        <v>0</v>
      </c>
      <c r="AF183" s="20">
        <v>113836513</v>
      </c>
      <c r="AG183" s="20">
        <v>0</v>
      </c>
      <c r="AH183" s="20">
        <v>0</v>
      </c>
      <c r="AI183" s="20">
        <v>113836513</v>
      </c>
      <c r="AK183" s="19" t="s">
        <v>152</v>
      </c>
      <c r="AL183" s="20">
        <v>0</v>
      </c>
      <c r="AM183" s="20">
        <v>47091913</v>
      </c>
      <c r="AN183" s="20">
        <v>0</v>
      </c>
      <c r="AO183" s="20">
        <v>0</v>
      </c>
      <c r="AP183" s="20">
        <v>47091913</v>
      </c>
    </row>
    <row r="184" spans="2:42" x14ac:dyDescent="0.35">
      <c r="C184" s="2"/>
      <c r="D184" s="2"/>
      <c r="E184" s="2"/>
      <c r="F184" s="2"/>
      <c r="G184" s="2"/>
      <c r="AE184" s="2"/>
      <c r="AF184" s="2"/>
      <c r="AG184" s="2"/>
      <c r="AH184" s="2"/>
      <c r="AI184" s="2"/>
      <c r="AL184" s="2"/>
      <c r="AM184" s="2"/>
      <c r="AN184" s="2"/>
      <c r="AO184" s="2"/>
      <c r="AP184" s="2"/>
    </row>
    <row r="185" spans="2:42" x14ac:dyDescent="0.35">
      <c r="C185" s="2"/>
      <c r="D185" s="2"/>
      <c r="E185" s="2"/>
      <c r="F185" s="2"/>
      <c r="G185" s="2"/>
      <c r="AE185" s="2"/>
      <c r="AF185" s="2"/>
      <c r="AG185" s="2"/>
      <c r="AH185" s="2"/>
      <c r="AI185" s="2"/>
      <c r="AL185" s="2"/>
      <c r="AM185" s="2"/>
      <c r="AN185" s="2"/>
      <c r="AO185" s="2"/>
      <c r="AP185" s="2"/>
    </row>
    <row r="186" spans="2:42" x14ac:dyDescent="0.35">
      <c r="B186" t="s">
        <v>27</v>
      </c>
      <c r="C186" s="2">
        <v>0</v>
      </c>
      <c r="D186" s="2">
        <v>-90519443</v>
      </c>
      <c r="E186" s="2">
        <v>0</v>
      </c>
      <c r="F186" s="2">
        <v>0</v>
      </c>
      <c r="G186" s="2">
        <v>-90519443</v>
      </c>
      <c r="AD186" t="s">
        <v>27</v>
      </c>
      <c r="AE186" s="2">
        <v>0</v>
      </c>
      <c r="AF186" s="2">
        <v>-55355783</v>
      </c>
      <c r="AG186" s="2">
        <v>0</v>
      </c>
      <c r="AH186" s="2">
        <v>0</v>
      </c>
      <c r="AI186" s="2">
        <v>-55355783</v>
      </c>
      <c r="AK186" t="s">
        <v>27</v>
      </c>
      <c r="AL186" s="2">
        <v>0</v>
      </c>
      <c r="AM186" s="2">
        <v>-35163660</v>
      </c>
      <c r="AN186" s="2">
        <v>0</v>
      </c>
      <c r="AO186" s="2">
        <v>0</v>
      </c>
      <c r="AP186" s="2">
        <v>-35163660</v>
      </c>
    </row>
    <row r="187" spans="2:42" x14ac:dyDescent="0.35">
      <c r="B187" t="s">
        <v>28</v>
      </c>
      <c r="C187" s="2">
        <v>0</v>
      </c>
      <c r="D187" s="2">
        <v>-61773299</v>
      </c>
      <c r="E187" s="2">
        <v>0</v>
      </c>
      <c r="F187" s="2">
        <v>0</v>
      </c>
      <c r="G187" s="2">
        <v>-61773299</v>
      </c>
      <c r="AD187" t="s">
        <v>28</v>
      </c>
      <c r="AE187" s="2">
        <v>0</v>
      </c>
      <c r="AF187" s="2">
        <v>-44073599</v>
      </c>
      <c r="AG187" s="2">
        <v>0</v>
      </c>
      <c r="AH187" s="2">
        <v>0</v>
      </c>
      <c r="AI187" s="2">
        <v>-44073599</v>
      </c>
      <c r="AK187" t="s">
        <v>28</v>
      </c>
      <c r="AL187" s="2">
        <v>0</v>
      </c>
      <c r="AM187" s="2">
        <v>-17699700</v>
      </c>
      <c r="AN187" s="2">
        <v>0</v>
      </c>
      <c r="AO187" s="2">
        <v>0</v>
      </c>
      <c r="AP187" s="2">
        <v>-17699700</v>
      </c>
    </row>
    <row r="188" spans="2:42" x14ac:dyDescent="0.35">
      <c r="B188" t="s">
        <v>29</v>
      </c>
      <c r="C188" s="2">
        <v>0</v>
      </c>
      <c r="D188" s="2">
        <v>4617952</v>
      </c>
      <c r="E188" s="2">
        <v>0</v>
      </c>
      <c r="F188" s="2">
        <v>0</v>
      </c>
      <c r="G188" s="2">
        <v>4617952</v>
      </c>
      <c r="AD188" t="s">
        <v>29</v>
      </c>
      <c r="AE188" s="2">
        <v>0</v>
      </c>
      <c r="AF188" s="2">
        <v>3191380</v>
      </c>
      <c r="AG188" s="2">
        <v>0</v>
      </c>
      <c r="AH188" s="2">
        <v>0</v>
      </c>
      <c r="AI188" s="2">
        <v>3191380</v>
      </c>
      <c r="AK188" t="s">
        <v>29</v>
      </c>
      <c r="AL188" s="2">
        <v>0</v>
      </c>
      <c r="AM188" s="2">
        <v>1426572</v>
      </c>
      <c r="AN188" s="2">
        <v>0</v>
      </c>
      <c r="AO188" s="2">
        <v>0</v>
      </c>
      <c r="AP188" s="2">
        <v>1426572</v>
      </c>
    </row>
    <row r="189" spans="2:42" x14ac:dyDescent="0.35">
      <c r="B189" t="s">
        <v>30</v>
      </c>
      <c r="C189" s="2">
        <v>0</v>
      </c>
      <c r="D189" s="2">
        <v>-1639695</v>
      </c>
      <c r="E189" s="2">
        <v>0</v>
      </c>
      <c r="F189" s="2">
        <v>0</v>
      </c>
      <c r="G189" s="2">
        <v>-1639695</v>
      </c>
      <c r="AD189" t="s">
        <v>30</v>
      </c>
      <c r="AE189" s="2">
        <v>0</v>
      </c>
      <c r="AF189" s="2">
        <v>-1201335</v>
      </c>
      <c r="AG189" s="2">
        <v>0</v>
      </c>
      <c r="AH189" s="2">
        <v>0</v>
      </c>
      <c r="AI189" s="2">
        <v>-1201335</v>
      </c>
      <c r="AK189" t="s">
        <v>30</v>
      </c>
      <c r="AL189" s="2">
        <v>0</v>
      </c>
      <c r="AM189" s="2">
        <v>-438360</v>
      </c>
      <c r="AN189" s="2">
        <v>0</v>
      </c>
      <c r="AO189" s="2">
        <v>0</v>
      </c>
      <c r="AP189" s="2">
        <v>-438360</v>
      </c>
    </row>
    <row r="190" spans="2:42" x14ac:dyDescent="0.35">
      <c r="B190" s="19" t="s">
        <v>90</v>
      </c>
      <c r="C190" s="20">
        <v>0</v>
      </c>
      <c r="D190" s="20">
        <v>-149314485</v>
      </c>
      <c r="E190" s="20">
        <v>0</v>
      </c>
      <c r="F190" s="20">
        <v>0</v>
      </c>
      <c r="G190" s="20">
        <v>-149314485</v>
      </c>
      <c r="AD190" s="19" t="s">
        <v>90</v>
      </c>
      <c r="AE190" s="20">
        <v>0</v>
      </c>
      <c r="AF190" s="20">
        <v>-97439337</v>
      </c>
      <c r="AG190" s="20">
        <v>0</v>
      </c>
      <c r="AH190" s="20">
        <v>0</v>
      </c>
      <c r="AI190" s="20">
        <v>-97439337</v>
      </c>
      <c r="AK190" s="19" t="s">
        <v>90</v>
      </c>
      <c r="AL190" s="20">
        <v>0</v>
      </c>
      <c r="AM190" s="20">
        <v>-51875148</v>
      </c>
      <c r="AN190" s="20">
        <v>0</v>
      </c>
      <c r="AO190" s="20">
        <v>0</v>
      </c>
      <c r="AP190" s="20">
        <v>-51875148</v>
      </c>
    </row>
    <row r="191" spans="2:42" x14ac:dyDescent="0.35">
      <c r="C191" s="2"/>
      <c r="D191" s="2"/>
      <c r="E191" s="2"/>
      <c r="F191" s="2"/>
      <c r="G191" s="2"/>
      <c r="AE191" s="2"/>
      <c r="AF191" s="2"/>
      <c r="AG191" s="2"/>
      <c r="AH191" s="2"/>
      <c r="AI191" s="2"/>
      <c r="AL191" s="2"/>
      <c r="AM191" s="2"/>
      <c r="AN191" s="2"/>
      <c r="AO191" s="2"/>
      <c r="AP191" s="2"/>
    </row>
    <row r="192" spans="2:42" x14ac:dyDescent="0.35">
      <c r="C192" s="2"/>
      <c r="D192" s="2"/>
      <c r="E192" s="2"/>
      <c r="F192" s="2"/>
      <c r="G192" s="2"/>
      <c r="AE192" s="2"/>
      <c r="AF192" s="2"/>
      <c r="AG192" s="2"/>
      <c r="AH192" s="2"/>
      <c r="AI192" s="2"/>
      <c r="AL192" s="2"/>
      <c r="AM192" s="2"/>
      <c r="AN192" s="2"/>
      <c r="AO192" s="2"/>
      <c r="AP192" s="2"/>
    </row>
    <row r="193" spans="2:42" x14ac:dyDescent="0.35">
      <c r="B193" s="16" t="s">
        <v>89</v>
      </c>
      <c r="C193" s="23">
        <v>0</v>
      </c>
      <c r="D193" s="23">
        <v>34172341</v>
      </c>
      <c r="E193" s="23">
        <v>2094778</v>
      </c>
      <c r="F193" s="23">
        <v>0</v>
      </c>
      <c r="G193" s="23">
        <v>36267119</v>
      </c>
      <c r="AD193" s="16" t="s">
        <v>89</v>
      </c>
      <c r="AE193" s="23">
        <v>0</v>
      </c>
      <c r="AF193" s="23">
        <v>24230861</v>
      </c>
      <c r="AG193" s="23">
        <v>1553680</v>
      </c>
      <c r="AH193" s="23">
        <v>0</v>
      </c>
      <c r="AI193" s="23">
        <v>25784541</v>
      </c>
      <c r="AK193" s="16" t="s">
        <v>89</v>
      </c>
      <c r="AL193" s="23">
        <v>0</v>
      </c>
      <c r="AM193" s="23">
        <v>9941480</v>
      </c>
      <c r="AN193" s="23">
        <v>541098</v>
      </c>
      <c r="AO193" s="23">
        <v>0</v>
      </c>
      <c r="AP193" s="23">
        <v>10482578</v>
      </c>
    </row>
    <row r="194" spans="2:42" x14ac:dyDescent="0.35">
      <c r="C194" s="2"/>
      <c r="D194" s="2"/>
      <c r="E194" s="2"/>
      <c r="F194" s="2"/>
      <c r="G194" s="2"/>
      <c r="AE194" s="2"/>
      <c r="AF194" s="2"/>
      <c r="AG194" s="2"/>
      <c r="AH194" s="2"/>
      <c r="AI194" s="2"/>
      <c r="AL194" s="2"/>
      <c r="AM194" s="2"/>
      <c r="AN194" s="2"/>
      <c r="AO194" s="2"/>
      <c r="AP194" s="2"/>
    </row>
    <row r="195" spans="2:42" x14ac:dyDescent="0.35">
      <c r="C195" s="2"/>
      <c r="D195" s="2"/>
      <c r="E195" s="2"/>
      <c r="F195" s="2"/>
      <c r="G195" s="2"/>
    </row>
    <row r="196" spans="2:42" x14ac:dyDescent="0.35">
      <c r="C196" s="2"/>
      <c r="D196" s="2"/>
      <c r="E196" s="2"/>
      <c r="F196" s="2"/>
      <c r="G196" s="2"/>
    </row>
    <row r="197" spans="2:42" x14ac:dyDescent="0.35">
      <c r="B197" t="s">
        <v>31</v>
      </c>
      <c r="C197" s="2">
        <v>0</v>
      </c>
      <c r="D197" s="2">
        <v>486739</v>
      </c>
      <c r="E197" s="2">
        <v>29406806</v>
      </c>
      <c r="F197" s="2">
        <v>0</v>
      </c>
      <c r="G197" s="2">
        <v>29893545</v>
      </c>
      <c r="AD197" t="s">
        <v>31</v>
      </c>
      <c r="AE197" s="2">
        <v>0</v>
      </c>
      <c r="AF197" s="2">
        <v>-118565</v>
      </c>
      <c r="AG197" s="2">
        <v>22227966</v>
      </c>
      <c r="AH197" s="2">
        <v>0</v>
      </c>
      <c r="AI197" s="2">
        <v>22109401</v>
      </c>
      <c r="AK197" t="s">
        <v>31</v>
      </c>
      <c r="AL197" s="2">
        <v>0</v>
      </c>
      <c r="AM197" s="2">
        <v>605304</v>
      </c>
      <c r="AN197" s="2">
        <v>7178840</v>
      </c>
      <c r="AO197" s="2">
        <v>0</v>
      </c>
      <c r="AP197" s="2">
        <v>7784144</v>
      </c>
    </row>
    <row r="198" spans="2:42" x14ac:dyDescent="0.35">
      <c r="B198" t="s">
        <v>32</v>
      </c>
      <c r="C198" s="2">
        <v>0</v>
      </c>
      <c r="D198" s="2">
        <v>0</v>
      </c>
      <c r="E198" s="2">
        <v>-2792294</v>
      </c>
      <c r="F198" s="2">
        <v>0</v>
      </c>
      <c r="G198" s="2">
        <v>-2792294</v>
      </c>
      <c r="AD198" t="s">
        <v>32</v>
      </c>
      <c r="AE198" s="2">
        <v>0</v>
      </c>
      <c r="AF198" s="2">
        <v>0</v>
      </c>
      <c r="AG198" s="2">
        <v>-2301498</v>
      </c>
      <c r="AH198" s="2">
        <v>0</v>
      </c>
      <c r="AI198" s="2">
        <v>-2301498</v>
      </c>
      <c r="AK198" t="s">
        <v>32</v>
      </c>
      <c r="AL198" s="2">
        <v>0</v>
      </c>
      <c r="AM198" s="2">
        <v>0</v>
      </c>
      <c r="AN198" s="2">
        <v>-490796</v>
      </c>
      <c r="AO198" s="2">
        <v>0</v>
      </c>
      <c r="AP198" s="2">
        <v>-490796</v>
      </c>
    </row>
    <row r="199" spans="2:42" x14ac:dyDescent="0.35">
      <c r="B199" s="19" t="s">
        <v>33</v>
      </c>
      <c r="C199" s="20">
        <v>0</v>
      </c>
      <c r="D199" s="20">
        <v>486739</v>
      </c>
      <c r="E199" s="20">
        <v>26614512</v>
      </c>
      <c r="F199" s="20">
        <v>0</v>
      </c>
      <c r="G199" s="20">
        <v>27101251</v>
      </c>
      <c r="AD199" s="25" t="s">
        <v>33</v>
      </c>
      <c r="AE199" s="20">
        <v>0</v>
      </c>
      <c r="AF199" s="20">
        <v>-118565</v>
      </c>
      <c r="AG199" s="20">
        <v>19926468</v>
      </c>
      <c r="AH199" s="20">
        <v>0</v>
      </c>
      <c r="AI199" s="20">
        <v>19807903</v>
      </c>
      <c r="AK199" s="25" t="s">
        <v>33</v>
      </c>
      <c r="AL199" s="20">
        <v>0</v>
      </c>
      <c r="AM199" s="20">
        <v>605304</v>
      </c>
      <c r="AN199" s="20">
        <v>6688044</v>
      </c>
      <c r="AO199" s="20">
        <v>0</v>
      </c>
      <c r="AP199" s="20">
        <v>7293348</v>
      </c>
    </row>
    <row r="200" spans="2:42" x14ac:dyDescent="0.35">
      <c r="C200" s="2"/>
      <c r="D200" s="2"/>
      <c r="E200" s="2"/>
      <c r="F200" s="2"/>
      <c r="G200" s="2"/>
      <c r="AE200" s="2"/>
      <c r="AF200" s="2"/>
      <c r="AG200" s="2"/>
      <c r="AH200" s="2"/>
      <c r="AI200" s="2"/>
      <c r="AL200" s="2"/>
      <c r="AM200" s="2"/>
      <c r="AN200" s="2"/>
      <c r="AO200" s="2"/>
      <c r="AP200" s="2"/>
    </row>
    <row r="201" spans="2:42" x14ac:dyDescent="0.35">
      <c r="C201" s="2"/>
      <c r="D201" s="2"/>
      <c r="E201" s="2"/>
      <c r="F201" s="2"/>
      <c r="G201" s="2"/>
      <c r="AE201" s="2"/>
      <c r="AF201" s="2"/>
      <c r="AG201" s="2"/>
      <c r="AH201" s="2"/>
      <c r="AI201" s="2"/>
      <c r="AL201" s="2"/>
      <c r="AM201" s="2"/>
      <c r="AN201" s="2"/>
      <c r="AO201" s="2"/>
      <c r="AP201" s="2"/>
    </row>
    <row r="202" spans="2:42" x14ac:dyDescent="0.35">
      <c r="B202" t="s">
        <v>35</v>
      </c>
      <c r="C202" s="2">
        <v>1403574.76</v>
      </c>
      <c r="D202" s="2">
        <v>0</v>
      </c>
      <c r="E202" s="2">
        <v>0</v>
      </c>
      <c r="F202" s="2">
        <v>0</v>
      </c>
      <c r="G202" s="2">
        <v>1403574.76</v>
      </c>
      <c r="AD202" t="s">
        <v>35</v>
      </c>
      <c r="AE202" s="2">
        <v>1093614.6499999999</v>
      </c>
      <c r="AF202" s="2">
        <v>0</v>
      </c>
      <c r="AG202" s="2">
        <v>0</v>
      </c>
      <c r="AH202" s="2">
        <v>0</v>
      </c>
      <c r="AI202" s="2">
        <v>1093614.6499999999</v>
      </c>
      <c r="AK202" t="s">
        <v>35</v>
      </c>
      <c r="AL202" s="2">
        <v>309960.1100000001</v>
      </c>
      <c r="AM202" s="2">
        <v>0</v>
      </c>
      <c r="AN202" s="2">
        <v>0</v>
      </c>
      <c r="AO202" s="2">
        <v>0</v>
      </c>
      <c r="AP202" s="2">
        <v>309960.1100000001</v>
      </c>
    </row>
    <row r="203" spans="2:42" x14ac:dyDescent="0.35">
      <c r="B203" t="s">
        <v>36</v>
      </c>
      <c r="C203" s="2">
        <v>-8195480.4500000002</v>
      </c>
      <c r="D203" s="2">
        <v>0</v>
      </c>
      <c r="E203" s="2">
        <v>0</v>
      </c>
      <c r="F203" s="2">
        <v>0</v>
      </c>
      <c r="G203" s="2">
        <v>-8195480.4500000002</v>
      </c>
      <c r="AD203" t="s">
        <v>36</v>
      </c>
      <c r="AE203" s="2">
        <v>-6422689</v>
      </c>
      <c r="AF203" s="2">
        <v>0</v>
      </c>
      <c r="AG203" s="2">
        <v>0</v>
      </c>
      <c r="AH203" s="2">
        <v>0</v>
      </c>
      <c r="AI203" s="2">
        <v>-6422689</v>
      </c>
      <c r="AK203" t="s">
        <v>36</v>
      </c>
      <c r="AL203" s="2">
        <v>-1772791.4500000002</v>
      </c>
      <c r="AM203" s="2">
        <v>0</v>
      </c>
      <c r="AN203" s="2">
        <v>0</v>
      </c>
      <c r="AO203" s="2">
        <v>0</v>
      </c>
      <c r="AP203" s="2">
        <v>-1772791.4500000002</v>
      </c>
    </row>
    <row r="204" spans="2:42" x14ac:dyDescent="0.35">
      <c r="B204" s="19" t="s">
        <v>37</v>
      </c>
      <c r="C204" s="20">
        <v>-6791905.6900000004</v>
      </c>
      <c r="D204" s="20">
        <v>0</v>
      </c>
      <c r="E204" s="20">
        <v>0</v>
      </c>
      <c r="F204" s="20">
        <v>0</v>
      </c>
      <c r="G204" s="20">
        <v>-6791905.6900000004</v>
      </c>
      <c r="AD204" s="25" t="s">
        <v>37</v>
      </c>
      <c r="AE204" s="20">
        <v>-5329074.3499999996</v>
      </c>
      <c r="AF204" s="20">
        <v>0</v>
      </c>
      <c r="AG204" s="20">
        <v>0</v>
      </c>
      <c r="AH204" s="20">
        <v>0</v>
      </c>
      <c r="AI204" s="20">
        <v>-5329074.3499999996</v>
      </c>
      <c r="AK204" s="25" t="s">
        <v>37</v>
      </c>
      <c r="AL204" s="20">
        <v>-1462831.34</v>
      </c>
      <c r="AM204" s="20">
        <v>0</v>
      </c>
      <c r="AN204" s="20">
        <v>0</v>
      </c>
      <c r="AO204" s="20">
        <v>0</v>
      </c>
      <c r="AP204" s="20">
        <v>-1462831.34</v>
      </c>
    </row>
    <row r="205" spans="2:42" x14ac:dyDescent="0.35">
      <c r="C205" s="2"/>
      <c r="D205" s="2"/>
      <c r="E205" s="2"/>
      <c r="F205" s="2"/>
      <c r="G205" s="2"/>
      <c r="AE205" s="2"/>
      <c r="AF205" s="2"/>
      <c r="AG205" s="2"/>
      <c r="AH205" s="2"/>
      <c r="AI205" s="2"/>
      <c r="AL205" s="2"/>
      <c r="AM205" s="2"/>
      <c r="AN205" s="2"/>
      <c r="AO205" s="2"/>
      <c r="AP205" s="2"/>
    </row>
    <row r="206" spans="2:42" x14ac:dyDescent="0.35">
      <c r="C206" s="2"/>
      <c r="D206" s="2"/>
      <c r="E206" s="2"/>
      <c r="F206" s="2"/>
      <c r="G206" s="2"/>
      <c r="AE206" s="2"/>
      <c r="AF206" s="2"/>
      <c r="AG206" s="2"/>
      <c r="AH206" s="2"/>
      <c r="AI206" s="2"/>
      <c r="AL206" s="2"/>
      <c r="AM206" s="2"/>
      <c r="AN206" s="2"/>
      <c r="AO206" s="2"/>
      <c r="AP206" s="2"/>
    </row>
    <row r="207" spans="2:42" x14ac:dyDescent="0.35">
      <c r="B207" t="s">
        <v>47</v>
      </c>
      <c r="C207" s="2">
        <v>-20370246</v>
      </c>
      <c r="D207" s="2">
        <v>-1619967</v>
      </c>
      <c r="E207" s="2">
        <v>-534276</v>
      </c>
      <c r="F207" s="2">
        <v>0</v>
      </c>
      <c r="G207" s="2">
        <v>-22524489</v>
      </c>
      <c r="AD207" t="s">
        <v>38</v>
      </c>
      <c r="AE207" s="2">
        <v>-14925880</v>
      </c>
      <c r="AF207" s="2">
        <v>-967999</v>
      </c>
      <c r="AG207" s="2">
        <v>-396831</v>
      </c>
      <c r="AH207" s="2">
        <v>0</v>
      </c>
      <c r="AI207" s="2">
        <v>-16290710</v>
      </c>
      <c r="AK207" t="s">
        <v>38</v>
      </c>
      <c r="AL207" s="2">
        <v>-5444366</v>
      </c>
      <c r="AM207" s="2">
        <v>-651968</v>
      </c>
      <c r="AN207" s="2">
        <v>-137445</v>
      </c>
      <c r="AO207" s="2">
        <v>0</v>
      </c>
      <c r="AP207" s="2">
        <v>-6233779</v>
      </c>
    </row>
    <row r="208" spans="2:42" x14ac:dyDescent="0.35">
      <c r="B208" t="s">
        <v>78</v>
      </c>
      <c r="C208" s="2">
        <v>-220959186</v>
      </c>
      <c r="D208" s="2">
        <v>-32849290</v>
      </c>
      <c r="E208" s="2">
        <v>-6662850</v>
      </c>
      <c r="F208" s="2">
        <v>0</v>
      </c>
      <c r="G208" s="2">
        <v>-260471326</v>
      </c>
      <c r="AD208" t="s">
        <v>78</v>
      </c>
      <c r="AE208" s="2">
        <v>-157557121.56</v>
      </c>
      <c r="AF208" s="2">
        <v>-24102593</v>
      </c>
      <c r="AG208" s="2">
        <v>-4822202</v>
      </c>
      <c r="AH208" s="2">
        <v>0</v>
      </c>
      <c r="AI208" s="2">
        <v>-186481916.56</v>
      </c>
      <c r="AK208" t="s">
        <v>78</v>
      </c>
      <c r="AL208" s="2">
        <v>-63402064.439999998</v>
      </c>
      <c r="AM208" s="2">
        <v>-8746697</v>
      </c>
      <c r="AN208" s="2">
        <v>-1840648</v>
      </c>
      <c r="AO208" s="2">
        <v>0</v>
      </c>
      <c r="AP208" s="2">
        <v>-73989409.439999998</v>
      </c>
    </row>
    <row r="209" spans="2:42" x14ac:dyDescent="0.35">
      <c r="B209" t="s">
        <v>39</v>
      </c>
      <c r="C209" s="2">
        <v>-85663323.820000023</v>
      </c>
      <c r="D209" s="2">
        <v>-9645399</v>
      </c>
      <c r="E209" s="2">
        <v>-1492845</v>
      </c>
      <c r="F209" s="2">
        <v>0</v>
      </c>
      <c r="G209" s="2">
        <v>-96801567.820000023</v>
      </c>
      <c r="AD209" t="s">
        <v>39</v>
      </c>
      <c r="AE209" s="2">
        <v>-63076293.789920241</v>
      </c>
      <c r="AF209" s="2">
        <v>-6514374</v>
      </c>
      <c r="AG209" s="2">
        <v>-1113482</v>
      </c>
      <c r="AH209" s="2">
        <v>0</v>
      </c>
      <c r="AI209" s="2">
        <v>-70704149.789920241</v>
      </c>
      <c r="AK209" t="s">
        <v>39</v>
      </c>
      <c r="AL209" s="2">
        <v>-22587030.030079782</v>
      </c>
      <c r="AM209" s="2">
        <v>-3131025</v>
      </c>
      <c r="AN209" s="2">
        <v>-379363</v>
      </c>
      <c r="AO209" s="2">
        <v>0</v>
      </c>
      <c r="AP209" s="2">
        <v>-26097418.030079782</v>
      </c>
    </row>
    <row r="210" spans="2:42" x14ac:dyDescent="0.35">
      <c r="B210" t="s">
        <v>40</v>
      </c>
      <c r="C210" s="2">
        <v>-19915546</v>
      </c>
      <c r="D210" s="2">
        <v>-407745</v>
      </c>
      <c r="E210" s="2">
        <v>-327280</v>
      </c>
      <c r="F210" s="2">
        <v>0</v>
      </c>
      <c r="G210" s="2">
        <v>-20650571</v>
      </c>
      <c r="AD210" t="s">
        <v>40</v>
      </c>
      <c r="AE210" s="2">
        <v>-9132564</v>
      </c>
      <c r="AF210" s="2">
        <v>-128927</v>
      </c>
      <c r="AG210" s="2">
        <v>-5040</v>
      </c>
      <c r="AH210" s="2">
        <v>0</v>
      </c>
      <c r="AI210" s="2">
        <v>-9266531</v>
      </c>
      <c r="AK210" t="s">
        <v>40</v>
      </c>
      <c r="AL210" s="2">
        <v>-10782982</v>
      </c>
      <c r="AM210" s="2">
        <v>-278818</v>
      </c>
      <c r="AN210" s="2">
        <v>-322240</v>
      </c>
      <c r="AO210" s="2">
        <v>0</v>
      </c>
      <c r="AP210" s="2">
        <v>-11384040</v>
      </c>
    </row>
    <row r="211" spans="2:42" x14ac:dyDescent="0.35">
      <c r="B211" t="s">
        <v>41</v>
      </c>
      <c r="C211" s="2">
        <v>-1315602</v>
      </c>
      <c r="D211" s="2">
        <v>0</v>
      </c>
      <c r="E211" s="2">
        <v>0</v>
      </c>
      <c r="F211" s="2">
        <v>0</v>
      </c>
      <c r="G211" s="2">
        <v>-1315602</v>
      </c>
      <c r="AD211" t="s">
        <v>41</v>
      </c>
      <c r="AE211" s="2">
        <v>-1415126</v>
      </c>
      <c r="AF211" s="2">
        <v>0</v>
      </c>
      <c r="AG211" s="2">
        <v>0</v>
      </c>
      <c r="AH211" s="2">
        <v>0</v>
      </c>
      <c r="AI211" s="2">
        <v>-1415126</v>
      </c>
      <c r="AK211" t="s">
        <v>41</v>
      </c>
      <c r="AL211" s="2">
        <v>99524</v>
      </c>
      <c r="AM211" s="2">
        <v>0</v>
      </c>
      <c r="AN211" s="2">
        <v>0</v>
      </c>
      <c r="AO211" s="2">
        <v>0</v>
      </c>
      <c r="AP211" s="2">
        <v>99524</v>
      </c>
    </row>
    <row r="212" spans="2:42" x14ac:dyDescent="0.35">
      <c r="B212" t="s">
        <v>42</v>
      </c>
      <c r="C212" s="2">
        <v>-40047</v>
      </c>
      <c r="D212" s="2">
        <v>0</v>
      </c>
      <c r="E212" s="2">
        <v>0</v>
      </c>
      <c r="F212" s="2">
        <v>0</v>
      </c>
      <c r="G212" s="2">
        <v>-40047</v>
      </c>
      <c r="AD212" t="s">
        <v>42</v>
      </c>
      <c r="AE212" s="2">
        <v>-40047</v>
      </c>
      <c r="AF212" s="2">
        <v>0</v>
      </c>
      <c r="AG212" s="2">
        <v>0</v>
      </c>
      <c r="AH212" s="2">
        <v>0</v>
      </c>
      <c r="AI212" s="2">
        <v>-40047</v>
      </c>
      <c r="AK212" t="s">
        <v>42</v>
      </c>
      <c r="AL212" s="2">
        <v>0</v>
      </c>
      <c r="AM212" s="2">
        <v>0</v>
      </c>
      <c r="AN212" s="2">
        <v>0</v>
      </c>
      <c r="AO212" s="2">
        <v>0</v>
      </c>
      <c r="AP212" s="2">
        <v>0</v>
      </c>
    </row>
    <row r="213" spans="2:42" x14ac:dyDescent="0.35">
      <c r="B213" t="s">
        <v>4</v>
      </c>
      <c r="C213" s="2">
        <v>-28771</v>
      </c>
      <c r="D213" s="2">
        <v>-53561</v>
      </c>
      <c r="E213" s="2">
        <v>0</v>
      </c>
      <c r="F213" s="2">
        <v>0</v>
      </c>
      <c r="G213" s="2">
        <v>-82332</v>
      </c>
      <c r="AD213" t="s">
        <v>4</v>
      </c>
      <c r="AE213" s="2">
        <v>-29298</v>
      </c>
      <c r="AF213" s="2">
        <v>-120076</v>
      </c>
      <c r="AG213" s="2">
        <v>0</v>
      </c>
      <c r="AH213" s="2">
        <v>0</v>
      </c>
      <c r="AI213" s="2">
        <v>-149374</v>
      </c>
      <c r="AK213" t="s">
        <v>4</v>
      </c>
      <c r="AL213" s="2">
        <v>527</v>
      </c>
      <c r="AM213" s="2">
        <v>66515</v>
      </c>
      <c r="AN213" s="2">
        <v>0</v>
      </c>
      <c r="AO213" s="2">
        <v>0</v>
      </c>
      <c r="AP213" s="2">
        <v>67042</v>
      </c>
    </row>
    <row r="214" spans="2:42" x14ac:dyDescent="0.35">
      <c r="B214" t="s">
        <v>5</v>
      </c>
      <c r="C214" s="2">
        <v>-578000</v>
      </c>
      <c r="D214" s="2">
        <v>0</v>
      </c>
      <c r="E214" s="2">
        <v>0</v>
      </c>
      <c r="F214" s="2">
        <v>0</v>
      </c>
      <c r="G214" s="2">
        <v>-578000</v>
      </c>
      <c r="AD214" t="s">
        <v>5</v>
      </c>
      <c r="AE214" s="2">
        <v>-403000</v>
      </c>
      <c r="AF214" s="2">
        <v>0</v>
      </c>
      <c r="AG214" s="2">
        <v>0</v>
      </c>
      <c r="AH214" s="2">
        <v>0</v>
      </c>
      <c r="AI214" s="2">
        <v>-403000</v>
      </c>
      <c r="AK214" t="s">
        <v>5</v>
      </c>
      <c r="AL214" s="2">
        <v>-175000</v>
      </c>
      <c r="AM214" s="2">
        <v>0</v>
      </c>
      <c r="AN214" s="2">
        <v>0</v>
      </c>
      <c r="AO214" s="2">
        <v>0</v>
      </c>
      <c r="AP214" s="2">
        <v>-175000</v>
      </c>
    </row>
    <row r="215" spans="2:42" x14ac:dyDescent="0.35">
      <c r="B215" t="s">
        <v>182</v>
      </c>
      <c r="C215" s="2">
        <v>-12534517.439999999</v>
      </c>
      <c r="D215" s="2">
        <v>-258104.1503327</v>
      </c>
      <c r="E215" s="2">
        <v>2554400</v>
      </c>
      <c r="F215" s="2">
        <v>0</v>
      </c>
      <c r="G215" s="2">
        <v>-10238221.5903327</v>
      </c>
      <c r="AD215" t="s">
        <v>182</v>
      </c>
      <c r="AE215" s="2">
        <v>-30413564.949999999</v>
      </c>
      <c r="AF215" s="2">
        <v>-787914.05064699997</v>
      </c>
      <c r="AG215" s="2">
        <v>0</v>
      </c>
      <c r="AH215" s="2">
        <v>0</v>
      </c>
      <c r="AI215" s="2">
        <v>-31201479.000647001</v>
      </c>
      <c r="AK215" t="s">
        <v>182</v>
      </c>
      <c r="AL215" s="2">
        <v>17879047.509999998</v>
      </c>
      <c r="AM215" s="2">
        <v>529809.90031429997</v>
      </c>
      <c r="AN215" s="2">
        <v>2554400</v>
      </c>
      <c r="AO215" s="2">
        <v>0</v>
      </c>
      <c r="AP215" s="2">
        <v>20963257.410314299</v>
      </c>
    </row>
    <row r="216" spans="2:42" x14ac:dyDescent="0.35">
      <c r="B216" s="19" t="s">
        <v>11</v>
      </c>
      <c r="C216" s="20">
        <v>-361405239.26000005</v>
      </c>
      <c r="D216" s="20">
        <v>-44834066.150332697</v>
      </c>
      <c r="E216" s="20">
        <v>-6462851</v>
      </c>
      <c r="F216" s="20">
        <v>0</v>
      </c>
      <c r="G216" s="20">
        <v>-412702156.41033274</v>
      </c>
      <c r="AD216" s="19" t="s">
        <v>11</v>
      </c>
      <c r="AE216" s="20">
        <v>-276992895.29992026</v>
      </c>
      <c r="AF216" s="20">
        <v>-32621883.050647002</v>
      </c>
      <c r="AG216" s="20">
        <v>-6337555</v>
      </c>
      <c r="AH216" s="20">
        <v>0</v>
      </c>
      <c r="AI216" s="20">
        <v>-315952333.35056728</v>
      </c>
      <c r="AK216" s="19" t="s">
        <v>11</v>
      </c>
      <c r="AL216" s="20">
        <v>-84412343.960079789</v>
      </c>
      <c r="AM216" s="20">
        <v>-12212183.099685701</v>
      </c>
      <c r="AN216" s="20">
        <v>-125296</v>
      </c>
      <c r="AO216" s="20">
        <v>0</v>
      </c>
      <c r="AP216" s="20">
        <v>-96749823.059765488</v>
      </c>
    </row>
    <row r="217" spans="2:42" x14ac:dyDescent="0.35">
      <c r="C217" s="2"/>
      <c r="D217" s="2"/>
      <c r="E217" s="2"/>
      <c r="F217" s="2"/>
      <c r="G217" s="2"/>
      <c r="AE217" s="2"/>
      <c r="AF217" s="2"/>
      <c r="AG217" s="2"/>
      <c r="AH217" s="2"/>
      <c r="AI217" s="2"/>
      <c r="AL217" s="2"/>
      <c r="AM217" s="2"/>
      <c r="AN217" s="2"/>
      <c r="AO217" s="2"/>
      <c r="AP217" s="2"/>
    </row>
    <row r="218" spans="2:42" x14ac:dyDescent="0.35">
      <c r="C218" s="2"/>
      <c r="D218" s="2"/>
      <c r="E218" s="2"/>
      <c r="F218" s="2"/>
      <c r="G218" s="2"/>
      <c r="AE218" s="2"/>
      <c r="AF218" s="2"/>
      <c r="AG218" s="2"/>
      <c r="AH218" s="2"/>
      <c r="AI218" s="2"/>
      <c r="AL218" s="2"/>
      <c r="AM218" s="2"/>
      <c r="AN218" s="2"/>
      <c r="AO218" s="2"/>
      <c r="AP218" s="2"/>
    </row>
    <row r="219" spans="2:42" x14ac:dyDescent="0.35">
      <c r="B219" s="11" t="s">
        <v>43</v>
      </c>
      <c r="C219" s="4">
        <v>503352606.24669999</v>
      </c>
      <c r="D219" s="4">
        <v>1438954.8496673033</v>
      </c>
      <c r="E219" s="4">
        <v>22246439</v>
      </c>
      <c r="F219" s="4">
        <v>0</v>
      </c>
      <c r="G219" s="4">
        <v>527038000.0963673</v>
      </c>
      <c r="AD219" s="11" t="s">
        <v>43</v>
      </c>
      <c r="AE219" s="4">
        <v>277278780.53040832</v>
      </c>
      <c r="AF219" s="4">
        <v>7887588.9493529983</v>
      </c>
      <c r="AG219" s="4">
        <v>15142593</v>
      </c>
      <c r="AH219" s="4">
        <v>0</v>
      </c>
      <c r="AI219" s="4">
        <v>300308962.4797613</v>
      </c>
      <c r="AK219" s="11" t="s">
        <v>43</v>
      </c>
      <c r="AL219" s="4">
        <v>226073825.71629184</v>
      </c>
      <c r="AM219" s="4">
        <v>-6448634.0996857006</v>
      </c>
      <c r="AN219" s="4">
        <v>7103846</v>
      </c>
      <c r="AO219" s="4">
        <v>0</v>
      </c>
      <c r="AP219" s="4">
        <v>226729037.61660615</v>
      </c>
    </row>
    <row r="220" spans="2:42" x14ac:dyDescent="0.35">
      <c r="B220" t="s">
        <v>6</v>
      </c>
      <c r="C220" s="2">
        <v>-151055084.19</v>
      </c>
      <c r="D220" s="2">
        <v>-4048159</v>
      </c>
      <c r="E220" s="2">
        <v>-4523060</v>
      </c>
      <c r="F220" s="2">
        <v>0</v>
      </c>
      <c r="G220" s="2">
        <v>-159626303.19</v>
      </c>
      <c r="AD220" t="s">
        <v>6</v>
      </c>
      <c r="AE220" s="2">
        <v>-92259275.414285704</v>
      </c>
      <c r="AF220" s="2">
        <v>-2334250</v>
      </c>
      <c r="AG220" s="2">
        <v>-3472691</v>
      </c>
      <c r="AH220" s="2">
        <v>0</v>
      </c>
      <c r="AI220" s="2">
        <v>-98066216.414285704</v>
      </c>
      <c r="AK220" t="s">
        <v>6</v>
      </c>
      <c r="AL220" s="2">
        <v>-58795808.775714293</v>
      </c>
      <c r="AM220" s="2">
        <v>-1713909</v>
      </c>
      <c r="AN220" s="2">
        <v>-1050369</v>
      </c>
      <c r="AO220" s="2">
        <v>0</v>
      </c>
      <c r="AP220" s="2">
        <v>-61560086.775714293</v>
      </c>
    </row>
    <row r="221" spans="2:42" x14ac:dyDescent="0.35">
      <c r="B221" s="11" t="s">
        <v>7</v>
      </c>
      <c r="C221" s="4">
        <v>352297522.05669999</v>
      </c>
      <c r="D221" s="4">
        <v>-2609204.1503326967</v>
      </c>
      <c r="E221" s="4">
        <v>17723379</v>
      </c>
      <c r="F221" s="4">
        <v>0</v>
      </c>
      <c r="G221" s="4">
        <v>367411696.9063673</v>
      </c>
      <c r="AD221" s="11" t="s">
        <v>7</v>
      </c>
      <c r="AE221" s="4">
        <v>185019505.1161226</v>
      </c>
      <c r="AF221" s="4">
        <v>5553338.9493529983</v>
      </c>
      <c r="AG221" s="4">
        <v>11669902</v>
      </c>
      <c r="AH221" s="4">
        <v>0</v>
      </c>
      <c r="AI221" s="4">
        <v>202242746.06547561</v>
      </c>
      <c r="AK221" s="11" t="s">
        <v>7</v>
      </c>
      <c r="AL221" s="4">
        <v>167278016.94057757</v>
      </c>
      <c r="AM221" s="4">
        <v>-8162543.0996857006</v>
      </c>
      <c r="AN221" s="4">
        <v>6053477</v>
      </c>
      <c r="AO221" s="4">
        <v>0</v>
      </c>
      <c r="AP221" s="4">
        <v>165168950.84089187</v>
      </c>
    </row>
    <row r="222" spans="2:42" x14ac:dyDescent="0.35">
      <c r="B222" t="s">
        <v>8</v>
      </c>
      <c r="C222" s="2">
        <v>-12100292.49604927</v>
      </c>
      <c r="D222" s="2">
        <v>906176.72119999956</v>
      </c>
      <c r="E222" s="2">
        <v>-3542275.7999999993</v>
      </c>
      <c r="F222" s="2">
        <v>0</v>
      </c>
      <c r="G222" s="2">
        <v>-14736391.574849268</v>
      </c>
      <c r="AD222" t="s">
        <v>8</v>
      </c>
      <c r="AE222" s="2">
        <v>-5280485.1686607571</v>
      </c>
      <c r="AF222" s="2">
        <v>-765386.13269999996</v>
      </c>
      <c r="AG222" s="2">
        <v>-2332180.3999999994</v>
      </c>
      <c r="AH222" s="2">
        <v>0</v>
      </c>
      <c r="AI222" s="2">
        <v>-8378051.7013607565</v>
      </c>
      <c r="AK222" t="s">
        <v>8</v>
      </c>
      <c r="AL222" s="2">
        <v>-6819807.3273885129</v>
      </c>
      <c r="AM222" s="2">
        <v>1671562.8538999995</v>
      </c>
      <c r="AN222" s="2">
        <v>-1210095.3999999999</v>
      </c>
      <c r="AO222" s="2">
        <v>0</v>
      </c>
      <c r="AP222" s="2">
        <v>-6358339.8734885138</v>
      </c>
    </row>
    <row r="223" spans="2:42" x14ac:dyDescent="0.35">
      <c r="B223" s="11" t="s">
        <v>143</v>
      </c>
      <c r="C223" s="4">
        <v>340197229.56065071</v>
      </c>
      <c r="D223" s="4">
        <v>-1703027.4291326972</v>
      </c>
      <c r="E223" s="4">
        <v>14181103.200000001</v>
      </c>
      <c r="F223" s="4">
        <v>0</v>
      </c>
      <c r="G223" s="4">
        <v>352675305.33151805</v>
      </c>
      <c r="AD223" s="11" t="s">
        <v>9</v>
      </c>
      <c r="AE223" s="4">
        <v>179739019.94746184</v>
      </c>
      <c r="AF223" s="4">
        <v>4787952.8166529983</v>
      </c>
      <c r="AG223" s="4">
        <v>9337721.6000000015</v>
      </c>
      <c r="AH223" s="4">
        <v>0</v>
      </c>
      <c r="AI223" s="4">
        <v>193864694.36411485</v>
      </c>
      <c r="AK223" s="11" t="s">
        <v>9</v>
      </c>
      <c r="AL223" s="4">
        <v>160458209.61318904</v>
      </c>
      <c r="AM223" s="4">
        <v>-6490980.2457857011</v>
      </c>
      <c r="AN223" s="4">
        <v>4843381.5999999996</v>
      </c>
      <c r="AO223" s="4">
        <v>0</v>
      </c>
      <c r="AP223" s="4">
        <v>158810610.96740332</v>
      </c>
    </row>
    <row r="224" spans="2:42" x14ac:dyDescent="0.35">
      <c r="C224" s="3">
        <v>0</v>
      </c>
      <c r="D224" s="3">
        <v>0</v>
      </c>
      <c r="E224" s="3">
        <v>0</v>
      </c>
      <c r="F224" s="3">
        <v>0</v>
      </c>
      <c r="G224" s="3">
        <v>0</v>
      </c>
      <c r="AE224" s="3">
        <v>0</v>
      </c>
      <c r="AF224" s="3">
        <v>0</v>
      </c>
      <c r="AG224" s="3">
        <v>0</v>
      </c>
      <c r="AH224" s="3">
        <v>0</v>
      </c>
      <c r="AI224" s="3">
        <v>0</v>
      </c>
      <c r="AL224" s="3">
        <v>0</v>
      </c>
      <c r="AM224" s="3">
        <v>0</v>
      </c>
      <c r="AN224" s="3">
        <v>0</v>
      </c>
      <c r="AO224" s="3">
        <v>0</v>
      </c>
      <c r="AP224" s="3">
        <v>0</v>
      </c>
    </row>
    <row r="227" spans="2:42" ht="18.5" x14ac:dyDescent="0.35">
      <c r="B227" s="303" t="s">
        <v>146</v>
      </c>
      <c r="C227" s="303"/>
      <c r="D227" s="303"/>
      <c r="E227" s="303"/>
      <c r="F227" s="303"/>
      <c r="G227" s="303"/>
      <c r="I227" s="303" t="s">
        <v>162</v>
      </c>
      <c r="J227" s="303"/>
      <c r="K227" s="303"/>
      <c r="L227" s="303"/>
      <c r="M227" s="303"/>
      <c r="N227" s="303"/>
      <c r="P227" s="303" t="s">
        <v>174</v>
      </c>
      <c r="Q227" s="303"/>
      <c r="R227" s="303"/>
      <c r="S227" s="303"/>
      <c r="T227" s="303"/>
      <c r="U227" s="303"/>
      <c r="W227" s="303" t="s">
        <v>177</v>
      </c>
      <c r="X227" s="303"/>
      <c r="Y227" s="303"/>
      <c r="Z227" s="303"/>
      <c r="AA227" s="303"/>
      <c r="AB227" s="303"/>
      <c r="AD227" s="22" t="s">
        <v>154</v>
      </c>
      <c r="AE227" s="22"/>
      <c r="AF227" s="22"/>
      <c r="AG227" s="22"/>
      <c r="AH227" s="22"/>
      <c r="AI227" s="22"/>
      <c r="AK227" s="22" t="s">
        <v>156</v>
      </c>
      <c r="AL227" s="22"/>
      <c r="AM227" s="22"/>
      <c r="AN227" s="22"/>
      <c r="AO227" s="22"/>
      <c r="AP227" s="22"/>
    </row>
    <row r="228" spans="2:42" ht="15.5" x14ac:dyDescent="0.35">
      <c r="B228" s="8"/>
      <c r="C228" s="8" t="s">
        <v>10</v>
      </c>
      <c r="D228" s="8" t="s">
        <v>69</v>
      </c>
      <c r="E228" s="8" t="s">
        <v>70</v>
      </c>
      <c r="F228" s="8" t="s">
        <v>44</v>
      </c>
      <c r="G228" s="9" t="s">
        <v>45</v>
      </c>
      <c r="I228" s="24"/>
      <c r="J228" s="24" t="s">
        <v>10</v>
      </c>
      <c r="K228" s="24" t="s">
        <v>69</v>
      </c>
      <c r="L228" s="24" t="s">
        <v>70</v>
      </c>
      <c r="M228" s="24" t="s">
        <v>44</v>
      </c>
      <c r="N228" s="9" t="s">
        <v>45</v>
      </c>
      <c r="P228" s="8"/>
      <c r="Q228" s="8" t="s">
        <v>10</v>
      </c>
      <c r="R228" s="8" t="s">
        <v>69</v>
      </c>
      <c r="S228" s="8" t="s">
        <v>70</v>
      </c>
      <c r="T228" s="8" t="s">
        <v>44</v>
      </c>
      <c r="U228" s="9" t="s">
        <v>45</v>
      </c>
      <c r="W228" s="8"/>
      <c r="X228" s="8" t="s">
        <v>10</v>
      </c>
      <c r="Y228" s="8" t="s">
        <v>69</v>
      </c>
      <c r="Z228" s="8" t="s">
        <v>70</v>
      </c>
      <c r="AA228" s="8" t="s">
        <v>44</v>
      </c>
      <c r="AB228" s="9" t="s">
        <v>45</v>
      </c>
      <c r="AD228" s="24"/>
      <c r="AE228" s="24" t="s">
        <v>10</v>
      </c>
      <c r="AF228" s="24" t="s">
        <v>69</v>
      </c>
      <c r="AG228" s="24" t="s">
        <v>70</v>
      </c>
      <c r="AH228" s="24" t="s">
        <v>44</v>
      </c>
      <c r="AI228" s="9" t="s">
        <v>45</v>
      </c>
      <c r="AK228" s="24"/>
      <c r="AL228" s="24" t="s">
        <v>10</v>
      </c>
      <c r="AM228" s="24" t="s">
        <v>69</v>
      </c>
      <c r="AN228" s="24" t="s">
        <v>70</v>
      </c>
      <c r="AO228" s="24" t="s">
        <v>44</v>
      </c>
      <c r="AP228" s="9" t="s">
        <v>45</v>
      </c>
    </row>
    <row r="229" spans="2:42" x14ac:dyDescent="0.35">
      <c r="B229" t="s">
        <v>85</v>
      </c>
      <c r="C229" s="2">
        <v>486812534.49000001</v>
      </c>
      <c r="D229" s="2">
        <v>0</v>
      </c>
      <c r="E229" s="2">
        <v>0</v>
      </c>
      <c r="F229" s="2">
        <v>0</v>
      </c>
      <c r="G229" s="2">
        <v>486812534.49000001</v>
      </c>
      <c r="I229" t="s">
        <v>85</v>
      </c>
      <c r="J229" s="2">
        <v>76147898</v>
      </c>
      <c r="K229" s="2">
        <v>0</v>
      </c>
      <c r="L229" s="2">
        <v>0</v>
      </c>
      <c r="M229" s="2">
        <v>0</v>
      </c>
      <c r="N229" s="2">
        <v>76147898</v>
      </c>
      <c r="P229" t="s">
        <v>85</v>
      </c>
      <c r="Q229" s="2">
        <v>108019709.90000001</v>
      </c>
      <c r="R229" s="2">
        <v>0</v>
      </c>
      <c r="S229" s="2">
        <v>0</v>
      </c>
      <c r="T229" s="2">
        <v>0</v>
      </c>
      <c r="U229" s="2">
        <v>108019709.90000001</v>
      </c>
      <c r="W229" t="s">
        <v>85</v>
      </c>
      <c r="X229" s="2">
        <v>184167607.90000001</v>
      </c>
      <c r="Y229" s="2">
        <v>0</v>
      </c>
      <c r="Z229" s="2">
        <v>0</v>
      </c>
      <c r="AA229" s="2">
        <v>0</v>
      </c>
      <c r="AB229" s="2">
        <v>184167607.90000001</v>
      </c>
      <c r="AD229" t="s">
        <v>85</v>
      </c>
      <c r="AE229" s="2">
        <v>138481450.83000001</v>
      </c>
      <c r="AF229" s="2">
        <v>0</v>
      </c>
      <c r="AG229" s="2">
        <v>0</v>
      </c>
      <c r="AH229" s="2">
        <v>0</v>
      </c>
      <c r="AI229" s="2">
        <v>138481450.83000001</v>
      </c>
      <c r="AJ229" s="3">
        <v>322649058.73000002</v>
      </c>
      <c r="AK229" t="s">
        <v>85</v>
      </c>
      <c r="AL229" s="2">
        <v>164163475.75999996</v>
      </c>
      <c r="AM229" s="2">
        <v>0</v>
      </c>
      <c r="AN229" s="2">
        <v>0</v>
      </c>
      <c r="AO229" s="2">
        <v>0</v>
      </c>
      <c r="AP229" s="2">
        <v>164163475.75999996</v>
      </c>
    </row>
    <row r="230" spans="2:42" x14ac:dyDescent="0.35">
      <c r="B230" t="s">
        <v>19</v>
      </c>
      <c r="C230" s="2">
        <v>156799431.12996</v>
      </c>
      <c r="D230" s="2">
        <v>0</v>
      </c>
      <c r="E230" s="2">
        <v>0</v>
      </c>
      <c r="F230" s="2">
        <v>0</v>
      </c>
      <c r="G230" s="2">
        <v>156799431.12996</v>
      </c>
      <c r="I230" t="s">
        <v>19</v>
      </c>
      <c r="J230" s="2">
        <v>35028403.335999995</v>
      </c>
      <c r="K230" s="2">
        <v>0</v>
      </c>
      <c r="L230" s="2">
        <v>0</v>
      </c>
      <c r="M230" s="2">
        <v>0</v>
      </c>
      <c r="N230" s="2">
        <v>35028403.335999995</v>
      </c>
      <c r="P230" t="s">
        <v>19</v>
      </c>
      <c r="Q230" s="2">
        <v>36999143.209720016</v>
      </c>
      <c r="R230" s="2">
        <v>0</v>
      </c>
      <c r="S230" s="2">
        <v>0</v>
      </c>
      <c r="T230" s="2">
        <v>0</v>
      </c>
      <c r="U230" s="2">
        <v>36999143.209720016</v>
      </c>
      <c r="W230" t="s">
        <v>19</v>
      </c>
      <c r="X230" s="2">
        <v>72027546.545720011</v>
      </c>
      <c r="Y230" s="2">
        <v>0</v>
      </c>
      <c r="Z230" s="2">
        <v>0</v>
      </c>
      <c r="AA230" s="2">
        <v>0</v>
      </c>
      <c r="AB230" s="2">
        <v>72027546.545720011</v>
      </c>
      <c r="AD230" t="s">
        <v>19</v>
      </c>
      <c r="AE230" s="2">
        <v>37424504.449799985</v>
      </c>
      <c r="AF230" s="2">
        <v>0</v>
      </c>
      <c r="AG230" s="2">
        <v>0</v>
      </c>
      <c r="AH230" s="2">
        <v>0</v>
      </c>
      <c r="AI230" s="2">
        <v>37424504.449799985</v>
      </c>
      <c r="AJ230" s="3">
        <v>109452050.99552</v>
      </c>
      <c r="AK230" t="s">
        <v>19</v>
      </c>
      <c r="AL230" s="2">
        <v>47347380.134440005</v>
      </c>
      <c r="AM230" s="2">
        <v>0</v>
      </c>
      <c r="AN230" s="2">
        <v>0</v>
      </c>
      <c r="AO230" s="2">
        <v>0</v>
      </c>
      <c r="AP230" s="2">
        <v>47347380.134440005</v>
      </c>
    </row>
    <row r="231" spans="2:42" x14ac:dyDescent="0.35">
      <c r="B231" t="s">
        <v>86</v>
      </c>
      <c r="C231" s="2">
        <v>-12369870.460000016</v>
      </c>
      <c r="D231" s="2">
        <v>0</v>
      </c>
      <c r="E231" s="2">
        <v>0</v>
      </c>
      <c r="F231" s="2">
        <v>0</v>
      </c>
      <c r="G231" s="2">
        <v>-12369870.460000016</v>
      </c>
      <c r="I231" t="s">
        <v>86</v>
      </c>
      <c r="J231" s="2">
        <v>760615</v>
      </c>
      <c r="K231" s="2">
        <v>0</v>
      </c>
      <c r="L231" s="2">
        <v>0</v>
      </c>
      <c r="M231" s="2">
        <v>0</v>
      </c>
      <c r="N231" s="2">
        <v>760615</v>
      </c>
      <c r="P231" t="s">
        <v>86</v>
      </c>
      <c r="Q231" s="2">
        <v>-467142.07000015676</v>
      </c>
      <c r="R231" s="2">
        <v>0</v>
      </c>
      <c r="S231" s="2">
        <v>0</v>
      </c>
      <c r="T231" s="2">
        <v>0</v>
      </c>
      <c r="U231" s="2">
        <v>-467142.07000015676</v>
      </c>
      <c r="W231" t="s">
        <v>86</v>
      </c>
      <c r="X231" s="2">
        <v>293472.92999984324</v>
      </c>
      <c r="Y231" s="2">
        <v>0</v>
      </c>
      <c r="Z231" s="2">
        <v>0</v>
      </c>
      <c r="AA231" s="2">
        <v>0</v>
      </c>
      <c r="AB231" s="2">
        <v>293472.92999984324</v>
      </c>
      <c r="AD231" t="s">
        <v>86</v>
      </c>
      <c r="AE231" s="2">
        <v>-5550845.6699998006</v>
      </c>
      <c r="AF231" s="2">
        <v>0</v>
      </c>
      <c r="AG231" s="2">
        <v>0</v>
      </c>
      <c r="AH231" s="2">
        <v>0</v>
      </c>
      <c r="AI231" s="2">
        <v>-5550845.6699998006</v>
      </c>
      <c r="AJ231" s="3">
        <v>-5257372.7399999574</v>
      </c>
      <c r="AK231" t="s">
        <v>86</v>
      </c>
      <c r="AL231" s="2">
        <v>-7112497.7200000584</v>
      </c>
      <c r="AM231" s="2">
        <v>0</v>
      </c>
      <c r="AN231" s="2">
        <v>0</v>
      </c>
      <c r="AO231" s="2">
        <v>0</v>
      </c>
      <c r="AP231" s="2">
        <v>-7112497.7200000584</v>
      </c>
    </row>
    <row r="232" spans="2:42" x14ac:dyDescent="0.35">
      <c r="B232" t="s">
        <v>87</v>
      </c>
      <c r="C232" s="2">
        <v>-32621420.729999997</v>
      </c>
      <c r="D232" s="2">
        <v>0</v>
      </c>
      <c r="E232" s="2">
        <v>0</v>
      </c>
      <c r="F232" s="2">
        <v>0</v>
      </c>
      <c r="G232" s="2">
        <v>-32621420.729999997</v>
      </c>
      <c r="I232" t="s">
        <v>87</v>
      </c>
      <c r="J232" s="2">
        <v>-530845</v>
      </c>
      <c r="K232" s="2">
        <v>0</v>
      </c>
      <c r="L232" s="2">
        <v>0</v>
      </c>
      <c r="M232" s="2">
        <v>0</v>
      </c>
      <c r="N232" s="2">
        <v>-530845</v>
      </c>
      <c r="P232" t="s">
        <v>87</v>
      </c>
      <c r="Q232" s="2">
        <v>-4339351.8600000003</v>
      </c>
      <c r="R232" s="2">
        <v>0</v>
      </c>
      <c r="S232" s="2">
        <v>0</v>
      </c>
      <c r="T232" s="2">
        <v>0</v>
      </c>
      <c r="U232" s="2">
        <v>-4339351.8600000003</v>
      </c>
      <c r="W232" t="s">
        <v>87</v>
      </c>
      <c r="X232" s="2">
        <v>-4870196.8600000003</v>
      </c>
      <c r="Y232" s="2">
        <v>0</v>
      </c>
      <c r="Z232" s="2">
        <v>0</v>
      </c>
      <c r="AA232" s="2">
        <v>0</v>
      </c>
      <c r="AB232" s="2">
        <v>-4870196.8600000003</v>
      </c>
      <c r="AD232" t="s">
        <v>87</v>
      </c>
      <c r="AE232" s="2">
        <v>-6556626.8399999989</v>
      </c>
      <c r="AF232" s="2">
        <v>0</v>
      </c>
      <c r="AG232" s="2">
        <v>0</v>
      </c>
      <c r="AH232" s="2">
        <v>0</v>
      </c>
      <c r="AI232" s="2">
        <v>-6556626.8399999989</v>
      </c>
      <c r="AJ232" s="3">
        <v>-11426823.699999999</v>
      </c>
      <c r="AK232" t="s">
        <v>87</v>
      </c>
      <c r="AL232" s="2">
        <v>-21194597.029999997</v>
      </c>
      <c r="AM232" s="2">
        <v>0</v>
      </c>
      <c r="AN232" s="2">
        <v>0</v>
      </c>
      <c r="AO232" s="2">
        <v>0</v>
      </c>
      <c r="AP232" s="2">
        <v>-21194597.029999997</v>
      </c>
    </row>
    <row r="233" spans="2:42" x14ac:dyDescent="0.35">
      <c r="B233" s="19" t="s">
        <v>18</v>
      </c>
      <c r="C233" s="20">
        <v>598620674.42996001</v>
      </c>
      <c r="D233" s="20">
        <v>0</v>
      </c>
      <c r="E233" s="20">
        <v>0</v>
      </c>
      <c r="F233" s="20">
        <v>0</v>
      </c>
      <c r="G233" s="20">
        <v>598620674.42996001</v>
      </c>
      <c r="I233" s="19" t="s">
        <v>18</v>
      </c>
      <c r="J233" s="20">
        <v>111406071.336</v>
      </c>
      <c r="K233" s="20">
        <v>0</v>
      </c>
      <c r="L233" s="20">
        <v>0</v>
      </c>
      <c r="M233" s="20">
        <v>0</v>
      </c>
      <c r="N233" s="20">
        <v>111406071.336</v>
      </c>
      <c r="P233" s="19" t="s">
        <v>18</v>
      </c>
      <c r="Q233" s="20">
        <v>140212359.17971987</v>
      </c>
      <c r="R233" s="20">
        <v>0</v>
      </c>
      <c r="S233" s="20">
        <v>0</v>
      </c>
      <c r="T233" s="20">
        <v>0</v>
      </c>
      <c r="U233" s="20">
        <v>140212359.17971987</v>
      </c>
      <c r="W233" s="19" t="s">
        <v>18</v>
      </c>
      <c r="X233" s="20">
        <v>251618430.51571983</v>
      </c>
      <c r="Y233" s="20">
        <v>0</v>
      </c>
      <c r="Z233" s="20">
        <v>0</v>
      </c>
      <c r="AA233" s="20">
        <v>0</v>
      </c>
      <c r="AB233" s="20">
        <v>251618430.51571983</v>
      </c>
      <c r="AD233" s="19" t="s">
        <v>18</v>
      </c>
      <c r="AE233" s="20">
        <v>163798482.76980019</v>
      </c>
      <c r="AF233" s="20">
        <v>0</v>
      </c>
      <c r="AG233" s="20">
        <v>0</v>
      </c>
      <c r="AH233" s="20">
        <v>0</v>
      </c>
      <c r="AI233" s="20">
        <v>163798482.76980019</v>
      </c>
      <c r="AJ233" s="3">
        <v>415416913.28552002</v>
      </c>
      <c r="AK233" s="19" t="s">
        <v>18</v>
      </c>
      <c r="AL233" s="20">
        <v>183203761.14443991</v>
      </c>
      <c r="AM233" s="20">
        <v>0</v>
      </c>
      <c r="AN233" s="20">
        <v>0</v>
      </c>
      <c r="AO233" s="20">
        <v>0</v>
      </c>
      <c r="AP233" s="20">
        <v>183203761.14443991</v>
      </c>
    </row>
    <row r="234" spans="2:42" x14ac:dyDescent="0.35">
      <c r="C234" s="2"/>
      <c r="D234" s="2"/>
      <c r="E234" s="2"/>
      <c r="F234" s="2"/>
      <c r="G234" s="2"/>
      <c r="Q234" s="2"/>
      <c r="R234" s="2"/>
      <c r="S234" s="2"/>
      <c r="T234" s="2"/>
      <c r="U234" s="2"/>
      <c r="X234" s="2"/>
      <c r="Y234" s="2"/>
      <c r="Z234" s="2"/>
      <c r="AA234" s="2"/>
      <c r="AB234" s="2"/>
      <c r="AE234" s="2"/>
      <c r="AF234" s="2"/>
      <c r="AG234" s="2"/>
      <c r="AH234" s="2"/>
      <c r="AI234" s="2"/>
      <c r="AJ234" s="3">
        <v>0</v>
      </c>
      <c r="AL234" s="2"/>
      <c r="AM234" s="2"/>
      <c r="AN234" s="2"/>
      <c r="AO234" s="2"/>
      <c r="AP234" s="2"/>
    </row>
    <row r="235" spans="2:42" x14ac:dyDescent="0.35">
      <c r="C235" s="2"/>
      <c r="D235" s="2"/>
      <c r="E235" s="2"/>
      <c r="F235" s="2"/>
      <c r="G235" s="2"/>
      <c r="Q235" s="2"/>
      <c r="R235" s="2"/>
      <c r="S235" s="2"/>
      <c r="T235" s="2"/>
      <c r="U235" s="2"/>
      <c r="X235" s="2"/>
      <c r="Y235" s="2"/>
      <c r="Z235" s="2"/>
      <c r="AA235" s="2"/>
      <c r="AB235" s="2"/>
      <c r="AE235" s="2"/>
      <c r="AF235" s="2"/>
      <c r="AG235" s="2"/>
      <c r="AH235" s="2"/>
      <c r="AI235" s="2"/>
      <c r="AJ235" s="3">
        <v>0</v>
      </c>
      <c r="AL235" s="2"/>
      <c r="AM235" s="2"/>
      <c r="AN235" s="2"/>
      <c r="AO235" s="2"/>
      <c r="AP235" s="2"/>
    </row>
    <row r="236" spans="2:42" x14ac:dyDescent="0.35">
      <c r="B236" t="s">
        <v>12</v>
      </c>
      <c r="C236" s="2">
        <v>465594918.2100001</v>
      </c>
      <c r="D236" s="2">
        <v>0</v>
      </c>
      <c r="E236" s="2">
        <v>0</v>
      </c>
      <c r="F236" s="2">
        <v>0</v>
      </c>
      <c r="G236" s="2">
        <v>465594918.2100001</v>
      </c>
      <c r="I236" t="s">
        <v>12</v>
      </c>
      <c r="J236" s="2">
        <v>112421279</v>
      </c>
      <c r="K236" s="2">
        <v>0</v>
      </c>
      <c r="L236" s="2">
        <v>0</v>
      </c>
      <c r="M236" s="2">
        <v>0</v>
      </c>
      <c r="N236" s="2">
        <v>112421279</v>
      </c>
      <c r="P236" t="s">
        <v>12</v>
      </c>
      <c r="Q236" s="2">
        <v>104247518.93999991</v>
      </c>
      <c r="R236" s="2">
        <v>0</v>
      </c>
      <c r="S236" s="2">
        <v>0</v>
      </c>
      <c r="T236" s="2">
        <v>0</v>
      </c>
      <c r="U236" s="2">
        <v>104247518.93999991</v>
      </c>
      <c r="W236" t="s">
        <v>12</v>
      </c>
      <c r="X236" s="2">
        <v>216668797.93999991</v>
      </c>
      <c r="Y236" s="2">
        <v>0</v>
      </c>
      <c r="Z236" s="2">
        <v>0</v>
      </c>
      <c r="AA236" s="2">
        <v>0</v>
      </c>
      <c r="AB236" s="2">
        <v>216668797.93999991</v>
      </c>
      <c r="AD236" t="s">
        <v>12</v>
      </c>
      <c r="AE236" s="2">
        <v>119706150.65000007</v>
      </c>
      <c r="AF236" s="2">
        <v>0</v>
      </c>
      <c r="AG236" s="2">
        <v>0</v>
      </c>
      <c r="AH236" s="2">
        <v>0</v>
      </c>
      <c r="AI236" s="2">
        <v>119706150.65000007</v>
      </c>
      <c r="AJ236" s="3">
        <v>336374948.58999997</v>
      </c>
      <c r="AK236" t="s">
        <v>12</v>
      </c>
      <c r="AL236" s="2">
        <v>129219969.62000015</v>
      </c>
      <c r="AM236" s="2">
        <v>0</v>
      </c>
      <c r="AN236" s="2">
        <v>0</v>
      </c>
      <c r="AO236" s="2">
        <v>0</v>
      </c>
      <c r="AP236" s="2">
        <v>129219969.62000015</v>
      </c>
    </row>
    <row r="237" spans="2:42" x14ac:dyDescent="0.35">
      <c r="B237" t="s">
        <v>3</v>
      </c>
      <c r="C237" s="2">
        <v>-161070608.56999996</v>
      </c>
      <c r="D237" s="2">
        <v>0</v>
      </c>
      <c r="E237" s="2">
        <v>0</v>
      </c>
      <c r="F237" s="2">
        <v>-2349.35</v>
      </c>
      <c r="G237" s="2">
        <v>-161072957.91999996</v>
      </c>
      <c r="I237" t="s">
        <v>3</v>
      </c>
      <c r="J237" s="2">
        <v>-31421485</v>
      </c>
      <c r="K237" s="2">
        <v>0</v>
      </c>
      <c r="L237" s="2">
        <v>0</v>
      </c>
      <c r="M237" s="2">
        <v>0</v>
      </c>
      <c r="N237" s="2">
        <v>-31421485</v>
      </c>
      <c r="P237" t="s">
        <v>3</v>
      </c>
      <c r="Q237" s="2">
        <v>-38525486.709999993</v>
      </c>
      <c r="R237" s="2">
        <v>0</v>
      </c>
      <c r="S237" s="2">
        <v>0</v>
      </c>
      <c r="T237" s="2">
        <v>0</v>
      </c>
      <c r="U237" s="2">
        <v>-38525486.709999993</v>
      </c>
      <c r="W237" t="s">
        <v>3</v>
      </c>
      <c r="X237" s="2">
        <v>-69946971.709999993</v>
      </c>
      <c r="Y237" s="2">
        <v>0</v>
      </c>
      <c r="Z237" s="2">
        <v>0</v>
      </c>
      <c r="AA237" s="2">
        <v>0</v>
      </c>
      <c r="AB237" s="2">
        <v>-69946971.709999993</v>
      </c>
      <c r="AD237" t="s">
        <v>3</v>
      </c>
      <c r="AE237" s="2">
        <v>-43288812.720000014</v>
      </c>
      <c r="AF237" s="2">
        <v>0</v>
      </c>
      <c r="AG237" s="2">
        <v>0</v>
      </c>
      <c r="AH237" s="2">
        <v>0</v>
      </c>
      <c r="AI237" s="2">
        <v>-43288812.720000014</v>
      </c>
      <c r="AJ237" s="3">
        <v>-113235784.43000001</v>
      </c>
      <c r="AK237" t="s">
        <v>3</v>
      </c>
      <c r="AL237" s="2">
        <v>-47834824.139999956</v>
      </c>
      <c r="AM237" s="2">
        <v>0</v>
      </c>
      <c r="AN237" s="2">
        <v>0</v>
      </c>
      <c r="AO237" s="2">
        <v>-2349.35</v>
      </c>
      <c r="AP237" s="2">
        <v>-47837173.489999957</v>
      </c>
    </row>
    <row r="238" spans="2:42" x14ac:dyDescent="0.35">
      <c r="B238" t="s">
        <v>88</v>
      </c>
      <c r="C238" s="2">
        <v>92718443.899999961</v>
      </c>
      <c r="D238" s="2">
        <v>0</v>
      </c>
      <c r="E238" s="2">
        <v>0</v>
      </c>
      <c r="F238" s="2">
        <v>570392.18999999994</v>
      </c>
      <c r="G238" s="2">
        <v>93288836.089999959</v>
      </c>
      <c r="I238" t="s">
        <v>88</v>
      </c>
      <c r="J238" s="2">
        <v>21677644.719999999</v>
      </c>
      <c r="K238" s="2">
        <v>0</v>
      </c>
      <c r="L238" s="2">
        <v>0</v>
      </c>
      <c r="M238" s="2">
        <v>0</v>
      </c>
      <c r="N238" s="2">
        <v>21677644.719999999</v>
      </c>
      <c r="P238" t="s">
        <v>88</v>
      </c>
      <c r="Q238" s="2">
        <v>21457360.850000001</v>
      </c>
      <c r="R238" s="2">
        <v>0</v>
      </c>
      <c r="S238" s="2">
        <v>0</v>
      </c>
      <c r="T238" s="2">
        <v>0</v>
      </c>
      <c r="U238" s="2">
        <v>21457360.850000001</v>
      </c>
      <c r="W238" t="s">
        <v>88</v>
      </c>
      <c r="X238" s="2">
        <v>43135005.57</v>
      </c>
      <c r="Y238" s="2">
        <v>0</v>
      </c>
      <c r="Z238" s="2">
        <v>0</v>
      </c>
      <c r="AA238" s="2">
        <v>0</v>
      </c>
      <c r="AB238" s="2">
        <v>43135005.57</v>
      </c>
      <c r="AD238" t="s">
        <v>88</v>
      </c>
      <c r="AE238" s="2">
        <v>24036605.720000006</v>
      </c>
      <c r="AF238" s="2">
        <v>0</v>
      </c>
      <c r="AG238" s="2">
        <v>0</v>
      </c>
      <c r="AH238" s="2">
        <v>0</v>
      </c>
      <c r="AI238" s="2">
        <v>24036605.720000006</v>
      </c>
      <c r="AJ238" s="3">
        <v>67171611.290000007</v>
      </c>
      <c r="AK238" t="s">
        <v>88</v>
      </c>
      <c r="AL238" s="2">
        <v>25546832.609999947</v>
      </c>
      <c r="AM238" s="2">
        <v>0</v>
      </c>
      <c r="AN238" s="2">
        <v>0</v>
      </c>
      <c r="AO238" s="2">
        <v>570392.18999999994</v>
      </c>
      <c r="AP238" s="2">
        <v>26117224.799999949</v>
      </c>
    </row>
    <row r="239" spans="2:42" x14ac:dyDescent="0.35">
      <c r="B239" t="s">
        <v>13</v>
      </c>
      <c r="C239" s="2">
        <v>-5853421.0800000001</v>
      </c>
      <c r="D239" s="2">
        <v>0</v>
      </c>
      <c r="E239" s="2">
        <v>0</v>
      </c>
      <c r="F239" s="2">
        <v>0</v>
      </c>
      <c r="G239" s="2">
        <v>-5853421.0800000001</v>
      </c>
      <c r="I239" t="s">
        <v>13</v>
      </c>
      <c r="J239" s="2">
        <v>-1949998</v>
      </c>
      <c r="K239" s="2">
        <v>0</v>
      </c>
      <c r="L239" s="2">
        <v>0</v>
      </c>
      <c r="M239" s="2">
        <v>0</v>
      </c>
      <c r="N239" s="2">
        <v>-1949998</v>
      </c>
      <c r="P239" t="s">
        <v>13</v>
      </c>
      <c r="Q239" s="2">
        <v>-171552.37000000104</v>
      </c>
      <c r="R239" s="2">
        <v>0</v>
      </c>
      <c r="S239" s="2">
        <v>0</v>
      </c>
      <c r="T239" s="2">
        <v>0</v>
      </c>
      <c r="U239" s="2">
        <v>-171552.37000000104</v>
      </c>
      <c r="W239" t="s">
        <v>13</v>
      </c>
      <c r="X239" s="2">
        <v>-2121550.370000001</v>
      </c>
      <c r="Y239" s="2">
        <v>0</v>
      </c>
      <c r="Z239" s="2">
        <v>0</v>
      </c>
      <c r="AA239" s="2">
        <v>0</v>
      </c>
      <c r="AB239" s="2">
        <v>-2121550.370000001</v>
      </c>
      <c r="AD239" t="s">
        <v>13</v>
      </c>
      <c r="AE239" s="2">
        <v>-1596402.8499999987</v>
      </c>
      <c r="AF239" s="2">
        <v>0</v>
      </c>
      <c r="AG239" s="2">
        <v>0</v>
      </c>
      <c r="AH239" s="2">
        <v>0</v>
      </c>
      <c r="AI239" s="2">
        <v>-1596402.8499999987</v>
      </c>
      <c r="AJ239" s="3">
        <v>-3717953.2199999997</v>
      </c>
      <c r="AK239" t="s">
        <v>13</v>
      </c>
      <c r="AL239" s="2">
        <v>-2135467.8600000003</v>
      </c>
      <c r="AM239" s="2">
        <v>0</v>
      </c>
      <c r="AN239" s="2">
        <v>0</v>
      </c>
      <c r="AO239" s="2">
        <v>0</v>
      </c>
      <c r="AP239" s="2">
        <v>-2135467.8600000003</v>
      </c>
    </row>
    <row r="240" spans="2:42" x14ac:dyDescent="0.35">
      <c r="B240" s="19" t="s">
        <v>14</v>
      </c>
      <c r="C240" s="20">
        <v>391389332.4600001</v>
      </c>
      <c r="D240" s="20">
        <v>0</v>
      </c>
      <c r="E240" s="20">
        <v>0</v>
      </c>
      <c r="F240" s="20">
        <v>568042.84</v>
      </c>
      <c r="G240" s="20">
        <v>391957375.30000013</v>
      </c>
      <c r="I240" s="19" t="s">
        <v>14</v>
      </c>
      <c r="J240" s="20">
        <v>100727440.72</v>
      </c>
      <c r="K240" s="20">
        <v>0</v>
      </c>
      <c r="L240" s="20">
        <v>0</v>
      </c>
      <c r="M240" s="20">
        <v>0</v>
      </c>
      <c r="N240" s="20">
        <v>100727440.72</v>
      </c>
      <c r="P240" s="19" t="s">
        <v>14</v>
      </c>
      <c r="Q240" s="20">
        <v>87007840.709999919</v>
      </c>
      <c r="R240" s="20">
        <v>0</v>
      </c>
      <c r="S240" s="20">
        <v>0</v>
      </c>
      <c r="T240" s="20">
        <v>0</v>
      </c>
      <c r="U240" s="20">
        <v>87007840.709999919</v>
      </c>
      <c r="W240" s="19" t="s">
        <v>14</v>
      </c>
      <c r="X240" s="20">
        <v>187735281.42999989</v>
      </c>
      <c r="Y240" s="20">
        <v>0</v>
      </c>
      <c r="Z240" s="20">
        <v>0</v>
      </c>
      <c r="AA240" s="20">
        <v>0</v>
      </c>
      <c r="AB240" s="20">
        <v>187735281.42999989</v>
      </c>
      <c r="AD240" s="19" t="s">
        <v>14</v>
      </c>
      <c r="AE240" s="20">
        <v>98857540.800000072</v>
      </c>
      <c r="AF240" s="20">
        <v>0</v>
      </c>
      <c r="AG240" s="20">
        <v>0</v>
      </c>
      <c r="AH240" s="20">
        <v>0</v>
      </c>
      <c r="AI240" s="20">
        <v>98857540.800000072</v>
      </c>
      <c r="AJ240" s="3">
        <v>286592822.22999996</v>
      </c>
      <c r="AK240" s="19" t="s">
        <v>14</v>
      </c>
      <c r="AL240" s="20">
        <v>104796510.23000015</v>
      </c>
      <c r="AM240" s="20">
        <v>0</v>
      </c>
      <c r="AN240" s="20">
        <v>0</v>
      </c>
      <c r="AO240" s="20">
        <v>568042.84</v>
      </c>
      <c r="AP240" s="20">
        <v>105364553.07000016</v>
      </c>
    </row>
    <row r="241" spans="2:42" x14ac:dyDescent="0.35">
      <c r="C241" s="2"/>
      <c r="D241" s="2"/>
      <c r="E241" s="2"/>
      <c r="F241" s="2"/>
      <c r="G241" s="2"/>
      <c r="Q241" s="2"/>
      <c r="R241" s="2"/>
      <c r="S241" s="2"/>
      <c r="T241" s="2"/>
      <c r="U241" s="2"/>
      <c r="X241" s="2"/>
      <c r="Y241" s="2"/>
      <c r="Z241" s="2"/>
      <c r="AA241" s="2"/>
      <c r="AB241" s="2"/>
      <c r="AE241" s="2"/>
      <c r="AF241" s="2"/>
      <c r="AG241" s="2"/>
      <c r="AH241" s="2"/>
      <c r="AI241" s="2"/>
      <c r="AJ241" s="3">
        <v>0</v>
      </c>
      <c r="AL241" s="2"/>
      <c r="AM241" s="2"/>
      <c r="AN241" s="2"/>
      <c r="AO241" s="2"/>
      <c r="AP241" s="2"/>
    </row>
    <row r="242" spans="2:42" x14ac:dyDescent="0.35">
      <c r="C242" s="2"/>
      <c r="D242" s="2"/>
      <c r="E242" s="2"/>
      <c r="F242" s="2"/>
      <c r="G242" s="2"/>
      <c r="Q242" s="2"/>
      <c r="R242" s="2"/>
      <c r="S242" s="2"/>
      <c r="T242" s="2"/>
      <c r="U242" s="2"/>
      <c r="X242" s="2"/>
      <c r="Y242" s="2"/>
      <c r="Z242" s="2"/>
      <c r="AA242" s="2"/>
      <c r="AB242" s="2"/>
      <c r="AE242" s="2"/>
      <c r="AF242" s="2"/>
      <c r="AG242" s="2"/>
      <c r="AH242" s="2"/>
      <c r="AI242" s="2"/>
      <c r="AJ242" s="3">
        <v>0</v>
      </c>
      <c r="AL242" s="2"/>
      <c r="AM242" s="2"/>
      <c r="AN242" s="2"/>
      <c r="AO242" s="2"/>
      <c r="AP242" s="2"/>
    </row>
    <row r="243" spans="2:42" x14ac:dyDescent="0.35">
      <c r="B243" t="s">
        <v>15</v>
      </c>
      <c r="C243" s="2">
        <v>132518025.45</v>
      </c>
      <c r="D243" s="2">
        <v>0</v>
      </c>
      <c r="E243" s="2">
        <v>0</v>
      </c>
      <c r="F243" s="2">
        <v>7192.76</v>
      </c>
      <c r="G243" s="2">
        <v>132525218.21000001</v>
      </c>
      <c r="I243" t="s">
        <v>15</v>
      </c>
      <c r="J243" s="2">
        <v>22042511</v>
      </c>
      <c r="K243" s="2">
        <v>0</v>
      </c>
      <c r="L243" s="2">
        <v>0</v>
      </c>
      <c r="M243" s="2">
        <v>0</v>
      </c>
      <c r="N243" s="2">
        <v>22042511</v>
      </c>
      <c r="P243" t="s">
        <v>15</v>
      </c>
      <c r="Q243" s="2">
        <v>32980674.950000003</v>
      </c>
      <c r="R243" s="2">
        <v>0</v>
      </c>
      <c r="S243" s="2">
        <v>0</v>
      </c>
      <c r="T243" s="2">
        <v>0</v>
      </c>
      <c r="U243" s="2">
        <v>32980674.950000003</v>
      </c>
      <c r="W243" t="s">
        <v>15</v>
      </c>
      <c r="X243" s="2">
        <v>55023185.950000003</v>
      </c>
      <c r="Y243" s="2">
        <v>0</v>
      </c>
      <c r="Z243" s="2">
        <v>0</v>
      </c>
      <c r="AA243" s="2">
        <v>0</v>
      </c>
      <c r="AB243" s="2">
        <v>55023185.950000003</v>
      </c>
      <c r="AD243" t="s">
        <v>15</v>
      </c>
      <c r="AE243" s="2">
        <v>40762183.720000014</v>
      </c>
      <c r="AF243" s="2">
        <v>0</v>
      </c>
      <c r="AG243" s="2">
        <v>0</v>
      </c>
      <c r="AH243" s="2">
        <v>0</v>
      </c>
      <c r="AI243" s="2">
        <v>40762183.720000014</v>
      </c>
      <c r="AJ243" s="3">
        <v>95785369.670000017</v>
      </c>
      <c r="AK243" t="s">
        <v>15</v>
      </c>
      <c r="AL243" s="2">
        <v>36732655.779999986</v>
      </c>
      <c r="AM243" s="2">
        <v>0</v>
      </c>
      <c r="AN243" s="2">
        <v>0</v>
      </c>
      <c r="AO243" s="2">
        <v>7192.76</v>
      </c>
      <c r="AP243" s="2">
        <v>36739848.539999984</v>
      </c>
    </row>
    <row r="244" spans="2:42" x14ac:dyDescent="0.35">
      <c r="B244" t="s">
        <v>16</v>
      </c>
      <c r="C244" s="2">
        <v>-56649270.799999997</v>
      </c>
      <c r="D244" s="2">
        <v>0</v>
      </c>
      <c r="E244" s="2">
        <v>0</v>
      </c>
      <c r="F244" s="2">
        <v>0</v>
      </c>
      <c r="G244" s="2">
        <v>-56649270.799999997</v>
      </c>
      <c r="I244" t="s">
        <v>16</v>
      </c>
      <c r="J244" s="2">
        <v>-8772481</v>
      </c>
      <c r="K244" s="2">
        <v>0</v>
      </c>
      <c r="L244" s="2">
        <v>0</v>
      </c>
      <c r="M244" s="2">
        <v>0</v>
      </c>
      <c r="N244" s="2">
        <v>-8772481</v>
      </c>
      <c r="P244" t="s">
        <v>16</v>
      </c>
      <c r="Q244" s="2">
        <v>-10707675.710000001</v>
      </c>
      <c r="R244" s="2">
        <v>0</v>
      </c>
      <c r="S244" s="2">
        <v>0</v>
      </c>
      <c r="T244" s="2">
        <v>0</v>
      </c>
      <c r="U244" s="2">
        <v>-10707675.710000001</v>
      </c>
      <c r="W244" t="s">
        <v>16</v>
      </c>
      <c r="X244" s="2">
        <v>-19480156.710000001</v>
      </c>
      <c r="Y244" s="2">
        <v>0</v>
      </c>
      <c r="Z244" s="2">
        <v>0</v>
      </c>
      <c r="AA244" s="2">
        <v>0</v>
      </c>
      <c r="AB244" s="2">
        <v>-19480156.710000001</v>
      </c>
      <c r="AD244" t="s">
        <v>16</v>
      </c>
      <c r="AE244" s="2">
        <v>-21415722.919999987</v>
      </c>
      <c r="AF244" s="2">
        <v>0</v>
      </c>
      <c r="AG244" s="2">
        <v>0</v>
      </c>
      <c r="AH244" s="2">
        <v>0</v>
      </c>
      <c r="AI244" s="2">
        <v>-21415722.919999987</v>
      </c>
      <c r="AJ244" s="3">
        <v>-40895879.629999988</v>
      </c>
      <c r="AK244" t="s">
        <v>16</v>
      </c>
      <c r="AL244" s="2">
        <v>-15753391.170000009</v>
      </c>
      <c r="AM244" s="2">
        <v>0</v>
      </c>
      <c r="AN244" s="2">
        <v>0</v>
      </c>
      <c r="AO244" s="2">
        <v>0</v>
      </c>
      <c r="AP244" s="2">
        <v>-15753391.170000009</v>
      </c>
    </row>
    <row r="245" spans="2:42" x14ac:dyDescent="0.35">
      <c r="B245" s="19" t="s">
        <v>17</v>
      </c>
      <c r="C245" s="20">
        <v>75868754.650000006</v>
      </c>
      <c r="D245" s="20">
        <v>0</v>
      </c>
      <c r="E245" s="20">
        <v>0</v>
      </c>
      <c r="F245" s="20">
        <v>7192.76</v>
      </c>
      <c r="G245" s="20">
        <v>75875947.410000011</v>
      </c>
      <c r="I245" s="19" t="s">
        <v>17</v>
      </c>
      <c r="J245" s="20">
        <v>13270030</v>
      </c>
      <c r="K245" s="20">
        <v>0</v>
      </c>
      <c r="L245" s="20">
        <v>0</v>
      </c>
      <c r="M245" s="20">
        <v>0</v>
      </c>
      <c r="N245" s="20">
        <v>13270030</v>
      </c>
      <c r="P245" s="19" t="s">
        <v>17</v>
      </c>
      <c r="Q245" s="20">
        <v>22272999.240000002</v>
      </c>
      <c r="R245" s="20">
        <v>0</v>
      </c>
      <c r="S245" s="20">
        <v>0</v>
      </c>
      <c r="T245" s="20">
        <v>0</v>
      </c>
      <c r="U245" s="20">
        <v>22272999.240000002</v>
      </c>
      <c r="W245" s="19" t="s">
        <v>17</v>
      </c>
      <c r="X245" s="20">
        <v>35543029.240000002</v>
      </c>
      <c r="Y245" s="20">
        <v>0</v>
      </c>
      <c r="Z245" s="20">
        <v>0</v>
      </c>
      <c r="AA245" s="20">
        <v>0</v>
      </c>
      <c r="AB245" s="20">
        <v>35543029.240000002</v>
      </c>
      <c r="AD245" s="19" t="s">
        <v>17</v>
      </c>
      <c r="AE245" s="20">
        <v>19346460.800000027</v>
      </c>
      <c r="AF245" s="20">
        <v>0</v>
      </c>
      <c r="AG245" s="20">
        <v>0</v>
      </c>
      <c r="AH245" s="20">
        <v>0</v>
      </c>
      <c r="AI245" s="20">
        <v>19346460.800000027</v>
      </c>
      <c r="AJ245" s="3">
        <v>54889490.040000029</v>
      </c>
      <c r="AK245" s="19" t="s">
        <v>17</v>
      </c>
      <c r="AL245" s="20">
        <v>20979264.609999977</v>
      </c>
      <c r="AM245" s="20">
        <v>0</v>
      </c>
      <c r="AN245" s="20">
        <v>0</v>
      </c>
      <c r="AO245" s="20">
        <v>7192.76</v>
      </c>
      <c r="AP245" s="20">
        <v>20986457.369999975</v>
      </c>
    </row>
    <row r="246" spans="2:42" x14ac:dyDescent="0.35">
      <c r="C246" s="2"/>
      <c r="D246" s="2"/>
      <c r="E246" s="2"/>
      <c r="F246" s="2"/>
      <c r="G246" s="2"/>
      <c r="Q246" s="2"/>
      <c r="R246" s="2"/>
      <c r="S246" s="2"/>
      <c r="T246" s="2"/>
      <c r="U246" s="2"/>
      <c r="X246" s="2"/>
      <c r="Y246" s="2"/>
      <c r="Z246" s="2"/>
      <c r="AA246" s="2"/>
      <c r="AB246" s="2"/>
      <c r="AE246" s="2"/>
      <c r="AF246" s="2"/>
      <c r="AG246" s="2"/>
      <c r="AH246" s="2"/>
      <c r="AI246" s="2"/>
      <c r="AJ246" s="3">
        <v>0</v>
      </c>
      <c r="AL246" s="2"/>
      <c r="AM246" s="2"/>
      <c r="AN246" s="2"/>
      <c r="AO246" s="2"/>
      <c r="AP246" s="2"/>
    </row>
    <row r="247" spans="2:42" x14ac:dyDescent="0.35">
      <c r="C247" s="2"/>
      <c r="D247" s="2"/>
      <c r="E247" s="2"/>
      <c r="F247" s="2"/>
      <c r="G247" s="2"/>
      <c r="Q247" s="2"/>
      <c r="R247" s="2"/>
      <c r="S247" s="2"/>
      <c r="T247" s="2"/>
      <c r="U247" s="2"/>
      <c r="X247" s="2"/>
      <c r="Y247" s="2"/>
      <c r="Z247" s="2"/>
      <c r="AA247" s="2"/>
      <c r="AB247" s="2"/>
      <c r="AE247" s="2"/>
      <c r="AF247" s="2"/>
      <c r="AG247" s="2"/>
      <c r="AH247" s="2"/>
      <c r="AI247" s="2"/>
      <c r="AJ247" s="3">
        <v>0</v>
      </c>
      <c r="AL247" s="2"/>
      <c r="AM247" s="2"/>
      <c r="AN247" s="2"/>
      <c r="AO247" s="2"/>
      <c r="AP247" s="2"/>
    </row>
    <row r="248" spans="2:42" x14ac:dyDescent="0.35">
      <c r="B248" s="16" t="s">
        <v>20</v>
      </c>
      <c r="C248" s="17">
        <v>22221534.382499985</v>
      </c>
      <c r="D248" s="17">
        <v>0</v>
      </c>
      <c r="E248" s="17">
        <v>0</v>
      </c>
      <c r="F248" s="17">
        <v>0</v>
      </c>
      <c r="G248" s="17">
        <v>22221534.382499985</v>
      </c>
      <c r="I248" s="16" t="s">
        <v>20</v>
      </c>
      <c r="J248" s="17">
        <v>6849963.7002999997</v>
      </c>
      <c r="K248" s="17">
        <v>0</v>
      </c>
      <c r="L248" s="17">
        <v>0</v>
      </c>
      <c r="M248" s="17">
        <v>0</v>
      </c>
      <c r="N248" s="17">
        <v>6849963.7002999997</v>
      </c>
      <c r="P248" s="6" t="s">
        <v>20</v>
      </c>
      <c r="Q248" s="2">
        <v>5421290.5467999997</v>
      </c>
      <c r="R248" s="2">
        <v>0</v>
      </c>
      <c r="S248" s="2">
        <v>0</v>
      </c>
      <c r="T248" s="2">
        <v>-127443.30380000001</v>
      </c>
      <c r="U248" s="7">
        <v>5293847.2429999998</v>
      </c>
      <c r="W248" s="6" t="s">
        <v>20</v>
      </c>
      <c r="X248" s="2">
        <v>12271254.247099999</v>
      </c>
      <c r="Y248" s="2">
        <v>0</v>
      </c>
      <c r="Z248" s="2">
        <v>0</v>
      </c>
      <c r="AA248" s="2">
        <v>-127443.30380000001</v>
      </c>
      <c r="AB248" s="7">
        <v>12143810.943299999</v>
      </c>
      <c r="AD248" s="16" t="s">
        <v>20</v>
      </c>
      <c r="AE248" s="23">
        <v>6368619.587381985</v>
      </c>
      <c r="AF248" s="23">
        <v>0</v>
      </c>
      <c r="AG248" s="23">
        <v>0</v>
      </c>
      <c r="AH248" s="23">
        <v>127443.30380000001</v>
      </c>
      <c r="AI248" s="23">
        <v>6496062.8911819849</v>
      </c>
      <c r="AJ248" s="3">
        <v>18639873.834481984</v>
      </c>
      <c r="AK248" s="16" t="s">
        <v>20</v>
      </c>
      <c r="AL248" s="23">
        <v>3581660.548018001</v>
      </c>
      <c r="AM248" s="23">
        <v>0</v>
      </c>
      <c r="AN248" s="23">
        <v>0</v>
      </c>
      <c r="AO248" s="23">
        <v>0</v>
      </c>
      <c r="AP248" s="23">
        <v>3581660.548018001</v>
      </c>
    </row>
    <row r="249" spans="2:42" x14ac:dyDescent="0.35">
      <c r="C249" s="2"/>
      <c r="D249" s="2"/>
      <c r="E249" s="2"/>
      <c r="F249" s="2"/>
      <c r="G249" s="2"/>
      <c r="P249" s="13"/>
      <c r="Q249" s="155"/>
      <c r="R249" s="155"/>
      <c r="S249" s="155"/>
      <c r="T249" s="155"/>
      <c r="U249" s="155"/>
      <c r="W249" s="13"/>
      <c r="X249" s="155"/>
      <c r="Y249" s="155"/>
      <c r="Z249" s="155"/>
      <c r="AA249" s="155"/>
      <c r="AB249" s="155"/>
      <c r="AE249" s="2"/>
      <c r="AF249" s="2"/>
      <c r="AG249" s="2"/>
      <c r="AH249" s="2"/>
      <c r="AI249" s="2"/>
      <c r="AJ249" s="3">
        <v>0</v>
      </c>
      <c r="AL249" s="2"/>
      <c r="AM249" s="2"/>
      <c r="AN249" s="2"/>
      <c r="AO249" s="2"/>
      <c r="AP249" s="2"/>
    </row>
    <row r="250" spans="2:42" x14ac:dyDescent="0.35">
      <c r="C250" s="2"/>
      <c r="D250" s="2"/>
      <c r="E250" s="2"/>
      <c r="F250" s="2"/>
      <c r="G250" s="2"/>
      <c r="Q250" s="2"/>
      <c r="R250" s="2"/>
      <c r="S250" s="2"/>
      <c r="T250" s="2"/>
      <c r="U250" s="2"/>
      <c r="X250" s="2"/>
      <c r="Y250" s="2"/>
      <c r="Z250" s="2"/>
      <c r="AA250" s="2"/>
      <c r="AB250" s="2"/>
      <c r="AJ250" s="3">
        <v>0</v>
      </c>
    </row>
    <row r="251" spans="2:42" x14ac:dyDescent="0.35">
      <c r="C251" s="2"/>
      <c r="D251" s="2"/>
      <c r="E251" s="2"/>
      <c r="F251" s="2"/>
      <c r="G251" s="2"/>
      <c r="Q251" s="2"/>
      <c r="R251" s="2"/>
      <c r="S251" s="2"/>
      <c r="T251" s="2"/>
      <c r="U251" s="2"/>
      <c r="X251" s="2"/>
      <c r="Y251" s="2"/>
      <c r="Z251" s="2"/>
      <c r="AA251" s="2"/>
      <c r="AB251" s="2"/>
      <c r="AJ251" s="3">
        <v>0</v>
      </c>
    </row>
    <row r="252" spans="2:42" x14ac:dyDescent="0.35">
      <c r="B252" t="s">
        <v>0</v>
      </c>
      <c r="C252" s="2">
        <v>117435580.31000002</v>
      </c>
      <c r="D252" s="2">
        <v>0</v>
      </c>
      <c r="E252" s="2">
        <v>0</v>
      </c>
      <c r="F252" s="2">
        <v>0</v>
      </c>
      <c r="G252" s="2">
        <v>117435580.31000002</v>
      </c>
      <c r="I252" t="s">
        <v>0</v>
      </c>
      <c r="J252" s="2">
        <v>107658110</v>
      </c>
      <c r="K252" s="2">
        <v>0</v>
      </c>
      <c r="L252" s="2">
        <v>0</v>
      </c>
      <c r="M252" s="2">
        <v>0</v>
      </c>
      <c r="N252" s="2">
        <v>107658110</v>
      </c>
      <c r="P252" t="s">
        <v>0</v>
      </c>
      <c r="Q252" s="2">
        <v>4135965.3000000119</v>
      </c>
      <c r="R252" s="2">
        <v>0</v>
      </c>
      <c r="S252" s="2">
        <v>0</v>
      </c>
      <c r="T252" s="2">
        <v>0</v>
      </c>
      <c r="U252" s="2">
        <v>4135965.3000000119</v>
      </c>
      <c r="W252" t="s">
        <v>0</v>
      </c>
      <c r="X252" s="2">
        <v>111794075.30000001</v>
      </c>
      <c r="Y252" s="2">
        <v>0</v>
      </c>
      <c r="Z252" s="2">
        <v>0</v>
      </c>
      <c r="AA252" s="2">
        <v>0</v>
      </c>
      <c r="AB252" s="2">
        <v>111794075.30000001</v>
      </c>
      <c r="AD252" t="s">
        <v>0</v>
      </c>
      <c r="AE252" s="2">
        <v>9.9999904632568359E-3</v>
      </c>
      <c r="AF252" s="2">
        <v>0</v>
      </c>
      <c r="AG252" s="2">
        <v>0</v>
      </c>
      <c r="AH252" s="2">
        <v>0</v>
      </c>
      <c r="AI252" s="2">
        <v>9.9999904632568359E-3</v>
      </c>
      <c r="AJ252" s="3">
        <v>111794075.31</v>
      </c>
      <c r="AK252" t="s">
        <v>0</v>
      </c>
      <c r="AL252" s="2">
        <v>5641505.0000000149</v>
      </c>
      <c r="AM252" s="2">
        <v>0</v>
      </c>
      <c r="AN252" s="2">
        <v>0</v>
      </c>
      <c r="AO252" s="2">
        <v>0</v>
      </c>
      <c r="AP252" s="2">
        <v>5641505.0000000149</v>
      </c>
    </row>
    <row r="253" spans="2:42" x14ac:dyDescent="0.35">
      <c r="B253" t="s">
        <v>2</v>
      </c>
      <c r="C253" s="2">
        <v>-117435579.72000003</v>
      </c>
      <c r="D253" s="2">
        <v>0</v>
      </c>
      <c r="E253" s="2">
        <v>0</v>
      </c>
      <c r="F253" s="2">
        <v>0</v>
      </c>
      <c r="G253" s="2">
        <v>-117435579.72000003</v>
      </c>
      <c r="I253" t="s">
        <v>2</v>
      </c>
      <c r="J253" s="2">
        <v>-107658110</v>
      </c>
      <c r="K253" s="2">
        <v>0</v>
      </c>
      <c r="L253" s="2">
        <v>0</v>
      </c>
      <c r="M253" s="2">
        <v>0</v>
      </c>
      <c r="N253" s="2">
        <v>-107658110</v>
      </c>
      <c r="P253" t="s">
        <v>2</v>
      </c>
      <c r="Q253" s="2">
        <v>-4135962.6800000072</v>
      </c>
      <c r="R253" s="2">
        <v>0</v>
      </c>
      <c r="S253" s="2">
        <v>0</v>
      </c>
      <c r="T253" s="2">
        <v>0</v>
      </c>
      <c r="U253" s="2">
        <v>-4135962.6800000072</v>
      </c>
      <c r="W253" t="s">
        <v>2</v>
      </c>
      <c r="X253" s="2">
        <v>-111794072.68000001</v>
      </c>
      <c r="Y253" s="2">
        <v>0</v>
      </c>
      <c r="Z253" s="2">
        <v>0</v>
      </c>
      <c r="AA253" s="2">
        <v>0</v>
      </c>
      <c r="AB253" s="2">
        <v>-111794072.68000001</v>
      </c>
      <c r="AD253" t="s">
        <v>2</v>
      </c>
      <c r="AE253" s="2">
        <v>0</v>
      </c>
      <c r="AF253" s="2">
        <v>0</v>
      </c>
      <c r="AG253" s="2">
        <v>0</v>
      </c>
      <c r="AH253" s="2">
        <v>0</v>
      </c>
      <c r="AI253" s="2">
        <v>0</v>
      </c>
      <c r="AJ253" s="3">
        <v>-111794072.68000001</v>
      </c>
      <c r="AK253" t="s">
        <v>2</v>
      </c>
      <c r="AL253" s="2">
        <v>-5641507.0400000215</v>
      </c>
      <c r="AM253" s="2">
        <v>0</v>
      </c>
      <c r="AN253" s="2">
        <v>0</v>
      </c>
      <c r="AO253" s="2">
        <v>0</v>
      </c>
      <c r="AP253" s="2">
        <v>-5641507.0400000215</v>
      </c>
    </row>
    <row r="254" spans="2:42" x14ac:dyDescent="0.35">
      <c r="B254" s="19" t="s">
        <v>21</v>
      </c>
      <c r="C254" s="20">
        <v>0.58999998867511749</v>
      </c>
      <c r="D254" s="20">
        <v>0</v>
      </c>
      <c r="E254" s="20">
        <v>0</v>
      </c>
      <c r="F254" s="20">
        <v>0</v>
      </c>
      <c r="G254" s="20">
        <v>0.58999998867511749</v>
      </c>
      <c r="I254" s="19" t="s">
        <v>21</v>
      </c>
      <c r="J254" s="20">
        <v>0</v>
      </c>
      <c r="K254" s="20">
        <v>0</v>
      </c>
      <c r="L254" s="20">
        <v>0</v>
      </c>
      <c r="M254" s="20">
        <v>0</v>
      </c>
      <c r="N254" s="20">
        <v>0</v>
      </c>
      <c r="P254" s="19" t="s">
        <v>21</v>
      </c>
      <c r="Q254" s="20">
        <v>2.6200000047683716</v>
      </c>
      <c r="R254" s="20">
        <v>0</v>
      </c>
      <c r="S254" s="20">
        <v>0</v>
      </c>
      <c r="T254" s="20">
        <v>0</v>
      </c>
      <c r="U254" s="20">
        <v>2.6200000047683716</v>
      </c>
      <c r="W254" s="19" t="s">
        <v>21</v>
      </c>
      <c r="X254" s="20">
        <v>2.6200000047683716</v>
      </c>
      <c r="Y254" s="20">
        <v>0</v>
      </c>
      <c r="Z254" s="20">
        <v>0</v>
      </c>
      <c r="AA254" s="20">
        <v>0</v>
      </c>
      <c r="AB254" s="20">
        <v>2.6200000047683716</v>
      </c>
      <c r="AD254" s="19" t="s">
        <v>21</v>
      </c>
      <c r="AE254" s="20">
        <v>9.9999904632568359E-3</v>
      </c>
      <c r="AF254" s="20">
        <v>0</v>
      </c>
      <c r="AG254" s="20">
        <v>0</v>
      </c>
      <c r="AH254" s="20">
        <v>0</v>
      </c>
      <c r="AI254" s="20">
        <v>9.9999904632568359E-3</v>
      </c>
      <c r="AJ254" s="3">
        <v>2.6299999952316284</v>
      </c>
      <c r="AK254" s="19" t="s">
        <v>21</v>
      </c>
      <c r="AL254" s="20">
        <v>-2.0400000065565109</v>
      </c>
      <c r="AM254" s="20">
        <v>0</v>
      </c>
      <c r="AN254" s="20">
        <v>0</v>
      </c>
      <c r="AO254" s="20">
        <v>0</v>
      </c>
      <c r="AP254" s="20">
        <v>-2.0400000065565109</v>
      </c>
    </row>
    <row r="255" spans="2:42" x14ac:dyDescent="0.35">
      <c r="C255" s="2"/>
      <c r="D255" s="2"/>
      <c r="E255" s="2"/>
      <c r="F255" s="2"/>
      <c r="G255" s="2"/>
      <c r="Q255" s="2"/>
      <c r="R255" s="2"/>
      <c r="S255" s="2"/>
      <c r="T255" s="2"/>
      <c r="U255" s="2"/>
      <c r="X255" s="2"/>
      <c r="Y255" s="2"/>
      <c r="Z255" s="2"/>
      <c r="AA255" s="2"/>
      <c r="AB255" s="2"/>
      <c r="AE255" s="2"/>
      <c r="AF255" s="2"/>
      <c r="AG255" s="2"/>
      <c r="AH255" s="2"/>
      <c r="AI255" s="2"/>
      <c r="AJ255" s="3">
        <v>0</v>
      </c>
      <c r="AL255" s="2"/>
      <c r="AM255" s="2"/>
      <c r="AN255" s="2"/>
      <c r="AO255" s="2"/>
      <c r="AP255" s="2"/>
    </row>
    <row r="256" spans="2:42" x14ac:dyDescent="0.35">
      <c r="C256" s="2"/>
      <c r="D256" s="2"/>
      <c r="E256" s="2"/>
      <c r="F256" s="2"/>
      <c r="G256" s="2"/>
      <c r="Q256" s="2"/>
      <c r="R256" s="2"/>
      <c r="S256" s="2"/>
      <c r="T256" s="2"/>
      <c r="U256" s="2"/>
      <c r="X256" s="2"/>
      <c r="Y256" s="2"/>
      <c r="Z256" s="2"/>
      <c r="AA256" s="2"/>
      <c r="AB256" s="2"/>
      <c r="AE256" s="2"/>
      <c r="AF256" s="2"/>
      <c r="AG256" s="2"/>
      <c r="AH256" s="2"/>
      <c r="AI256" s="2"/>
      <c r="AJ256" s="3">
        <v>0</v>
      </c>
      <c r="AL256" s="2"/>
      <c r="AM256" s="2"/>
      <c r="AN256" s="2"/>
      <c r="AO256" s="2"/>
      <c r="AP256" s="2"/>
    </row>
    <row r="257" spans="2:42" x14ac:dyDescent="0.35">
      <c r="B257" t="s">
        <v>24</v>
      </c>
      <c r="C257" s="2">
        <v>0</v>
      </c>
      <c r="D257" s="2">
        <v>516835189</v>
      </c>
      <c r="E257" s="2">
        <v>0</v>
      </c>
      <c r="F257" s="2">
        <v>0</v>
      </c>
      <c r="G257" s="2">
        <v>516835189</v>
      </c>
      <c r="I257" t="s">
        <v>24</v>
      </c>
      <c r="J257" s="2">
        <v>0</v>
      </c>
      <c r="K257" s="2">
        <v>124707945</v>
      </c>
      <c r="L257" s="2">
        <v>0</v>
      </c>
      <c r="M257" s="2">
        <v>0</v>
      </c>
      <c r="N257" s="2">
        <v>124707945</v>
      </c>
      <c r="P257" t="s">
        <v>24</v>
      </c>
      <c r="Q257" s="2">
        <v>0</v>
      </c>
      <c r="R257" s="2">
        <v>129574627</v>
      </c>
      <c r="S257" s="2">
        <v>0</v>
      </c>
      <c r="T257" s="2">
        <v>0</v>
      </c>
      <c r="U257" s="2">
        <v>129574627</v>
      </c>
      <c r="W257" t="s">
        <v>24</v>
      </c>
      <c r="X257" s="2">
        <v>0</v>
      </c>
      <c r="Y257" s="2">
        <v>254282572</v>
      </c>
      <c r="Z257" s="2">
        <v>0</v>
      </c>
      <c r="AA257" s="2">
        <v>0</v>
      </c>
      <c r="AB257" s="2">
        <v>254282572</v>
      </c>
      <c r="AD257" t="s">
        <v>24</v>
      </c>
      <c r="AE257" s="2">
        <v>0</v>
      </c>
      <c r="AF257" s="2">
        <v>121914170</v>
      </c>
      <c r="AG257" s="2">
        <v>0</v>
      </c>
      <c r="AH257" s="2">
        <v>0</v>
      </c>
      <c r="AI257" s="2">
        <v>121914170</v>
      </c>
      <c r="AJ257" s="3">
        <v>376196742</v>
      </c>
      <c r="AK257" t="s">
        <v>24</v>
      </c>
      <c r="AL257" s="2">
        <v>0</v>
      </c>
      <c r="AM257" s="2">
        <v>140638447</v>
      </c>
      <c r="AN257" s="2">
        <v>0</v>
      </c>
      <c r="AO257" s="2">
        <v>0</v>
      </c>
      <c r="AP257" s="2">
        <v>140638447</v>
      </c>
    </row>
    <row r="258" spans="2:42" x14ac:dyDescent="0.35">
      <c r="B258" t="s">
        <v>25</v>
      </c>
      <c r="C258" s="2">
        <v>0</v>
      </c>
      <c r="D258" s="2">
        <v>-44152115</v>
      </c>
      <c r="E258" s="2">
        <v>0</v>
      </c>
      <c r="F258" s="2">
        <v>0</v>
      </c>
      <c r="G258" s="2">
        <v>-44152115</v>
      </c>
      <c r="I258" t="s">
        <v>25</v>
      </c>
      <c r="J258" s="2">
        <v>0</v>
      </c>
      <c r="K258" s="2">
        <v>-14890859</v>
      </c>
      <c r="L258" s="2">
        <v>0</v>
      </c>
      <c r="M258" s="2">
        <v>0</v>
      </c>
      <c r="N258" s="2">
        <v>-14890859</v>
      </c>
      <c r="P258" t="s">
        <v>25</v>
      </c>
      <c r="Q258" s="2">
        <v>0</v>
      </c>
      <c r="R258" s="2">
        <v>-20544231</v>
      </c>
      <c r="S258" s="2">
        <v>0</v>
      </c>
      <c r="T258" s="2">
        <v>0</v>
      </c>
      <c r="U258" s="2">
        <v>-20544231</v>
      </c>
      <c r="W258" t="s">
        <v>25</v>
      </c>
      <c r="X258" s="2">
        <v>0</v>
      </c>
      <c r="Y258" s="2">
        <v>-35435090</v>
      </c>
      <c r="Z258" s="2">
        <v>0</v>
      </c>
      <c r="AA258" s="2">
        <v>0</v>
      </c>
      <c r="AB258" s="2">
        <v>-35435090</v>
      </c>
      <c r="AD258" t="s">
        <v>25</v>
      </c>
      <c r="AE258" s="2">
        <v>0</v>
      </c>
      <c r="AF258" s="2">
        <v>-2623500</v>
      </c>
      <c r="AG258" s="2">
        <v>0</v>
      </c>
      <c r="AH258" s="2">
        <v>0</v>
      </c>
      <c r="AI258" s="2">
        <v>-2623500</v>
      </c>
      <c r="AJ258" s="3">
        <v>-38058590</v>
      </c>
      <c r="AK258" t="s">
        <v>25</v>
      </c>
      <c r="AL258" s="2">
        <v>0</v>
      </c>
      <c r="AM258" s="2">
        <v>-6093525</v>
      </c>
      <c r="AN258" s="2">
        <v>0</v>
      </c>
      <c r="AO258" s="2">
        <v>0</v>
      </c>
      <c r="AP258" s="2">
        <v>-6093525</v>
      </c>
    </row>
    <row r="259" spans="2:42" x14ac:dyDescent="0.35">
      <c r="B259" t="s">
        <v>26</v>
      </c>
      <c r="C259" s="2">
        <v>0</v>
      </c>
      <c r="D259" s="2">
        <v>-154647942</v>
      </c>
      <c r="E259" s="2">
        <v>0</v>
      </c>
      <c r="F259" s="2">
        <v>0</v>
      </c>
      <c r="G259" s="2">
        <v>-154647942</v>
      </c>
      <c r="I259" t="s">
        <v>26</v>
      </c>
      <c r="J259" s="2">
        <v>0</v>
      </c>
      <c r="K259" s="2">
        <v>-37922278</v>
      </c>
      <c r="L259" s="2">
        <v>0</v>
      </c>
      <c r="M259" s="2">
        <v>0</v>
      </c>
      <c r="N259" s="2">
        <v>-37922278</v>
      </c>
      <c r="P259" t="s">
        <v>26</v>
      </c>
      <c r="Q259" s="2">
        <v>0</v>
      </c>
      <c r="R259" s="2">
        <v>-37917364</v>
      </c>
      <c r="S259" s="2">
        <v>0</v>
      </c>
      <c r="T259" s="2">
        <v>0</v>
      </c>
      <c r="U259" s="2">
        <v>-37917364</v>
      </c>
      <c r="W259" t="s">
        <v>26</v>
      </c>
      <c r="X259" s="2">
        <v>0</v>
      </c>
      <c r="Y259" s="2">
        <v>-75839642</v>
      </c>
      <c r="Z259" s="2">
        <v>0</v>
      </c>
      <c r="AA259" s="2">
        <v>0</v>
      </c>
      <c r="AB259" s="2">
        <v>-75839642</v>
      </c>
      <c r="AD259" t="s">
        <v>26</v>
      </c>
      <c r="AE259" s="2">
        <v>0</v>
      </c>
      <c r="AF259" s="2">
        <v>-34374105</v>
      </c>
      <c r="AG259" s="2">
        <v>0</v>
      </c>
      <c r="AH259" s="2">
        <v>0</v>
      </c>
      <c r="AI259" s="2">
        <v>-34374105</v>
      </c>
      <c r="AJ259" s="3">
        <v>-110213747</v>
      </c>
      <c r="AK259" t="s">
        <v>26</v>
      </c>
      <c r="AL259" s="2">
        <v>0</v>
      </c>
      <c r="AM259" s="2">
        <v>-44434195</v>
      </c>
      <c r="AN259" s="2">
        <v>0</v>
      </c>
      <c r="AO259" s="2">
        <v>0</v>
      </c>
      <c r="AP259" s="2">
        <v>-44434195</v>
      </c>
    </row>
    <row r="260" spans="2:42" x14ac:dyDescent="0.35">
      <c r="B260" s="19" t="s">
        <v>101</v>
      </c>
      <c r="C260" s="20">
        <v>0</v>
      </c>
      <c r="D260" s="20">
        <v>318035132</v>
      </c>
      <c r="E260" s="20">
        <v>0</v>
      </c>
      <c r="F260" s="20">
        <v>0</v>
      </c>
      <c r="G260" s="20">
        <v>318035132</v>
      </c>
      <c r="I260" s="19" t="s">
        <v>101</v>
      </c>
      <c r="J260" s="20">
        <v>0</v>
      </c>
      <c r="K260" s="20">
        <v>71894808</v>
      </c>
      <c r="L260" s="20">
        <v>0</v>
      </c>
      <c r="M260" s="20">
        <v>0</v>
      </c>
      <c r="N260" s="20">
        <v>71894808</v>
      </c>
      <c r="P260" s="19" t="s">
        <v>101</v>
      </c>
      <c r="Q260" s="20">
        <v>0</v>
      </c>
      <c r="R260" s="20">
        <v>71113032</v>
      </c>
      <c r="S260" s="20">
        <v>0</v>
      </c>
      <c r="T260" s="20">
        <v>0</v>
      </c>
      <c r="U260" s="20">
        <v>71113032</v>
      </c>
      <c r="W260" s="19" t="s">
        <v>101</v>
      </c>
      <c r="X260" s="20">
        <v>0</v>
      </c>
      <c r="Y260" s="20">
        <v>143007840</v>
      </c>
      <c r="Z260" s="20">
        <v>0</v>
      </c>
      <c r="AA260" s="20">
        <v>0</v>
      </c>
      <c r="AB260" s="20">
        <v>143007840</v>
      </c>
      <c r="AD260" s="19" t="s">
        <v>152</v>
      </c>
      <c r="AE260" s="20">
        <v>0</v>
      </c>
      <c r="AF260" s="20">
        <v>84916565</v>
      </c>
      <c r="AG260" s="20">
        <v>0</v>
      </c>
      <c r="AH260" s="20">
        <v>0</v>
      </c>
      <c r="AI260" s="20">
        <v>84916565</v>
      </c>
      <c r="AJ260" s="3">
        <v>227924405</v>
      </c>
      <c r="AK260" s="19" t="s">
        <v>152</v>
      </c>
      <c r="AL260" s="20">
        <v>0</v>
      </c>
      <c r="AM260" s="20">
        <v>90110727</v>
      </c>
      <c r="AN260" s="20">
        <v>0</v>
      </c>
      <c r="AO260" s="20">
        <v>0</v>
      </c>
      <c r="AP260" s="20">
        <v>90110727</v>
      </c>
    </row>
    <row r="261" spans="2:42" x14ac:dyDescent="0.35">
      <c r="C261" s="2"/>
      <c r="D261" s="2"/>
      <c r="E261" s="2"/>
      <c r="F261" s="2"/>
      <c r="G261" s="2"/>
      <c r="Q261" s="2"/>
      <c r="R261" s="2"/>
      <c r="S261" s="2"/>
      <c r="T261" s="2"/>
      <c r="U261" s="2"/>
      <c r="X261" s="2"/>
      <c r="Y261" s="2"/>
      <c r="Z261" s="2"/>
      <c r="AA261" s="2"/>
      <c r="AB261" s="2"/>
      <c r="AE261" s="2"/>
      <c r="AF261" s="2"/>
      <c r="AG261" s="2"/>
      <c r="AH261" s="2"/>
      <c r="AI261" s="2"/>
      <c r="AJ261" s="3">
        <v>0</v>
      </c>
      <c r="AL261" s="2"/>
      <c r="AM261" s="2"/>
      <c r="AN261" s="2"/>
      <c r="AO261" s="2"/>
      <c r="AP261" s="2"/>
    </row>
    <row r="262" spans="2:42" x14ac:dyDescent="0.35">
      <c r="C262" s="2"/>
      <c r="D262" s="2"/>
      <c r="E262" s="2"/>
      <c r="F262" s="2"/>
      <c r="G262" s="2"/>
      <c r="Q262" s="2"/>
      <c r="R262" s="2"/>
      <c r="S262" s="2"/>
      <c r="T262" s="2"/>
      <c r="U262" s="2"/>
      <c r="X262" s="2"/>
      <c r="Y262" s="2"/>
      <c r="Z262" s="2"/>
      <c r="AA262" s="2"/>
      <c r="AB262" s="2"/>
      <c r="AE262" s="2"/>
      <c r="AF262" s="2"/>
      <c r="AG262" s="2"/>
      <c r="AH262" s="2"/>
      <c r="AI262" s="2"/>
      <c r="AJ262" s="3">
        <v>0</v>
      </c>
      <c r="AL262" s="2"/>
      <c r="AM262" s="2"/>
      <c r="AN262" s="2"/>
      <c r="AO262" s="2"/>
      <c r="AP262" s="2"/>
    </row>
    <row r="263" spans="2:42" x14ac:dyDescent="0.35">
      <c r="B263" t="s">
        <v>27</v>
      </c>
      <c r="C263" s="2">
        <v>0</v>
      </c>
      <c r="D263" s="2">
        <v>-158913927</v>
      </c>
      <c r="E263" s="2">
        <v>0</v>
      </c>
      <c r="F263" s="2">
        <v>0</v>
      </c>
      <c r="G263" s="2">
        <v>-158913927</v>
      </c>
      <c r="I263" t="s">
        <v>27</v>
      </c>
      <c r="J263" s="2">
        <v>0</v>
      </c>
      <c r="K263" s="2">
        <v>-21840516</v>
      </c>
      <c r="L263" s="2">
        <v>0</v>
      </c>
      <c r="M263" s="2">
        <v>0</v>
      </c>
      <c r="N263" s="2">
        <v>-21840516</v>
      </c>
      <c r="P263" t="s">
        <v>27</v>
      </c>
      <c r="Q263" s="2">
        <v>0</v>
      </c>
      <c r="R263" s="2">
        <v>-32020358</v>
      </c>
      <c r="S263" s="2">
        <v>0</v>
      </c>
      <c r="T263" s="2">
        <v>0</v>
      </c>
      <c r="U263" s="2">
        <v>-32020358</v>
      </c>
      <c r="W263" t="s">
        <v>27</v>
      </c>
      <c r="X263" s="2">
        <v>0</v>
      </c>
      <c r="Y263" s="2">
        <v>-53860874</v>
      </c>
      <c r="Z263" s="2">
        <v>0</v>
      </c>
      <c r="AA263" s="2">
        <v>0</v>
      </c>
      <c r="AB263" s="2">
        <v>-53860874</v>
      </c>
      <c r="AD263" t="s">
        <v>27</v>
      </c>
      <c r="AE263" s="2">
        <v>0</v>
      </c>
      <c r="AF263" s="2">
        <v>-50984317</v>
      </c>
      <c r="AG263" s="2">
        <v>0</v>
      </c>
      <c r="AH263" s="2">
        <v>0</v>
      </c>
      <c r="AI263" s="2">
        <v>-50984317</v>
      </c>
      <c r="AJ263" s="3">
        <v>-104845191</v>
      </c>
      <c r="AK263" t="s">
        <v>27</v>
      </c>
      <c r="AL263" s="2">
        <v>0</v>
      </c>
      <c r="AM263" s="2">
        <v>-54068736</v>
      </c>
      <c r="AN263" s="2">
        <v>0</v>
      </c>
      <c r="AO263" s="2">
        <v>0</v>
      </c>
      <c r="AP263" s="2">
        <v>-54068736</v>
      </c>
    </row>
    <row r="264" spans="2:42" x14ac:dyDescent="0.35">
      <c r="B264" t="s">
        <v>28</v>
      </c>
      <c r="C264" s="2">
        <v>0</v>
      </c>
      <c r="D264" s="2">
        <v>-111594998</v>
      </c>
      <c r="E264" s="2">
        <v>0</v>
      </c>
      <c r="F264" s="2">
        <v>0</v>
      </c>
      <c r="G264" s="2">
        <v>-111594998</v>
      </c>
      <c r="I264" t="s">
        <v>28</v>
      </c>
      <c r="J264" s="2">
        <v>0</v>
      </c>
      <c r="K264" s="2">
        <v>-23010724</v>
      </c>
      <c r="L264" s="2">
        <v>0</v>
      </c>
      <c r="M264" s="2">
        <v>0</v>
      </c>
      <c r="N264" s="2">
        <v>-23010724</v>
      </c>
      <c r="P264" t="s">
        <v>28</v>
      </c>
      <c r="Q264" s="2">
        <v>0</v>
      </c>
      <c r="R264" s="2">
        <v>-28870526</v>
      </c>
      <c r="S264" s="2">
        <v>0</v>
      </c>
      <c r="T264" s="2">
        <v>0</v>
      </c>
      <c r="U264" s="2">
        <v>-28870526</v>
      </c>
      <c r="W264" t="s">
        <v>28</v>
      </c>
      <c r="X264" s="2">
        <v>0</v>
      </c>
      <c r="Y264" s="2">
        <v>-51881250</v>
      </c>
      <c r="Z264" s="2">
        <v>0</v>
      </c>
      <c r="AA264" s="2">
        <v>0</v>
      </c>
      <c r="AB264" s="2">
        <v>-51881250</v>
      </c>
      <c r="AD264" t="s">
        <v>28</v>
      </c>
      <c r="AE264" s="2">
        <v>0</v>
      </c>
      <c r="AF264" s="2">
        <v>-27730857</v>
      </c>
      <c r="AG264" s="2">
        <v>0</v>
      </c>
      <c r="AH264" s="2">
        <v>0</v>
      </c>
      <c r="AI264" s="2">
        <v>-27730857</v>
      </c>
      <c r="AJ264" s="3">
        <v>-79612107</v>
      </c>
      <c r="AK264" t="s">
        <v>28</v>
      </c>
      <c r="AL264" s="2">
        <v>0</v>
      </c>
      <c r="AM264" s="2">
        <v>-31982891</v>
      </c>
      <c r="AN264" s="2">
        <v>0</v>
      </c>
      <c r="AO264" s="2">
        <v>0</v>
      </c>
      <c r="AP264" s="2">
        <v>-31982891</v>
      </c>
    </row>
    <row r="265" spans="2:42" x14ac:dyDescent="0.35">
      <c r="B265" t="s">
        <v>29</v>
      </c>
      <c r="C265" s="2">
        <v>0</v>
      </c>
      <c r="D265" s="2">
        <v>7015717</v>
      </c>
      <c r="E265" s="2">
        <v>0</v>
      </c>
      <c r="F265" s="2">
        <v>0</v>
      </c>
      <c r="G265" s="2">
        <v>7015717</v>
      </c>
      <c r="I265" t="s">
        <v>29</v>
      </c>
      <c r="J265" s="2">
        <v>0</v>
      </c>
      <c r="K265" s="2">
        <v>1409376</v>
      </c>
      <c r="L265" s="2">
        <v>0</v>
      </c>
      <c r="M265" s="2">
        <v>0</v>
      </c>
      <c r="N265" s="2">
        <v>1409376</v>
      </c>
      <c r="P265" t="s">
        <v>29</v>
      </c>
      <c r="Q265" s="2">
        <v>0</v>
      </c>
      <c r="R265" s="2">
        <v>1622544</v>
      </c>
      <c r="S265" s="2">
        <v>0</v>
      </c>
      <c r="T265" s="2">
        <v>0</v>
      </c>
      <c r="U265" s="2">
        <v>1622544</v>
      </c>
      <c r="W265" t="s">
        <v>29</v>
      </c>
      <c r="X265" s="2">
        <v>0</v>
      </c>
      <c r="Y265" s="2">
        <v>3031920</v>
      </c>
      <c r="Z265" s="2">
        <v>0</v>
      </c>
      <c r="AA265" s="2">
        <v>0</v>
      </c>
      <c r="AB265" s="2">
        <v>3031920</v>
      </c>
      <c r="AD265" t="s">
        <v>29</v>
      </c>
      <c r="AE265" s="2">
        <v>0</v>
      </c>
      <c r="AF265" s="2">
        <v>1984752</v>
      </c>
      <c r="AG265" s="2">
        <v>0</v>
      </c>
      <c r="AH265" s="2">
        <v>0</v>
      </c>
      <c r="AI265" s="2">
        <v>1984752</v>
      </c>
      <c r="AJ265" s="3">
        <v>5016672</v>
      </c>
      <c r="AK265" t="s">
        <v>29</v>
      </c>
      <c r="AL265" s="2">
        <v>0</v>
      </c>
      <c r="AM265" s="2">
        <v>1999045</v>
      </c>
      <c r="AN265" s="2">
        <v>0</v>
      </c>
      <c r="AO265" s="2">
        <v>0</v>
      </c>
      <c r="AP265" s="2">
        <v>1999045</v>
      </c>
    </row>
    <row r="266" spans="2:42" x14ac:dyDescent="0.35">
      <c r="B266" t="s">
        <v>30</v>
      </c>
      <c r="C266" s="2">
        <v>0</v>
      </c>
      <c r="D266" s="2">
        <v>-2279942</v>
      </c>
      <c r="E266" s="2">
        <v>0</v>
      </c>
      <c r="F266" s="2">
        <v>0</v>
      </c>
      <c r="G266" s="2">
        <v>-2279942</v>
      </c>
      <c r="I266" t="s">
        <v>30</v>
      </c>
      <c r="J266" s="2">
        <v>0</v>
      </c>
      <c r="K266" s="2">
        <v>-126982</v>
      </c>
      <c r="L266" s="2">
        <v>0</v>
      </c>
      <c r="M266" s="2">
        <v>0</v>
      </c>
      <c r="N266" s="2">
        <v>-126982</v>
      </c>
      <c r="P266" t="s">
        <v>30</v>
      </c>
      <c r="Q266" s="2">
        <v>0</v>
      </c>
      <c r="R266" s="2">
        <v>-420031</v>
      </c>
      <c r="S266" s="2">
        <v>0</v>
      </c>
      <c r="T266" s="2">
        <v>0</v>
      </c>
      <c r="U266" s="2">
        <v>-420031</v>
      </c>
      <c r="W266" t="s">
        <v>30</v>
      </c>
      <c r="X266" s="2">
        <v>0</v>
      </c>
      <c r="Y266" s="2">
        <v>-547013</v>
      </c>
      <c r="Z266" s="2">
        <v>0</v>
      </c>
      <c r="AA266" s="2">
        <v>0</v>
      </c>
      <c r="AB266" s="2">
        <v>-547013</v>
      </c>
      <c r="AD266" t="s">
        <v>30</v>
      </c>
      <c r="AE266" s="2">
        <v>0</v>
      </c>
      <c r="AF266" s="2">
        <v>-405187</v>
      </c>
      <c r="AG266" s="2">
        <v>0</v>
      </c>
      <c r="AH266" s="2">
        <v>0</v>
      </c>
      <c r="AI266" s="2">
        <v>-405187</v>
      </c>
      <c r="AJ266" s="3">
        <v>-952200</v>
      </c>
      <c r="AK266" t="s">
        <v>30</v>
      </c>
      <c r="AL266" s="2">
        <v>0</v>
      </c>
      <c r="AM266" s="2">
        <v>-1327742</v>
      </c>
      <c r="AN266" s="2">
        <v>0</v>
      </c>
      <c r="AO266" s="2">
        <v>0</v>
      </c>
      <c r="AP266" s="2">
        <v>-1327742</v>
      </c>
    </row>
    <row r="267" spans="2:42" x14ac:dyDescent="0.35">
      <c r="B267" s="19" t="s">
        <v>90</v>
      </c>
      <c r="C267" s="20">
        <v>0</v>
      </c>
      <c r="D267" s="20">
        <v>-265773150</v>
      </c>
      <c r="E267" s="20">
        <v>0</v>
      </c>
      <c r="F267" s="20">
        <v>0</v>
      </c>
      <c r="G267" s="20">
        <v>-265773150</v>
      </c>
      <c r="I267" s="19" t="s">
        <v>90</v>
      </c>
      <c r="J267" s="20">
        <v>0</v>
      </c>
      <c r="K267" s="20">
        <v>-43568846</v>
      </c>
      <c r="L267" s="20">
        <v>0</v>
      </c>
      <c r="M267" s="20">
        <v>0</v>
      </c>
      <c r="N267" s="20">
        <v>-43568846</v>
      </c>
      <c r="P267" s="19" t="s">
        <v>90</v>
      </c>
      <c r="Q267" s="20">
        <v>0</v>
      </c>
      <c r="R267" s="20">
        <v>-59688371</v>
      </c>
      <c r="S267" s="20">
        <v>0</v>
      </c>
      <c r="T267" s="20">
        <v>0</v>
      </c>
      <c r="U267" s="20">
        <v>-59688371</v>
      </c>
      <c r="W267" s="19" t="s">
        <v>90</v>
      </c>
      <c r="X267" s="20">
        <v>0</v>
      </c>
      <c r="Y267" s="20">
        <v>-103257217</v>
      </c>
      <c r="Z267" s="20">
        <v>0</v>
      </c>
      <c r="AA267" s="20">
        <v>0</v>
      </c>
      <c r="AB267" s="20">
        <v>-103257217</v>
      </c>
      <c r="AD267" s="19" t="s">
        <v>90</v>
      </c>
      <c r="AE267" s="20">
        <v>0</v>
      </c>
      <c r="AF267" s="20">
        <v>-77135609</v>
      </c>
      <c r="AG267" s="20">
        <v>0</v>
      </c>
      <c r="AH267" s="20">
        <v>0</v>
      </c>
      <c r="AI267" s="20">
        <v>-77135609</v>
      </c>
      <c r="AJ267" s="3">
        <v>-180392826</v>
      </c>
      <c r="AK267" s="19" t="s">
        <v>90</v>
      </c>
      <c r="AL267" s="20">
        <v>0</v>
      </c>
      <c r="AM267" s="20">
        <v>-85380324</v>
      </c>
      <c r="AN267" s="20">
        <v>0</v>
      </c>
      <c r="AO267" s="20">
        <v>0</v>
      </c>
      <c r="AP267" s="20">
        <v>-85380324</v>
      </c>
    </row>
    <row r="268" spans="2:42" x14ac:dyDescent="0.35">
      <c r="C268" s="2"/>
      <c r="D268" s="2"/>
      <c r="E268" s="2"/>
      <c r="F268" s="2"/>
      <c r="G268" s="2"/>
      <c r="Q268" s="2"/>
      <c r="R268" s="2"/>
      <c r="S268" s="2"/>
      <c r="T268" s="2"/>
      <c r="U268" s="2"/>
      <c r="X268" s="2"/>
      <c r="Y268" s="2"/>
      <c r="Z268" s="2"/>
      <c r="AA268" s="2"/>
      <c r="AB268" s="2"/>
      <c r="AE268" s="2"/>
      <c r="AF268" s="2"/>
      <c r="AG268" s="2"/>
      <c r="AH268" s="2"/>
      <c r="AI268" s="2"/>
      <c r="AJ268" s="3">
        <v>0</v>
      </c>
      <c r="AL268" s="2"/>
      <c r="AM268" s="2"/>
      <c r="AN268" s="2"/>
      <c r="AO268" s="2"/>
      <c r="AP268" s="2"/>
    </row>
    <row r="269" spans="2:42" x14ac:dyDescent="0.35">
      <c r="C269" s="2"/>
      <c r="D269" s="2"/>
      <c r="E269" s="2"/>
      <c r="F269" s="2"/>
      <c r="G269" s="2"/>
      <c r="Q269" s="2"/>
      <c r="R269" s="2"/>
      <c r="S269" s="2"/>
      <c r="T269" s="2"/>
      <c r="U269" s="2"/>
      <c r="X269" s="2"/>
      <c r="Y269" s="2"/>
      <c r="Z269" s="2"/>
      <c r="AA269" s="2"/>
      <c r="AB269" s="2"/>
      <c r="AE269" s="2"/>
      <c r="AF269" s="2"/>
      <c r="AG269" s="2"/>
      <c r="AH269" s="2"/>
      <c r="AI269" s="2"/>
      <c r="AJ269" s="3">
        <v>0</v>
      </c>
      <c r="AL269" s="2"/>
      <c r="AM269" s="2"/>
      <c r="AN269" s="2"/>
      <c r="AO269" s="2"/>
      <c r="AP269" s="2"/>
    </row>
    <row r="270" spans="2:42" x14ac:dyDescent="0.35">
      <c r="B270" s="16" t="s">
        <v>89</v>
      </c>
      <c r="C270" s="17">
        <v>0</v>
      </c>
      <c r="D270" s="17">
        <v>42998367</v>
      </c>
      <c r="E270" s="17">
        <v>2219618.0300000003</v>
      </c>
      <c r="F270" s="17">
        <v>0</v>
      </c>
      <c r="G270" s="17">
        <v>45217985.030000001</v>
      </c>
      <c r="I270" s="16" t="s">
        <v>89</v>
      </c>
      <c r="J270" s="17">
        <v>0</v>
      </c>
      <c r="K270" s="17">
        <v>9767493</v>
      </c>
      <c r="L270" s="17">
        <v>304357</v>
      </c>
      <c r="M270" s="17">
        <v>0</v>
      </c>
      <c r="N270" s="17">
        <v>10071850</v>
      </c>
      <c r="P270" s="6" t="s">
        <v>89</v>
      </c>
      <c r="Q270" s="2">
        <v>0</v>
      </c>
      <c r="R270" s="2">
        <v>10085465</v>
      </c>
      <c r="S270" s="2">
        <v>355864.35</v>
      </c>
      <c r="T270" s="2">
        <v>0</v>
      </c>
      <c r="U270" s="7">
        <v>10441329.35</v>
      </c>
      <c r="W270" s="6" t="s">
        <v>89</v>
      </c>
      <c r="X270" s="2">
        <v>0</v>
      </c>
      <c r="Y270" s="2">
        <v>19852958</v>
      </c>
      <c r="Z270" s="2">
        <v>660221.35</v>
      </c>
      <c r="AA270" s="2">
        <v>0</v>
      </c>
      <c r="AB270" s="7">
        <v>20513179.350000001</v>
      </c>
      <c r="AD270" s="16" t="s">
        <v>89</v>
      </c>
      <c r="AE270" s="23">
        <v>0</v>
      </c>
      <c r="AF270" s="23">
        <v>11167399</v>
      </c>
      <c r="AG270" s="23">
        <v>663073.46000000008</v>
      </c>
      <c r="AH270" s="23">
        <v>0</v>
      </c>
      <c r="AI270" s="23">
        <v>11830472.460000001</v>
      </c>
      <c r="AJ270" s="3">
        <v>32343651.810000002</v>
      </c>
      <c r="AK270" s="16" t="s">
        <v>89</v>
      </c>
      <c r="AL270" s="23">
        <v>0</v>
      </c>
      <c r="AM270" s="23">
        <v>11978010</v>
      </c>
      <c r="AN270" s="23">
        <v>896323.22000000032</v>
      </c>
      <c r="AO270" s="23">
        <v>0</v>
      </c>
      <c r="AP270" s="23">
        <v>12874333.220000001</v>
      </c>
    </row>
    <row r="271" spans="2:42" x14ac:dyDescent="0.35">
      <c r="C271" s="2"/>
      <c r="D271" s="2"/>
      <c r="E271" s="2"/>
      <c r="F271" s="2"/>
      <c r="G271" s="2"/>
      <c r="P271" s="13"/>
      <c r="Q271" s="155"/>
      <c r="R271" s="155"/>
      <c r="S271" s="155"/>
      <c r="T271" s="155"/>
      <c r="U271" s="155"/>
      <c r="W271" s="13"/>
      <c r="X271" s="155"/>
      <c r="Y271" s="155"/>
      <c r="Z271" s="155"/>
      <c r="AA271" s="155"/>
      <c r="AB271" s="155"/>
      <c r="AE271" s="2"/>
      <c r="AF271" s="2"/>
      <c r="AG271" s="2"/>
      <c r="AH271" s="2"/>
      <c r="AI271" s="2"/>
      <c r="AJ271" s="3">
        <v>0</v>
      </c>
      <c r="AL271" s="2"/>
      <c r="AM271" s="2"/>
      <c r="AN271" s="2"/>
      <c r="AO271" s="2"/>
      <c r="AP271" s="2"/>
    </row>
    <row r="272" spans="2:42" x14ac:dyDescent="0.35">
      <c r="C272" s="2"/>
      <c r="D272" s="2"/>
      <c r="E272" s="2"/>
      <c r="F272" s="2"/>
      <c r="G272" s="2"/>
      <c r="Q272" s="2"/>
      <c r="R272" s="2"/>
      <c r="S272" s="2"/>
      <c r="T272" s="2"/>
      <c r="U272" s="2"/>
      <c r="X272" s="2"/>
      <c r="Y272" s="2"/>
      <c r="Z272" s="2"/>
      <c r="AA272" s="2"/>
      <c r="AB272" s="2"/>
      <c r="AJ272" s="3">
        <v>0</v>
      </c>
    </row>
    <row r="273" spans="2:42" x14ac:dyDescent="0.35">
      <c r="C273" s="2"/>
      <c r="D273" s="2"/>
      <c r="E273" s="2"/>
      <c r="F273" s="2"/>
      <c r="G273" s="2"/>
      <c r="Q273" s="2"/>
      <c r="R273" s="2"/>
      <c r="S273" s="2"/>
      <c r="T273" s="2"/>
      <c r="U273" s="2"/>
      <c r="X273" s="2"/>
      <c r="Y273" s="2"/>
      <c r="Z273" s="2"/>
      <c r="AA273" s="2"/>
      <c r="AB273" s="2"/>
      <c r="AJ273" s="3">
        <v>0</v>
      </c>
    </row>
    <row r="274" spans="2:42" x14ac:dyDescent="0.35">
      <c r="B274" t="s">
        <v>31</v>
      </c>
      <c r="C274" s="2">
        <v>0</v>
      </c>
      <c r="D274" s="2">
        <v>1223231</v>
      </c>
      <c r="E274" s="2">
        <v>40846965.139999993</v>
      </c>
      <c r="F274" s="2">
        <v>0</v>
      </c>
      <c r="G274" s="2">
        <v>42070196.139999993</v>
      </c>
      <c r="I274" t="s">
        <v>31</v>
      </c>
      <c r="J274" s="2">
        <v>0</v>
      </c>
      <c r="K274" s="2">
        <v>18031</v>
      </c>
      <c r="L274" s="2">
        <v>8332695</v>
      </c>
      <c r="M274" s="2">
        <v>0</v>
      </c>
      <c r="N274" s="2">
        <v>8350726</v>
      </c>
      <c r="P274" t="s">
        <v>31</v>
      </c>
      <c r="Q274" s="2">
        <v>0</v>
      </c>
      <c r="R274" s="2">
        <v>134745</v>
      </c>
      <c r="S274" s="2">
        <v>8257867.8100000024</v>
      </c>
      <c r="T274" s="2">
        <v>0</v>
      </c>
      <c r="U274" s="2">
        <v>8392612.8100000024</v>
      </c>
      <c r="W274" t="s">
        <v>31</v>
      </c>
      <c r="X274" s="2">
        <v>0</v>
      </c>
      <c r="Y274" s="2">
        <v>152776</v>
      </c>
      <c r="Z274" s="2">
        <v>16590562.810000002</v>
      </c>
      <c r="AA274" s="2">
        <v>0</v>
      </c>
      <c r="AB274" s="2">
        <v>16743338.810000002</v>
      </c>
      <c r="AD274" t="s">
        <v>31</v>
      </c>
      <c r="AE274" s="2">
        <v>0</v>
      </c>
      <c r="AF274" s="2">
        <v>22461</v>
      </c>
      <c r="AG274" s="2">
        <v>13123075.669999994</v>
      </c>
      <c r="AH274" s="2">
        <v>0</v>
      </c>
      <c r="AI274" s="2">
        <v>13145536.669999994</v>
      </c>
      <c r="AJ274" s="3">
        <v>29888875.479999997</v>
      </c>
      <c r="AK274" t="s">
        <v>31</v>
      </c>
      <c r="AL274" s="2">
        <v>0</v>
      </c>
      <c r="AM274" s="2">
        <v>1047994</v>
      </c>
      <c r="AN274" s="2">
        <v>11133326.659999996</v>
      </c>
      <c r="AO274" s="2">
        <v>0</v>
      </c>
      <c r="AP274" s="2">
        <v>12181320.659999996</v>
      </c>
    </row>
    <row r="275" spans="2:42" x14ac:dyDescent="0.35">
      <c r="B275" t="s">
        <v>32</v>
      </c>
      <c r="C275" s="2">
        <v>0</v>
      </c>
      <c r="D275" s="2">
        <v>0</v>
      </c>
      <c r="E275" s="2">
        <v>-3983525.034</v>
      </c>
      <c r="F275" s="2">
        <v>0</v>
      </c>
      <c r="G275" s="2">
        <v>-3983525.034</v>
      </c>
      <c r="I275" t="s">
        <v>32</v>
      </c>
      <c r="J275" s="2">
        <v>0</v>
      </c>
      <c r="K275" s="2">
        <v>0</v>
      </c>
      <c r="L275" s="2">
        <v>-262915</v>
      </c>
      <c r="M275" s="2">
        <v>0</v>
      </c>
      <c r="N275" s="2">
        <v>-262915</v>
      </c>
      <c r="P275" t="s">
        <v>32</v>
      </c>
      <c r="Q275" s="2">
        <v>0</v>
      </c>
      <c r="R275" s="2">
        <v>0</v>
      </c>
      <c r="S275" s="2">
        <v>-606005.28399999987</v>
      </c>
      <c r="T275" s="2">
        <v>0</v>
      </c>
      <c r="U275" s="2">
        <v>-606005.28399999987</v>
      </c>
      <c r="W275" t="s">
        <v>32</v>
      </c>
      <c r="X275" s="2">
        <v>0</v>
      </c>
      <c r="Y275" s="2">
        <v>0</v>
      </c>
      <c r="Z275" s="2">
        <v>-868920.28399999987</v>
      </c>
      <c r="AA275" s="2">
        <v>0</v>
      </c>
      <c r="AB275" s="2">
        <v>-868920.28399999987</v>
      </c>
      <c r="AD275" t="s">
        <v>32</v>
      </c>
      <c r="AE275" s="2">
        <v>0</v>
      </c>
      <c r="AF275" s="2">
        <v>0</v>
      </c>
      <c r="AG275" s="2">
        <v>-1039035.7300000001</v>
      </c>
      <c r="AH275" s="2">
        <v>0</v>
      </c>
      <c r="AI275" s="2">
        <v>-1039035.7300000001</v>
      </c>
      <c r="AJ275" s="3">
        <v>-1907956.014</v>
      </c>
      <c r="AK275" t="s">
        <v>32</v>
      </c>
      <c r="AL275" s="2">
        <v>0</v>
      </c>
      <c r="AM275" s="2">
        <v>0</v>
      </c>
      <c r="AN275" s="2">
        <v>-2075569.02</v>
      </c>
      <c r="AO275" s="2">
        <v>0</v>
      </c>
      <c r="AP275" s="2">
        <v>-2075569.02</v>
      </c>
    </row>
    <row r="276" spans="2:42" x14ac:dyDescent="0.35">
      <c r="B276" s="19" t="s">
        <v>33</v>
      </c>
      <c r="C276" s="20">
        <v>0</v>
      </c>
      <c r="D276" s="20">
        <v>1223231</v>
      </c>
      <c r="E276" s="20">
        <v>36863440.105999991</v>
      </c>
      <c r="F276" s="20">
        <v>0</v>
      </c>
      <c r="G276" s="20">
        <v>38086671.105999991</v>
      </c>
      <c r="I276" s="19" t="s">
        <v>33</v>
      </c>
      <c r="J276" s="20">
        <v>0</v>
      </c>
      <c r="K276" s="20">
        <v>18031</v>
      </c>
      <c r="L276" s="20">
        <v>8069780</v>
      </c>
      <c r="M276" s="20">
        <v>0</v>
      </c>
      <c r="N276" s="20">
        <v>8087811</v>
      </c>
      <c r="P276" s="19" t="s">
        <v>33</v>
      </c>
      <c r="Q276" s="20">
        <v>0</v>
      </c>
      <c r="R276" s="20">
        <v>134745</v>
      </c>
      <c r="S276" s="20">
        <v>7651862.5260000024</v>
      </c>
      <c r="T276" s="20">
        <v>0</v>
      </c>
      <c r="U276" s="20">
        <v>7786607.5260000024</v>
      </c>
      <c r="W276" s="19" t="s">
        <v>33</v>
      </c>
      <c r="X276" s="20">
        <v>0</v>
      </c>
      <c r="Y276" s="20">
        <v>152776</v>
      </c>
      <c r="Z276" s="20">
        <v>15721642.526000002</v>
      </c>
      <c r="AA276" s="20">
        <v>0</v>
      </c>
      <c r="AB276" s="20">
        <v>15874418.526000002</v>
      </c>
      <c r="AD276" s="25" t="s">
        <v>33</v>
      </c>
      <c r="AE276" s="20">
        <v>0</v>
      </c>
      <c r="AF276" s="20">
        <v>22461</v>
      </c>
      <c r="AG276" s="20">
        <v>12084039.939999994</v>
      </c>
      <c r="AH276" s="20">
        <v>0</v>
      </c>
      <c r="AI276" s="20">
        <v>12106500.939999994</v>
      </c>
      <c r="AJ276" s="3">
        <v>27980919.465999998</v>
      </c>
      <c r="AK276" s="25" t="s">
        <v>33</v>
      </c>
      <c r="AL276" s="20">
        <v>0</v>
      </c>
      <c r="AM276" s="20">
        <v>1047994</v>
      </c>
      <c r="AN276" s="20">
        <v>9057757.6399999969</v>
      </c>
      <c r="AO276" s="20">
        <v>0</v>
      </c>
      <c r="AP276" s="20">
        <v>10105751.639999997</v>
      </c>
    </row>
    <row r="277" spans="2:42" x14ac:dyDescent="0.35">
      <c r="C277" s="2"/>
      <c r="D277" s="2"/>
      <c r="E277" s="2"/>
      <c r="F277" s="2"/>
      <c r="G277" s="2"/>
      <c r="Q277" s="2"/>
      <c r="R277" s="2"/>
      <c r="S277" s="2"/>
      <c r="T277" s="2"/>
      <c r="U277" s="2"/>
      <c r="X277" s="2"/>
      <c r="Y277" s="2"/>
      <c r="Z277" s="2"/>
      <c r="AA277" s="2"/>
      <c r="AB277" s="2"/>
      <c r="AE277" s="2"/>
      <c r="AF277" s="2"/>
      <c r="AG277" s="2"/>
      <c r="AH277" s="2"/>
      <c r="AI277" s="2"/>
      <c r="AJ277" s="3">
        <v>0</v>
      </c>
      <c r="AL277" s="2"/>
      <c r="AM277" s="2"/>
      <c r="AN277" s="2"/>
      <c r="AO277" s="2"/>
      <c r="AP277" s="2"/>
    </row>
    <row r="278" spans="2:42" x14ac:dyDescent="0.35">
      <c r="C278" s="2"/>
      <c r="D278" s="2"/>
      <c r="E278" s="2"/>
      <c r="F278" s="2"/>
      <c r="G278" s="2"/>
      <c r="Q278" s="2"/>
      <c r="R278" s="2"/>
      <c r="S278" s="2"/>
      <c r="T278" s="2"/>
      <c r="U278" s="2"/>
      <c r="X278" s="2"/>
      <c r="Y278" s="2"/>
      <c r="Z278" s="2"/>
      <c r="AA278" s="2"/>
      <c r="AB278" s="2"/>
      <c r="AE278" s="2"/>
      <c r="AF278" s="2"/>
      <c r="AG278" s="2"/>
      <c r="AH278" s="2"/>
      <c r="AI278" s="2"/>
      <c r="AJ278" s="3">
        <v>0</v>
      </c>
      <c r="AL278" s="2"/>
      <c r="AM278" s="2"/>
      <c r="AN278" s="2"/>
      <c r="AO278" s="2"/>
      <c r="AP278" s="2"/>
    </row>
    <row r="279" spans="2:42" x14ac:dyDescent="0.35">
      <c r="B279" t="s">
        <v>35</v>
      </c>
      <c r="C279" s="2">
        <v>13644226.260000002</v>
      </c>
      <c r="D279" s="2">
        <v>2808643</v>
      </c>
      <c r="E279" s="2">
        <v>0</v>
      </c>
      <c r="F279" s="2">
        <v>2135290.73</v>
      </c>
      <c r="G279" s="2">
        <v>18588159.990000002</v>
      </c>
      <c r="I279" t="s">
        <v>35</v>
      </c>
      <c r="J279" s="2">
        <v>5137770</v>
      </c>
      <c r="K279" s="2">
        <v>407900</v>
      </c>
      <c r="L279" s="2">
        <v>0</v>
      </c>
      <c r="M279" s="2">
        <v>0</v>
      </c>
      <c r="N279" s="2">
        <v>5545670</v>
      </c>
      <c r="P279" t="s">
        <v>35</v>
      </c>
      <c r="Q279" s="2">
        <v>2158279.7799999993</v>
      </c>
      <c r="R279" s="2">
        <v>640926</v>
      </c>
      <c r="S279" s="2">
        <v>0</v>
      </c>
      <c r="T279" s="2">
        <v>0</v>
      </c>
      <c r="U279" s="2">
        <v>2799205.7799999993</v>
      </c>
      <c r="W279" t="s">
        <v>35</v>
      </c>
      <c r="X279" s="2">
        <v>7296049.7799999993</v>
      </c>
      <c r="Y279" s="2">
        <v>1048826</v>
      </c>
      <c r="Z279" s="2">
        <v>0</v>
      </c>
      <c r="AA279" s="2">
        <v>0</v>
      </c>
      <c r="AB279" s="2">
        <v>8344875.7799999993</v>
      </c>
      <c r="AD279" t="s">
        <v>35</v>
      </c>
      <c r="AE279" s="2">
        <v>2871626.870000001</v>
      </c>
      <c r="AF279" s="2">
        <v>381379</v>
      </c>
      <c r="AG279" s="2">
        <v>0</v>
      </c>
      <c r="AH279" s="2">
        <v>0</v>
      </c>
      <c r="AI279" s="2">
        <v>3253005.870000001</v>
      </c>
      <c r="AJ279" s="3">
        <v>11597881.65</v>
      </c>
      <c r="AK279" t="s">
        <v>35</v>
      </c>
      <c r="AL279" s="2">
        <v>3476549.6100000013</v>
      </c>
      <c r="AM279" s="2">
        <v>1378438</v>
      </c>
      <c r="AN279" s="2">
        <v>0</v>
      </c>
      <c r="AO279" s="2">
        <v>2135290.73</v>
      </c>
      <c r="AP279" s="2">
        <v>6990278.3400000017</v>
      </c>
    </row>
    <row r="280" spans="2:42" x14ac:dyDescent="0.35">
      <c r="B280" t="s">
        <v>36</v>
      </c>
      <c r="C280" s="2">
        <v>-13307509.82</v>
      </c>
      <c r="D280" s="2">
        <v>0</v>
      </c>
      <c r="E280" s="2">
        <v>0</v>
      </c>
      <c r="F280" s="2">
        <v>-1312064.8600000001</v>
      </c>
      <c r="G280" s="2">
        <v>-14619574.68</v>
      </c>
      <c r="I280" t="s">
        <v>36</v>
      </c>
      <c r="J280" s="2">
        <v>-1800124</v>
      </c>
      <c r="K280" s="2">
        <v>0</v>
      </c>
      <c r="L280" s="2">
        <v>0</v>
      </c>
      <c r="M280" s="2">
        <v>0</v>
      </c>
      <c r="N280" s="2">
        <v>-1800124</v>
      </c>
      <c r="P280" t="s">
        <v>36</v>
      </c>
      <c r="Q280" s="2">
        <v>-3545730.05</v>
      </c>
      <c r="R280" s="2">
        <v>0</v>
      </c>
      <c r="S280" s="2">
        <v>0</v>
      </c>
      <c r="T280" s="2">
        <v>0</v>
      </c>
      <c r="U280" s="2">
        <v>-3545730.05</v>
      </c>
      <c r="W280" t="s">
        <v>36</v>
      </c>
      <c r="X280" s="2">
        <v>-5345854.05</v>
      </c>
      <c r="Y280" s="2">
        <v>0</v>
      </c>
      <c r="Z280" s="2">
        <v>0</v>
      </c>
      <c r="AA280" s="2">
        <v>0</v>
      </c>
      <c r="AB280" s="2">
        <v>-5345854.05</v>
      </c>
      <c r="AD280" t="s">
        <v>36</v>
      </c>
      <c r="AE280" s="2">
        <v>-3381684.6599999974</v>
      </c>
      <c r="AF280" s="2">
        <v>0</v>
      </c>
      <c r="AG280" s="2">
        <v>0</v>
      </c>
      <c r="AH280" s="2">
        <v>0</v>
      </c>
      <c r="AI280" s="2">
        <v>-3381684.6599999974</v>
      </c>
      <c r="AJ280" s="3">
        <v>-8727538.7099999972</v>
      </c>
      <c r="AK280" t="s">
        <v>36</v>
      </c>
      <c r="AL280" s="2">
        <v>-4579971.1100000041</v>
      </c>
      <c r="AM280" s="2">
        <v>0</v>
      </c>
      <c r="AN280" s="2">
        <v>0</v>
      </c>
      <c r="AO280" s="2">
        <v>-1312064.8600000001</v>
      </c>
      <c r="AP280" s="2">
        <v>-5892035.9700000044</v>
      </c>
    </row>
    <row r="281" spans="2:42" x14ac:dyDescent="0.35">
      <c r="B281" s="19" t="s">
        <v>37</v>
      </c>
      <c r="C281" s="20">
        <v>336716.44000000134</v>
      </c>
      <c r="D281" s="20">
        <v>2808643</v>
      </c>
      <c r="E281" s="20">
        <v>0</v>
      </c>
      <c r="F281" s="20">
        <v>823225.86999999988</v>
      </c>
      <c r="G281" s="20">
        <v>3968585.3100000024</v>
      </c>
      <c r="I281" s="19" t="s">
        <v>37</v>
      </c>
      <c r="J281" s="20">
        <v>3337646</v>
      </c>
      <c r="K281" s="20">
        <v>407900</v>
      </c>
      <c r="L281" s="20">
        <v>0</v>
      </c>
      <c r="M281" s="20">
        <v>0</v>
      </c>
      <c r="N281" s="20">
        <v>3745546</v>
      </c>
      <c r="P281" s="19" t="s">
        <v>37</v>
      </c>
      <c r="Q281" s="20">
        <v>-1387450.2700000005</v>
      </c>
      <c r="R281" s="20">
        <v>640926</v>
      </c>
      <c r="S281" s="20">
        <v>0</v>
      </c>
      <c r="T281" s="20">
        <v>0</v>
      </c>
      <c r="U281" s="20">
        <v>-746524.27000000048</v>
      </c>
      <c r="W281" s="19" t="s">
        <v>37</v>
      </c>
      <c r="X281" s="20">
        <v>1950195.7299999995</v>
      </c>
      <c r="Y281" s="20">
        <v>1048826</v>
      </c>
      <c r="Z281" s="20">
        <v>0</v>
      </c>
      <c r="AA281" s="20">
        <v>0</v>
      </c>
      <c r="AB281" s="20">
        <v>2999021.7299999995</v>
      </c>
      <c r="AD281" s="25" t="s">
        <v>37</v>
      </c>
      <c r="AE281" s="20">
        <v>-510057.78999999631</v>
      </c>
      <c r="AF281" s="20">
        <v>381379</v>
      </c>
      <c r="AG281" s="20">
        <v>0</v>
      </c>
      <c r="AH281" s="20">
        <v>0</v>
      </c>
      <c r="AI281" s="20">
        <v>-128678.78999999631</v>
      </c>
      <c r="AJ281" s="3">
        <v>2870342.9400000032</v>
      </c>
      <c r="AK281" s="25" t="s">
        <v>37</v>
      </c>
      <c r="AL281" s="20">
        <v>-1103421.5000000028</v>
      </c>
      <c r="AM281" s="20">
        <v>1378438</v>
      </c>
      <c r="AN281" s="20">
        <v>0</v>
      </c>
      <c r="AO281" s="20">
        <v>823225.86999999988</v>
      </c>
      <c r="AP281" s="20">
        <v>1098242.3699999973</v>
      </c>
    </row>
    <row r="282" spans="2:42" x14ac:dyDescent="0.35">
      <c r="C282" s="2"/>
      <c r="D282" s="2"/>
      <c r="E282" s="2"/>
      <c r="F282" s="2"/>
      <c r="G282" s="2"/>
      <c r="Q282" s="2"/>
      <c r="R282" s="2"/>
      <c r="S282" s="2"/>
      <c r="T282" s="2"/>
      <c r="U282" s="2"/>
      <c r="X282" s="2"/>
      <c r="Y282" s="2"/>
      <c r="Z282" s="2"/>
      <c r="AA282" s="2"/>
      <c r="AB282" s="2"/>
      <c r="AE282" s="2"/>
      <c r="AF282" s="2"/>
      <c r="AG282" s="2"/>
      <c r="AH282" s="2"/>
      <c r="AI282" s="2"/>
      <c r="AJ282" s="3">
        <v>0</v>
      </c>
      <c r="AL282" s="2"/>
      <c r="AM282" s="2"/>
      <c r="AN282" s="2"/>
      <c r="AO282" s="2"/>
      <c r="AP282" s="2"/>
    </row>
    <row r="283" spans="2:42" x14ac:dyDescent="0.35">
      <c r="C283" s="2"/>
      <c r="D283" s="2"/>
      <c r="E283" s="2"/>
      <c r="F283" s="2"/>
      <c r="G283" s="2"/>
      <c r="J283" s="2"/>
      <c r="K283" s="2"/>
      <c r="L283" s="2"/>
      <c r="M283" s="2"/>
      <c r="N283" s="2"/>
      <c r="Q283" s="2"/>
      <c r="R283" s="2"/>
      <c r="S283" s="2"/>
      <c r="T283" s="2"/>
      <c r="U283" s="2"/>
      <c r="X283" s="2"/>
      <c r="Y283" s="2"/>
      <c r="Z283" s="2"/>
      <c r="AA283" s="2"/>
      <c r="AB283" s="2"/>
      <c r="AE283" s="2"/>
      <c r="AF283" s="2"/>
      <c r="AG283" s="2"/>
      <c r="AH283" s="2"/>
      <c r="AI283" s="2"/>
      <c r="AJ283" s="3">
        <v>0</v>
      </c>
      <c r="AL283" s="2"/>
      <c r="AM283" s="2"/>
      <c r="AN283" s="2"/>
      <c r="AO283" s="2"/>
      <c r="AP283" s="2"/>
    </row>
    <row r="284" spans="2:42" x14ac:dyDescent="0.35">
      <c r="B284" t="s">
        <v>38</v>
      </c>
      <c r="C284" s="2">
        <v>-54846390.220000006</v>
      </c>
      <c r="D284" s="2">
        <v>-7967229</v>
      </c>
      <c r="E284" s="2">
        <v>-867967.75500000012</v>
      </c>
      <c r="F284" s="2">
        <v>-111288.44</v>
      </c>
      <c r="G284" s="2">
        <v>-63792875.415000007</v>
      </c>
      <c r="I284" t="s">
        <v>38</v>
      </c>
      <c r="J284" s="2">
        <v>-11451534</v>
      </c>
      <c r="K284" s="2">
        <v>-2248545</v>
      </c>
      <c r="L284" s="2">
        <v>-203722</v>
      </c>
      <c r="M284" s="2">
        <v>0</v>
      </c>
      <c r="N284" s="2">
        <v>-13903801</v>
      </c>
      <c r="P284" t="s">
        <v>38</v>
      </c>
      <c r="Q284" s="2">
        <v>-12721017.200000003</v>
      </c>
      <c r="R284" s="2">
        <v>-2560307</v>
      </c>
      <c r="S284" s="2">
        <v>-212927.15000000002</v>
      </c>
      <c r="T284" s="2">
        <v>0</v>
      </c>
      <c r="U284" s="2">
        <v>-15494251.350000003</v>
      </c>
      <c r="W284" t="s">
        <v>38</v>
      </c>
      <c r="X284" s="2">
        <v>-24172551.200000003</v>
      </c>
      <c r="Y284" s="2">
        <v>-4808852</v>
      </c>
      <c r="Z284" s="2">
        <v>-416649.15</v>
      </c>
      <c r="AA284" s="2">
        <v>0</v>
      </c>
      <c r="AB284" s="2">
        <v>-29398052.350000001</v>
      </c>
      <c r="AD284" t="s">
        <v>38</v>
      </c>
      <c r="AE284" s="2">
        <v>-14018907.430000007</v>
      </c>
      <c r="AF284" s="2">
        <v>-1508666</v>
      </c>
      <c r="AG284" s="2">
        <v>-220629.82499999995</v>
      </c>
      <c r="AH284" s="2">
        <v>0</v>
      </c>
      <c r="AI284" s="2">
        <v>-15748203.255000006</v>
      </c>
      <c r="AJ284" s="3">
        <v>-45146255.605000004</v>
      </c>
      <c r="AK284" t="s">
        <v>38</v>
      </c>
      <c r="AL284" s="2">
        <v>-16654931.589999996</v>
      </c>
      <c r="AM284" s="2">
        <v>-1649711</v>
      </c>
      <c r="AN284" s="2">
        <v>-230688.78000000014</v>
      </c>
      <c r="AO284" s="2">
        <v>-111288.44</v>
      </c>
      <c r="AP284" s="2">
        <v>-18646619.809999999</v>
      </c>
    </row>
    <row r="285" spans="2:42" x14ac:dyDescent="0.35">
      <c r="B285" t="s">
        <v>78</v>
      </c>
      <c r="C285" s="2">
        <v>-299693357.03000003</v>
      </c>
      <c r="D285" s="2">
        <v>-47167234</v>
      </c>
      <c r="E285" s="2">
        <v>-9397216.7770000007</v>
      </c>
      <c r="F285" s="2">
        <v>-7376483.9000000013</v>
      </c>
      <c r="G285" s="2">
        <v>-363634291.70700002</v>
      </c>
      <c r="I285" t="s">
        <v>78</v>
      </c>
      <c r="J285" s="2">
        <v>-71992970</v>
      </c>
      <c r="K285" s="2">
        <v>-15199218</v>
      </c>
      <c r="L285" s="2">
        <v>-2029092</v>
      </c>
      <c r="M285" s="2">
        <v>0</v>
      </c>
      <c r="N285" s="2">
        <v>-89221280</v>
      </c>
      <c r="P285" t="s">
        <v>78</v>
      </c>
      <c r="Q285" s="2">
        <v>-74600217.480000019</v>
      </c>
      <c r="R285" s="2">
        <v>-9729653</v>
      </c>
      <c r="S285" s="2">
        <v>-2302952.0939999996</v>
      </c>
      <c r="T285" s="2">
        <v>0</v>
      </c>
      <c r="U285" s="2">
        <v>-86632822.574000016</v>
      </c>
      <c r="W285" t="s">
        <v>78</v>
      </c>
      <c r="X285" s="2">
        <v>-146593187.48000002</v>
      </c>
      <c r="Y285" s="2">
        <v>-24928871</v>
      </c>
      <c r="Z285" s="2">
        <v>-4332044.0939999996</v>
      </c>
      <c r="AA285" s="2">
        <v>0</v>
      </c>
      <c r="AB285" s="2">
        <v>-175854102.57400003</v>
      </c>
      <c r="AD285" t="s">
        <v>78</v>
      </c>
      <c r="AE285" s="2">
        <v>-77531255.560000002</v>
      </c>
      <c r="AF285" s="2">
        <v>-10346534</v>
      </c>
      <c r="AG285" s="2">
        <v>-2382419.1770000001</v>
      </c>
      <c r="AH285" s="2">
        <v>0</v>
      </c>
      <c r="AI285" s="2">
        <v>-90260208.737000003</v>
      </c>
      <c r="AJ285" s="3">
        <v>-266114311.31100005</v>
      </c>
      <c r="AK285" t="s">
        <v>78</v>
      </c>
      <c r="AL285" s="2">
        <v>-75568913.99000001</v>
      </c>
      <c r="AM285" s="2">
        <v>-11891829</v>
      </c>
      <c r="AN285" s="2">
        <v>-2682753.506000001</v>
      </c>
      <c r="AO285" s="2">
        <v>-7376483.9000000013</v>
      </c>
      <c r="AP285" s="2">
        <v>-97519980.396000013</v>
      </c>
    </row>
    <row r="286" spans="2:42" x14ac:dyDescent="0.35">
      <c r="B286" t="s">
        <v>39</v>
      </c>
      <c r="C286" s="2">
        <v>-66770693.11999999</v>
      </c>
      <c r="D286" s="2">
        <v>-8514585</v>
      </c>
      <c r="E286" s="2">
        <v>-1927516.9670000002</v>
      </c>
      <c r="F286" s="2">
        <v>-3105242.6300000004</v>
      </c>
      <c r="G286" s="2">
        <v>-80318037.716999978</v>
      </c>
      <c r="I286" t="s">
        <v>39</v>
      </c>
      <c r="J286" s="2">
        <v>-16625558.85</v>
      </c>
      <c r="K286" s="2">
        <v>-2358142</v>
      </c>
      <c r="L286" s="2">
        <v>-811274</v>
      </c>
      <c r="M286" s="2">
        <v>0</v>
      </c>
      <c r="N286" s="2">
        <v>-19794974.850000001</v>
      </c>
      <c r="P286" t="s">
        <v>39</v>
      </c>
      <c r="Q286" s="2">
        <v>-18412285.000000015</v>
      </c>
      <c r="R286" s="2">
        <v>-1757079</v>
      </c>
      <c r="S286" s="2">
        <v>-382295.73699999996</v>
      </c>
      <c r="T286" s="2">
        <v>0</v>
      </c>
      <c r="U286" s="2">
        <v>-20551659.737000015</v>
      </c>
      <c r="W286" t="s">
        <v>39</v>
      </c>
      <c r="X286" s="2">
        <v>-35037843.850000016</v>
      </c>
      <c r="Y286" s="2">
        <v>-4115221</v>
      </c>
      <c r="Z286" s="2">
        <v>-1193569.737</v>
      </c>
      <c r="AA286" s="2">
        <v>0</v>
      </c>
      <c r="AB286" s="2">
        <v>-40346634.58700002</v>
      </c>
      <c r="AD286" t="s">
        <v>39</v>
      </c>
      <c r="AE286" s="2">
        <v>-20676506.089999974</v>
      </c>
      <c r="AF286" s="2">
        <v>-2422012</v>
      </c>
      <c r="AG286" s="2">
        <v>-401641.39999999991</v>
      </c>
      <c r="AH286" s="2">
        <v>0</v>
      </c>
      <c r="AI286" s="2">
        <v>-23500159.489999972</v>
      </c>
      <c r="AJ286" s="3">
        <v>-63846794.076999992</v>
      </c>
      <c r="AK286" t="s">
        <v>39</v>
      </c>
      <c r="AL286" s="2">
        <v>-11056343.18</v>
      </c>
      <c r="AM286" s="2">
        <v>-1977352</v>
      </c>
      <c r="AN286" s="2">
        <v>-332305.83000000031</v>
      </c>
      <c r="AO286" s="2">
        <v>-3105242.6300000004</v>
      </c>
      <c r="AP286" s="2">
        <v>-16471243.640000001</v>
      </c>
    </row>
    <row r="287" spans="2:42" x14ac:dyDescent="0.35">
      <c r="B287" t="s">
        <v>40</v>
      </c>
      <c r="C287" s="2">
        <v>-28579357.060000002</v>
      </c>
      <c r="D287" s="2">
        <v>-1098227</v>
      </c>
      <c r="E287" s="2">
        <v>-185120</v>
      </c>
      <c r="F287" s="2">
        <v>-3190032.4</v>
      </c>
      <c r="G287" s="2">
        <v>-33052736.460000001</v>
      </c>
      <c r="I287" t="s">
        <v>40</v>
      </c>
      <c r="J287" s="2">
        <v>-2931873</v>
      </c>
      <c r="K287" s="2">
        <v>-162952</v>
      </c>
      <c r="L287" s="2">
        <v>-161120</v>
      </c>
      <c r="M287" s="2">
        <v>0</v>
      </c>
      <c r="N287" s="2">
        <v>-3255945</v>
      </c>
      <c r="P287" t="s">
        <v>40</v>
      </c>
      <c r="Q287" s="2">
        <v>-5813900.620000001</v>
      </c>
      <c r="R287" s="2">
        <v>-241314</v>
      </c>
      <c r="S287" s="2">
        <v>0</v>
      </c>
      <c r="T287" s="2">
        <v>0</v>
      </c>
      <c r="U287" s="2">
        <v>-6055214.620000001</v>
      </c>
      <c r="W287" t="s">
        <v>40</v>
      </c>
      <c r="X287" s="2">
        <v>-8745773.620000001</v>
      </c>
      <c r="Y287" s="2">
        <v>-404266</v>
      </c>
      <c r="Z287" s="2">
        <v>-161120</v>
      </c>
      <c r="AA287" s="2">
        <v>0</v>
      </c>
      <c r="AB287" s="2">
        <v>-9311159.620000001</v>
      </c>
      <c r="AD287" t="s">
        <v>40</v>
      </c>
      <c r="AE287" s="2">
        <v>-11794013.919999998</v>
      </c>
      <c r="AF287" s="2">
        <v>-415921</v>
      </c>
      <c r="AG287" s="2">
        <v>-1000</v>
      </c>
      <c r="AH287" s="2">
        <v>0</v>
      </c>
      <c r="AI287" s="2">
        <v>-12210934.919999998</v>
      </c>
      <c r="AJ287" s="3">
        <v>-21522094.539999999</v>
      </c>
      <c r="AK287" t="s">
        <v>40</v>
      </c>
      <c r="AL287" s="2">
        <v>-8039569.5200000033</v>
      </c>
      <c r="AM287" s="2">
        <v>-278040</v>
      </c>
      <c r="AN287" s="2">
        <v>-23000</v>
      </c>
      <c r="AO287" s="2">
        <v>-3190032.4</v>
      </c>
      <c r="AP287" s="2">
        <v>-11530641.920000004</v>
      </c>
    </row>
    <row r="288" spans="2:42" x14ac:dyDescent="0.35">
      <c r="B288" t="s">
        <v>41</v>
      </c>
      <c r="C288" s="2">
        <v>10086471.5</v>
      </c>
      <c r="D288" s="2">
        <v>0</v>
      </c>
      <c r="E288" s="2">
        <v>0</v>
      </c>
      <c r="F288" s="2">
        <v>0</v>
      </c>
      <c r="G288" s="2">
        <v>10086471.5</v>
      </c>
      <c r="I288" t="s">
        <v>41</v>
      </c>
      <c r="J288" s="2">
        <v>3000000</v>
      </c>
      <c r="K288" s="2">
        <v>0</v>
      </c>
      <c r="L288" s="2">
        <v>0</v>
      </c>
      <c r="M288" s="2">
        <v>0</v>
      </c>
      <c r="N288" s="2">
        <v>3000000</v>
      </c>
      <c r="P288" t="s">
        <v>41</v>
      </c>
      <c r="Q288" s="2">
        <v>1924864</v>
      </c>
      <c r="R288" s="2">
        <v>0</v>
      </c>
      <c r="S288" s="2">
        <v>0</v>
      </c>
      <c r="T288" s="2">
        <v>0</v>
      </c>
      <c r="U288" s="2">
        <v>1924864</v>
      </c>
      <c r="W288" t="s">
        <v>41</v>
      </c>
      <c r="X288" s="2">
        <v>4924864</v>
      </c>
      <c r="Y288" s="2">
        <v>0</v>
      </c>
      <c r="Z288" s="2">
        <v>0</v>
      </c>
      <c r="AA288" s="2">
        <v>0</v>
      </c>
      <c r="AB288" s="2">
        <v>4924864</v>
      </c>
      <c r="AD288" t="s">
        <v>41</v>
      </c>
      <c r="AE288" s="2">
        <v>3894980</v>
      </c>
      <c r="AF288" s="2">
        <v>0</v>
      </c>
      <c r="AG288" s="2">
        <v>0</v>
      </c>
      <c r="AH288" s="2">
        <v>0</v>
      </c>
      <c r="AI288" s="2">
        <v>3894980</v>
      </c>
      <c r="AJ288" s="3">
        <v>8819844</v>
      </c>
      <c r="AK288" t="s">
        <v>41</v>
      </c>
      <c r="AL288" s="2">
        <v>1266627.5</v>
      </c>
      <c r="AM288" s="2">
        <v>0</v>
      </c>
      <c r="AN288" s="2">
        <v>0</v>
      </c>
      <c r="AO288" s="2">
        <v>0</v>
      </c>
      <c r="AP288" s="2">
        <v>1266627.5</v>
      </c>
    </row>
    <row r="289" spans="2:43" x14ac:dyDescent="0.35">
      <c r="B289" t="s">
        <v>42</v>
      </c>
      <c r="C289" s="2">
        <v>-21899370.170000002</v>
      </c>
      <c r="D289" s="2">
        <v>-1127130</v>
      </c>
      <c r="E289" s="2">
        <v>-148008.85999999999</v>
      </c>
      <c r="F289" s="2">
        <v>0</v>
      </c>
      <c r="G289" s="2">
        <v>-23174509.030000001</v>
      </c>
      <c r="I289" t="s">
        <v>42</v>
      </c>
      <c r="J289" s="2">
        <v>-586174</v>
      </c>
      <c r="K289" s="2">
        <v>-471247</v>
      </c>
      <c r="L289" s="2">
        <v>-27011</v>
      </c>
      <c r="M289" s="2">
        <v>0</v>
      </c>
      <c r="N289" s="2">
        <v>-1084432</v>
      </c>
      <c r="P289" t="s">
        <v>42</v>
      </c>
      <c r="Q289" s="2">
        <v>-6170848.0299999993</v>
      </c>
      <c r="R289" s="2">
        <v>66007</v>
      </c>
      <c r="S289" s="2">
        <v>-41379.880000000005</v>
      </c>
      <c r="T289" s="2">
        <v>0</v>
      </c>
      <c r="U289" s="2">
        <v>-6146220.9099999992</v>
      </c>
      <c r="W289" t="s">
        <v>42</v>
      </c>
      <c r="X289" s="2">
        <v>-6757022.0299999993</v>
      </c>
      <c r="Y289" s="2">
        <v>-405240</v>
      </c>
      <c r="Z289" s="2">
        <v>-68390.880000000005</v>
      </c>
      <c r="AA289" s="2">
        <v>0</v>
      </c>
      <c r="AB289" s="2">
        <v>-7230652.9099999992</v>
      </c>
      <c r="AD289" t="s">
        <v>42</v>
      </c>
      <c r="AE289" s="2">
        <v>-9920296.8200000003</v>
      </c>
      <c r="AF289" s="2">
        <v>-374257</v>
      </c>
      <c r="AG289" s="2">
        <v>-40502.83</v>
      </c>
      <c r="AH289" s="2">
        <v>0</v>
      </c>
      <c r="AI289" s="2">
        <v>-10335056.65</v>
      </c>
      <c r="AJ289" s="3">
        <v>-17565709.559999999</v>
      </c>
      <c r="AK289" t="s">
        <v>42</v>
      </c>
      <c r="AL289" s="2">
        <v>-5222051.3200000022</v>
      </c>
      <c r="AM289" s="2">
        <v>-347633</v>
      </c>
      <c r="AN289" s="2">
        <v>-39115.14999999998</v>
      </c>
      <c r="AO289" s="2">
        <v>0</v>
      </c>
      <c r="AP289" s="2">
        <v>-5608799.4700000025</v>
      </c>
    </row>
    <row r="290" spans="2:43" x14ac:dyDescent="0.35">
      <c r="B290" t="s">
        <v>4</v>
      </c>
      <c r="C290" s="2">
        <v>0.18</v>
      </c>
      <c r="D290" s="2">
        <v>82178</v>
      </c>
      <c r="E290" s="2">
        <v>0</v>
      </c>
      <c r="F290" s="2">
        <v>0</v>
      </c>
      <c r="G290" s="2">
        <v>82178.179999999993</v>
      </c>
      <c r="I290" t="s">
        <v>4</v>
      </c>
      <c r="J290" s="2">
        <v>0</v>
      </c>
      <c r="K290" s="2">
        <v>56717</v>
      </c>
      <c r="L290" s="2">
        <v>0</v>
      </c>
      <c r="M290" s="2">
        <v>0</v>
      </c>
      <c r="N290" s="2">
        <v>56717</v>
      </c>
      <c r="P290" t="s">
        <v>4</v>
      </c>
      <c r="Q290" s="2">
        <v>0</v>
      </c>
      <c r="R290" s="2">
        <v>47849</v>
      </c>
      <c r="S290" s="2">
        <v>0</v>
      </c>
      <c r="T290" s="2">
        <v>0</v>
      </c>
      <c r="U290" s="2">
        <v>47849</v>
      </c>
      <c r="W290" t="s">
        <v>4</v>
      </c>
      <c r="X290" s="2">
        <v>0</v>
      </c>
      <c r="Y290" s="2">
        <v>104566</v>
      </c>
      <c r="Z290" s="2">
        <v>0</v>
      </c>
      <c r="AA290" s="2">
        <v>0</v>
      </c>
      <c r="AB290" s="2">
        <v>104566</v>
      </c>
      <c r="AD290" t="s">
        <v>4</v>
      </c>
      <c r="AE290" s="2">
        <v>0</v>
      </c>
      <c r="AF290" s="2">
        <v>20209</v>
      </c>
      <c r="AG290" s="2">
        <v>0</v>
      </c>
      <c r="AH290" s="2">
        <v>0</v>
      </c>
      <c r="AI290" s="2">
        <v>20209</v>
      </c>
      <c r="AJ290" s="3">
        <v>124775</v>
      </c>
      <c r="AK290" t="s">
        <v>4</v>
      </c>
      <c r="AL290" s="2">
        <v>0.18</v>
      </c>
      <c r="AM290" s="2">
        <v>-42597</v>
      </c>
      <c r="AN290" s="2">
        <v>0</v>
      </c>
      <c r="AO290" s="2">
        <v>0</v>
      </c>
      <c r="AP290" s="2">
        <v>-42596.82</v>
      </c>
    </row>
    <row r="291" spans="2:43" x14ac:dyDescent="0.35">
      <c r="B291" t="s">
        <v>5</v>
      </c>
      <c r="C291" s="2">
        <v>-964000</v>
      </c>
      <c r="D291" s="2">
        <v>0</v>
      </c>
      <c r="E291" s="2">
        <v>0</v>
      </c>
      <c r="F291" s="2">
        <v>0</v>
      </c>
      <c r="G291" s="2">
        <v>-964000</v>
      </c>
      <c r="I291" t="s">
        <v>5</v>
      </c>
      <c r="J291" s="2">
        <v>-319000</v>
      </c>
      <c r="K291" s="2">
        <v>0</v>
      </c>
      <c r="L291" s="2">
        <v>0</v>
      </c>
      <c r="M291" s="2">
        <v>0</v>
      </c>
      <c r="N291" s="2">
        <v>-319000</v>
      </c>
      <c r="P291" t="s">
        <v>5</v>
      </c>
      <c r="Q291" s="2">
        <v>-206000</v>
      </c>
      <c r="R291" s="2">
        <v>0</v>
      </c>
      <c r="S291" s="2">
        <v>0</v>
      </c>
      <c r="T291" s="2">
        <v>0</v>
      </c>
      <c r="U291" s="2">
        <v>-206000</v>
      </c>
      <c r="W291" t="s">
        <v>5</v>
      </c>
      <c r="X291" s="2">
        <v>-525000</v>
      </c>
      <c r="Y291" s="2">
        <v>0</v>
      </c>
      <c r="Z291" s="2">
        <v>0</v>
      </c>
      <c r="AA291" s="2">
        <v>0</v>
      </c>
      <c r="AB291" s="2">
        <v>-525000</v>
      </c>
      <c r="AD291" t="s">
        <v>5</v>
      </c>
      <c r="AE291" s="2">
        <v>-164000</v>
      </c>
      <c r="AF291" s="2">
        <v>0</v>
      </c>
      <c r="AG291" s="2">
        <v>0</v>
      </c>
      <c r="AH291" s="2">
        <v>0</v>
      </c>
      <c r="AI291" s="2">
        <v>-164000</v>
      </c>
      <c r="AJ291" s="3">
        <v>-689000</v>
      </c>
      <c r="AK291" t="s">
        <v>5</v>
      </c>
      <c r="AL291" s="2">
        <v>-275000</v>
      </c>
      <c r="AM291" s="2">
        <v>0</v>
      </c>
      <c r="AN291" s="2">
        <v>0</v>
      </c>
      <c r="AO291" s="2">
        <v>0</v>
      </c>
      <c r="AP291" s="2">
        <v>-275000</v>
      </c>
    </row>
    <row r="292" spans="2:43" x14ac:dyDescent="0.35">
      <c r="B292" t="s">
        <v>182</v>
      </c>
      <c r="C292" s="2">
        <v>-6009794.2400000002</v>
      </c>
      <c r="D292" s="2">
        <v>-2547097</v>
      </c>
      <c r="E292" s="2">
        <v>-2796163.91</v>
      </c>
      <c r="F292" s="2">
        <v>-648.67000000000007</v>
      </c>
      <c r="G292" s="2">
        <v>-11353703.82</v>
      </c>
      <c r="I292" t="s">
        <v>182</v>
      </c>
      <c r="J292" s="2">
        <v>927206</v>
      </c>
      <c r="K292" s="2">
        <v>-2726193</v>
      </c>
      <c r="L292" s="2">
        <v>-2278208</v>
      </c>
      <c r="M292" s="2">
        <v>0</v>
      </c>
      <c r="N292" s="2">
        <v>-4077195</v>
      </c>
      <c r="P292" t="s">
        <v>182</v>
      </c>
      <c r="Q292" s="2">
        <v>321441.7900000005</v>
      </c>
      <c r="R292" s="2">
        <v>474579</v>
      </c>
      <c r="S292" s="2">
        <v>671379.24000000022</v>
      </c>
      <c r="T292" s="2">
        <v>0</v>
      </c>
      <c r="U292" s="2">
        <v>1467400.0300000007</v>
      </c>
      <c r="W292" t="s">
        <v>182</v>
      </c>
      <c r="X292" s="2">
        <v>1248647.7900000005</v>
      </c>
      <c r="Y292" s="2">
        <v>-2251614</v>
      </c>
      <c r="Z292" s="2">
        <v>-1606828.7599999998</v>
      </c>
      <c r="AA292" s="2">
        <v>0</v>
      </c>
      <c r="AB292" s="2">
        <v>-2609794.9699999993</v>
      </c>
      <c r="AD292" t="s">
        <v>182</v>
      </c>
      <c r="AE292" s="2">
        <v>-9419420.4900000002</v>
      </c>
      <c r="AF292" s="2">
        <v>1890524.2035119</v>
      </c>
      <c r="AG292" s="2">
        <v>-455603</v>
      </c>
      <c r="AH292" s="2">
        <v>0</v>
      </c>
      <c r="AI292" s="2">
        <v>-7984499.2864881</v>
      </c>
      <c r="AJ292" s="3">
        <v>-10594294.2564881</v>
      </c>
      <c r="AK292" t="s">
        <v>182</v>
      </c>
      <c r="AL292" s="2">
        <v>2160978.4599999995</v>
      </c>
      <c r="AM292" s="2">
        <v>-2186007.2035119003</v>
      </c>
      <c r="AN292" s="2">
        <v>-733732.15000000037</v>
      </c>
      <c r="AO292" s="2">
        <v>-648.67000000000007</v>
      </c>
      <c r="AP292" s="2">
        <v>-759409.56351190119</v>
      </c>
    </row>
    <row r="293" spans="2:43" x14ac:dyDescent="0.35">
      <c r="B293" s="19" t="s">
        <v>11</v>
      </c>
      <c r="C293" s="20">
        <v>-468676490.16000009</v>
      </c>
      <c r="D293" s="20">
        <v>-68339324</v>
      </c>
      <c r="E293" s="20">
        <v>-15321994.269000001</v>
      </c>
      <c r="F293" s="20">
        <v>-13783696.040000003</v>
      </c>
      <c r="G293" s="20">
        <v>-566121504.4690001</v>
      </c>
      <c r="I293" s="19" t="s">
        <v>11</v>
      </c>
      <c r="J293" s="20">
        <v>-99979903.849999994</v>
      </c>
      <c r="K293" s="20">
        <v>-23109580</v>
      </c>
      <c r="L293" s="20">
        <v>-5510427</v>
      </c>
      <c r="M293" s="20">
        <v>0</v>
      </c>
      <c r="N293" s="20">
        <v>-128599910.84999999</v>
      </c>
      <c r="P293" s="19" t="s">
        <v>11</v>
      </c>
      <c r="Q293" s="20">
        <v>-115677962.54000004</v>
      </c>
      <c r="R293" s="20">
        <v>-13699918</v>
      </c>
      <c r="S293" s="20">
        <v>-2268175.6209999993</v>
      </c>
      <c r="T293" s="20">
        <v>0</v>
      </c>
      <c r="U293" s="20">
        <v>-131646056.16100004</v>
      </c>
      <c r="W293" s="19" t="s">
        <v>11</v>
      </c>
      <c r="X293" s="20">
        <v>-215657866.39000005</v>
      </c>
      <c r="Y293" s="20">
        <v>-36809498</v>
      </c>
      <c r="Z293" s="20">
        <v>-7778602.6209999993</v>
      </c>
      <c r="AA293" s="20">
        <v>0</v>
      </c>
      <c r="AB293" s="20">
        <v>-260245967.01100004</v>
      </c>
      <c r="AD293" s="19" t="s">
        <v>11</v>
      </c>
      <c r="AE293" s="20">
        <v>-139629420.31</v>
      </c>
      <c r="AF293" s="20">
        <v>-13156656.796488101</v>
      </c>
      <c r="AG293" s="20">
        <v>-3501796.2320000003</v>
      </c>
      <c r="AH293" s="20">
        <v>0</v>
      </c>
      <c r="AI293" s="20">
        <v>-156287873.33848807</v>
      </c>
      <c r="AJ293" s="3">
        <v>-416533840.34948814</v>
      </c>
      <c r="AK293" s="19" t="s">
        <v>11</v>
      </c>
      <c r="AL293" s="20">
        <v>-113389203.46000004</v>
      </c>
      <c r="AM293" s="20">
        <v>-18373169.203511901</v>
      </c>
      <c r="AN293" s="20">
        <v>-4041595.4160000016</v>
      </c>
      <c r="AO293" s="20">
        <v>-13783696.040000003</v>
      </c>
      <c r="AP293" s="20">
        <v>-149587664.11951193</v>
      </c>
    </row>
    <row r="294" spans="2:43" x14ac:dyDescent="0.35">
      <c r="C294" s="2"/>
      <c r="D294" s="2"/>
      <c r="E294" s="2"/>
      <c r="F294" s="2"/>
      <c r="G294" s="2"/>
      <c r="Q294" s="2"/>
      <c r="R294" s="2"/>
      <c r="S294" s="2"/>
      <c r="T294" s="2"/>
      <c r="U294" s="2"/>
      <c r="X294" s="2"/>
      <c r="Y294" s="2"/>
      <c r="Z294" s="2"/>
      <c r="AA294" s="2"/>
      <c r="AB294" s="2"/>
      <c r="AE294" s="2"/>
      <c r="AF294" s="2"/>
      <c r="AG294" s="2"/>
      <c r="AH294" s="2"/>
      <c r="AI294" s="2"/>
      <c r="AJ294" s="3">
        <v>0</v>
      </c>
      <c r="AL294" s="2"/>
      <c r="AM294" s="2"/>
      <c r="AN294" s="2"/>
      <c r="AO294" s="2"/>
      <c r="AP294" s="2"/>
    </row>
    <row r="295" spans="2:43" x14ac:dyDescent="0.35">
      <c r="C295" s="2"/>
      <c r="D295" s="2"/>
      <c r="E295" s="2"/>
      <c r="F295" s="2"/>
      <c r="G295" s="2"/>
      <c r="Q295" s="2"/>
      <c r="R295" s="2"/>
      <c r="S295" s="2"/>
      <c r="T295" s="2"/>
      <c r="U295" s="2"/>
      <c r="X295" s="2"/>
      <c r="Y295" s="2"/>
      <c r="Z295" s="2"/>
      <c r="AA295" s="2"/>
      <c r="AB295" s="2"/>
      <c r="AE295" s="2"/>
      <c r="AF295" s="2"/>
      <c r="AG295" s="2"/>
      <c r="AH295" s="2"/>
      <c r="AI295" s="2"/>
      <c r="AJ295" s="3">
        <v>0</v>
      </c>
      <c r="AL295" s="2"/>
      <c r="AM295" s="2"/>
      <c r="AN295" s="2"/>
      <c r="AO295" s="2"/>
      <c r="AP295" s="2"/>
    </row>
    <row r="296" spans="2:43" x14ac:dyDescent="0.35">
      <c r="B296" s="11" t="s">
        <v>43</v>
      </c>
      <c r="C296" s="4">
        <v>619760522.79245996</v>
      </c>
      <c r="D296" s="4">
        <v>30952899</v>
      </c>
      <c r="E296" s="4">
        <v>23761063.866999991</v>
      </c>
      <c r="F296" s="4">
        <v>-12385234.570000004</v>
      </c>
      <c r="G296" s="4">
        <v>662089251.0894599</v>
      </c>
      <c r="I296" s="11" t="s">
        <v>43</v>
      </c>
      <c r="J296" s="4">
        <v>135611247.90630001</v>
      </c>
      <c r="K296" s="4">
        <v>15409806</v>
      </c>
      <c r="L296" s="4">
        <v>2863710</v>
      </c>
      <c r="M296" s="4">
        <v>0</v>
      </c>
      <c r="N296" s="4">
        <v>153884763.90630001</v>
      </c>
      <c r="P296" s="11" t="s">
        <v>43</v>
      </c>
      <c r="Q296" s="4">
        <v>137849079.48651975</v>
      </c>
      <c r="R296" s="4">
        <v>8585879</v>
      </c>
      <c r="S296" s="4">
        <v>5739551.2550000027</v>
      </c>
      <c r="T296" s="4">
        <v>-127443.30380000001</v>
      </c>
      <c r="U296" s="4">
        <v>152047066.43771976</v>
      </c>
      <c r="W296" s="11" t="s">
        <v>43</v>
      </c>
      <c r="X296" s="4">
        <v>273460327.3928197</v>
      </c>
      <c r="Y296" s="4">
        <v>23995685</v>
      </c>
      <c r="Z296" s="4">
        <v>8603261.2550000027</v>
      </c>
      <c r="AA296" s="4">
        <v>-127443.30380000001</v>
      </c>
      <c r="AB296" s="4">
        <v>305931830.34401971</v>
      </c>
      <c r="AD296" s="11" t="s">
        <v>43</v>
      </c>
      <c r="AE296" s="4">
        <v>148231625.86718243</v>
      </c>
      <c r="AF296" s="4">
        <v>6195538.2035119012</v>
      </c>
      <c r="AG296" s="4">
        <v>9245317.167999994</v>
      </c>
      <c r="AH296" s="4">
        <v>127443.30380000001</v>
      </c>
      <c r="AI296" s="4">
        <v>163799924.5424943</v>
      </c>
      <c r="AJ296" s="3">
        <v>469731754.88651401</v>
      </c>
      <c r="AK296" s="11" t="s">
        <v>43</v>
      </c>
      <c r="AL296" s="4">
        <v>198068569.53245795</v>
      </c>
      <c r="AM296" s="4">
        <v>761675.7964880988</v>
      </c>
      <c r="AN296" s="4">
        <v>5912485.4439999964</v>
      </c>
      <c r="AO296" s="4">
        <v>-12385234.570000004</v>
      </c>
      <c r="AP296" s="4">
        <v>192357496.20294607</v>
      </c>
      <c r="AQ296" s="3"/>
    </row>
    <row r="297" spans="2:43" x14ac:dyDescent="0.35">
      <c r="B297" t="s">
        <v>6</v>
      </c>
      <c r="C297" s="2">
        <v>-172605134.11999995</v>
      </c>
      <c r="D297" s="2">
        <v>-8199500</v>
      </c>
      <c r="E297" s="2">
        <v>-2977713.6069999998</v>
      </c>
      <c r="F297" s="2">
        <v>-246330.59</v>
      </c>
      <c r="G297" s="2">
        <v>-184028678.31699994</v>
      </c>
      <c r="I297" t="s">
        <v>6</v>
      </c>
      <c r="J297" s="2">
        <v>-37149423</v>
      </c>
      <c r="K297" s="2">
        <v>-1894753</v>
      </c>
      <c r="L297" s="2">
        <v>-64409</v>
      </c>
      <c r="M297" s="2">
        <v>0</v>
      </c>
      <c r="N297" s="2">
        <v>-39108585</v>
      </c>
      <c r="P297" t="s">
        <v>6</v>
      </c>
      <c r="Q297" s="2">
        <v>-37180143.760000005</v>
      </c>
      <c r="R297" s="2">
        <v>-1668585</v>
      </c>
      <c r="S297" s="2">
        <v>-218978.75</v>
      </c>
      <c r="T297" s="2">
        <v>0</v>
      </c>
      <c r="U297" s="2">
        <v>-39067707.510000005</v>
      </c>
      <c r="W297" t="s">
        <v>6</v>
      </c>
      <c r="X297" s="2">
        <v>-74329566.760000005</v>
      </c>
      <c r="Y297" s="2">
        <v>-3563338</v>
      </c>
      <c r="Z297" s="2">
        <v>-283387.75</v>
      </c>
      <c r="AA297" s="2">
        <v>0</v>
      </c>
      <c r="AB297" s="2">
        <v>-78176292.510000005</v>
      </c>
      <c r="AD297" t="s">
        <v>6</v>
      </c>
      <c r="AE297" s="2">
        <v>-45885186.139999986</v>
      </c>
      <c r="AF297" s="2">
        <v>-2231275</v>
      </c>
      <c r="AG297" s="2">
        <v>-1515332.5869999998</v>
      </c>
      <c r="AH297" s="2">
        <v>0</v>
      </c>
      <c r="AI297" s="2">
        <v>-49631793.726999983</v>
      </c>
      <c r="AJ297" s="3">
        <v>-127808086.23699999</v>
      </c>
      <c r="AK297" t="s">
        <v>6</v>
      </c>
      <c r="AL297" s="2">
        <v>-52390381.219999954</v>
      </c>
      <c r="AM297" s="2">
        <v>-2404887</v>
      </c>
      <c r="AN297" s="2">
        <v>-1178993.27</v>
      </c>
      <c r="AO297" s="2">
        <v>-246330.59</v>
      </c>
      <c r="AP297" s="2">
        <v>-56220592.079999961</v>
      </c>
    </row>
    <row r="298" spans="2:43" x14ac:dyDescent="0.35">
      <c r="B298" s="11" t="s">
        <v>7</v>
      </c>
      <c r="C298" s="4">
        <v>447155388.67246002</v>
      </c>
      <c r="D298" s="4">
        <v>22753399</v>
      </c>
      <c r="E298" s="4">
        <v>20783350.25999999</v>
      </c>
      <c r="F298" s="4">
        <v>-12631565.160000004</v>
      </c>
      <c r="G298" s="4">
        <v>478060572.77245998</v>
      </c>
      <c r="I298" s="11" t="s">
        <v>7</v>
      </c>
      <c r="J298" s="4">
        <v>98461824.906300008</v>
      </c>
      <c r="K298" s="4">
        <v>13515053</v>
      </c>
      <c r="L298" s="4">
        <v>2799301</v>
      </c>
      <c r="M298" s="4">
        <v>0</v>
      </c>
      <c r="N298" s="4">
        <v>114776178.90630001</v>
      </c>
      <c r="P298" s="11" t="s">
        <v>7</v>
      </c>
      <c r="Q298" s="4">
        <v>100668935.72651975</v>
      </c>
      <c r="R298" s="4">
        <v>6917294</v>
      </c>
      <c r="S298" s="4">
        <v>5520572.5050000027</v>
      </c>
      <c r="T298" s="4">
        <v>-127443.30380000001</v>
      </c>
      <c r="U298" s="4">
        <v>112979358.92771976</v>
      </c>
      <c r="W298" s="11" t="s">
        <v>7</v>
      </c>
      <c r="X298" s="4">
        <v>199130760.63281971</v>
      </c>
      <c r="Y298" s="4">
        <v>20432347</v>
      </c>
      <c r="Z298" s="4">
        <v>8319873.5050000027</v>
      </c>
      <c r="AA298" s="4">
        <v>-127443.30380000001</v>
      </c>
      <c r="AB298" s="4">
        <v>227755537.83401972</v>
      </c>
      <c r="AD298" s="11" t="s">
        <v>7</v>
      </c>
      <c r="AE298" s="4">
        <v>102346439.72718245</v>
      </c>
      <c r="AF298" s="4">
        <v>3964263.2035119012</v>
      </c>
      <c r="AG298" s="4">
        <v>7729984.5809999947</v>
      </c>
      <c r="AH298" s="4">
        <v>127443.30380000001</v>
      </c>
      <c r="AI298" s="4">
        <v>114168130.81549434</v>
      </c>
      <c r="AJ298" s="3">
        <v>341923668.64951408</v>
      </c>
      <c r="AK298" s="11" t="s">
        <v>7</v>
      </c>
      <c r="AL298" s="4">
        <v>145678188.31245798</v>
      </c>
      <c r="AM298" s="4">
        <v>-1643211.2035119012</v>
      </c>
      <c r="AN298" s="4">
        <v>4733492.1739999969</v>
      </c>
      <c r="AO298" s="4">
        <v>-12631565.160000004</v>
      </c>
      <c r="AP298" s="4">
        <v>136136904.12294608</v>
      </c>
      <c r="AQ298" s="3"/>
    </row>
    <row r="299" spans="2:43" x14ac:dyDescent="0.35">
      <c r="B299" t="s">
        <v>8</v>
      </c>
      <c r="C299" s="2">
        <v>-5262092.8722834717</v>
      </c>
      <c r="D299" s="2">
        <v>-3825091.8747999994</v>
      </c>
      <c r="E299" s="2">
        <v>-4154270.0519999955</v>
      </c>
      <c r="F299" s="2">
        <v>-86.766891999990435</v>
      </c>
      <c r="G299" s="2">
        <v>-13241541.565975465</v>
      </c>
      <c r="I299" t="s">
        <v>8</v>
      </c>
      <c r="J299" s="2">
        <v>-2310005.3065832215</v>
      </c>
      <c r="K299" s="2">
        <v>-2616475.3605</v>
      </c>
      <c r="L299" s="2">
        <v>-559260.19999999984</v>
      </c>
      <c r="M299" s="2">
        <v>0</v>
      </c>
      <c r="N299" s="2">
        <v>-5485740.8670832217</v>
      </c>
      <c r="P299" t="s">
        <v>8</v>
      </c>
      <c r="Q299" s="2">
        <v>-1953528.8839809946</v>
      </c>
      <c r="R299" s="2">
        <v>-854168.04249999998</v>
      </c>
      <c r="S299" s="2">
        <v>-1103514.5009999997</v>
      </c>
      <c r="T299" s="2">
        <v>0</v>
      </c>
      <c r="U299" s="2">
        <v>-3911211.4274809943</v>
      </c>
      <c r="W299" t="s">
        <v>8</v>
      </c>
      <c r="X299" s="2">
        <v>-4263534.1905642161</v>
      </c>
      <c r="Y299" s="2">
        <v>-3470643.4029999999</v>
      </c>
      <c r="Z299" s="2">
        <v>-1662774.7009999994</v>
      </c>
      <c r="AA299" s="2">
        <v>0</v>
      </c>
      <c r="AB299" s="2">
        <v>-9396952.2945642155</v>
      </c>
      <c r="AD299" t="s">
        <v>8</v>
      </c>
      <c r="AE299" s="2">
        <v>-107310.72315898258</v>
      </c>
      <c r="AF299" s="2">
        <v>-536693.31289999979</v>
      </c>
      <c r="AG299" s="2">
        <v>-1545396.9161999985</v>
      </c>
      <c r="AH299" s="2">
        <v>0</v>
      </c>
      <c r="AI299" s="2">
        <v>-2189400.9522589808</v>
      </c>
      <c r="AJ299" s="3">
        <v>-11586353.246823195</v>
      </c>
      <c r="AK299" t="s">
        <v>8</v>
      </c>
      <c r="AL299" s="2">
        <v>-891247.95856027305</v>
      </c>
      <c r="AM299" s="2">
        <v>182244.84110000031</v>
      </c>
      <c r="AN299" s="2">
        <v>-946098.4347999976</v>
      </c>
      <c r="AO299" s="2">
        <v>-86.766891999990435</v>
      </c>
      <c r="AP299" s="2">
        <v>-1655188.3191522704</v>
      </c>
    </row>
    <row r="300" spans="2:43" x14ac:dyDescent="0.35">
      <c r="B300" s="11" t="s">
        <v>143</v>
      </c>
      <c r="C300" s="4">
        <v>441893295.80017656</v>
      </c>
      <c r="D300" s="4">
        <v>18928307.1252</v>
      </c>
      <c r="E300" s="4">
        <v>16629080.207999995</v>
      </c>
      <c r="F300" s="4">
        <v>-12631651.926892003</v>
      </c>
      <c r="G300" s="4">
        <v>464819031.2064845</v>
      </c>
      <c r="I300" s="11" t="s">
        <v>161</v>
      </c>
      <c r="J300" s="4">
        <v>96151819.599716783</v>
      </c>
      <c r="K300" s="4">
        <v>10898577.6395</v>
      </c>
      <c r="L300" s="4">
        <v>2240040.8000000003</v>
      </c>
      <c r="M300" s="4">
        <v>0</v>
      </c>
      <c r="N300" s="4">
        <v>109290438.03921677</v>
      </c>
      <c r="P300" s="11" t="s">
        <v>161</v>
      </c>
      <c r="Q300" s="4">
        <v>98715406.842538759</v>
      </c>
      <c r="R300" s="4">
        <v>6063125.9574999996</v>
      </c>
      <c r="S300" s="4">
        <v>4417058.0040000025</v>
      </c>
      <c r="T300" s="4">
        <v>-127443.30380000001</v>
      </c>
      <c r="U300" s="4">
        <v>109068147.50023876</v>
      </c>
      <c r="W300" s="11" t="s">
        <v>161</v>
      </c>
      <c r="X300" s="4">
        <v>194867226.4422555</v>
      </c>
      <c r="Y300" s="4">
        <v>16961703.596999999</v>
      </c>
      <c r="Z300" s="4">
        <v>6657098.8040000033</v>
      </c>
      <c r="AA300" s="4">
        <v>-127443.30380000001</v>
      </c>
      <c r="AB300" s="4">
        <v>218358585.5394555</v>
      </c>
      <c r="AD300" s="11" t="s">
        <v>9</v>
      </c>
      <c r="AE300" s="4">
        <v>102239129.00402349</v>
      </c>
      <c r="AF300" s="4">
        <v>3427569.8906119019</v>
      </c>
      <c r="AG300" s="4">
        <v>6184587.6647999957</v>
      </c>
      <c r="AH300" s="4">
        <v>127443.30380000001</v>
      </c>
      <c r="AI300" s="4">
        <v>111978729.8632354</v>
      </c>
      <c r="AJ300" s="3">
        <v>330337315.40269089</v>
      </c>
      <c r="AK300" s="11" t="s">
        <v>9</v>
      </c>
      <c r="AL300" s="4">
        <v>144786940.35389769</v>
      </c>
      <c r="AM300" s="4">
        <v>-1460966.3624119009</v>
      </c>
      <c r="AN300" s="4">
        <v>3787393.7391999993</v>
      </c>
      <c r="AO300" s="4">
        <v>-12631651.926892003</v>
      </c>
      <c r="AP300" s="4">
        <v>134481715.80379379</v>
      </c>
      <c r="AQ300" s="3"/>
    </row>
    <row r="301" spans="2:43" x14ac:dyDescent="0.35">
      <c r="C301" s="3">
        <v>0</v>
      </c>
      <c r="D301" s="3">
        <v>0</v>
      </c>
      <c r="E301" s="3">
        <v>0</v>
      </c>
      <c r="F301" s="3">
        <v>0</v>
      </c>
      <c r="G301" s="3">
        <v>0</v>
      </c>
      <c r="Q301" s="3">
        <v>0</v>
      </c>
      <c r="R301" s="3">
        <v>0</v>
      </c>
      <c r="S301" s="3">
        <v>0</v>
      </c>
      <c r="T301" s="3">
        <v>0</v>
      </c>
      <c r="U301" s="3">
        <v>0</v>
      </c>
      <c r="X301" s="3">
        <v>0</v>
      </c>
      <c r="Y301" s="3">
        <v>0</v>
      </c>
      <c r="Z301" s="3">
        <v>0</v>
      </c>
      <c r="AA301" s="3">
        <v>0</v>
      </c>
      <c r="AE301" s="3">
        <v>0</v>
      </c>
      <c r="AF301" s="3">
        <v>0</v>
      </c>
      <c r="AG301" s="3">
        <v>0</v>
      </c>
      <c r="AH301" s="3">
        <v>0</v>
      </c>
      <c r="AI301" s="3">
        <v>0</v>
      </c>
      <c r="AL301" s="3">
        <v>0</v>
      </c>
      <c r="AM301" s="3">
        <v>0</v>
      </c>
      <c r="AN301" s="3">
        <v>0</v>
      </c>
      <c r="AO301" s="3">
        <v>1.3096723705530167E-10</v>
      </c>
      <c r="AP301" s="3">
        <v>218358585.53945529</v>
      </c>
    </row>
    <row r="304" spans="2:43" ht="18.5" x14ac:dyDescent="0.35">
      <c r="B304" s="303" t="s">
        <v>167</v>
      </c>
      <c r="C304" s="303"/>
      <c r="D304" s="303"/>
      <c r="E304" s="303"/>
      <c r="F304" s="303"/>
      <c r="G304" s="303"/>
      <c r="I304" s="303" t="s">
        <v>164</v>
      </c>
      <c r="J304" s="303"/>
      <c r="K304" s="303"/>
      <c r="L304" s="303"/>
      <c r="M304" s="303"/>
      <c r="N304" s="303"/>
      <c r="P304" s="303" t="s">
        <v>173</v>
      </c>
      <c r="Q304" s="303"/>
      <c r="R304" s="303"/>
      <c r="S304" s="303"/>
      <c r="T304" s="303"/>
      <c r="U304" s="303"/>
      <c r="W304" s="303" t="s">
        <v>178</v>
      </c>
      <c r="X304" s="303"/>
      <c r="Y304" s="303"/>
      <c r="Z304" s="303"/>
      <c r="AA304" s="303"/>
      <c r="AB304" s="303"/>
      <c r="AD304" s="303" t="s">
        <v>183</v>
      </c>
      <c r="AE304" s="303"/>
      <c r="AF304" s="303"/>
      <c r="AG304" s="303"/>
      <c r="AH304" s="303"/>
      <c r="AI304" s="303"/>
      <c r="AK304" s="22" t="s">
        <v>207</v>
      </c>
      <c r="AL304" s="22"/>
      <c r="AM304" s="22"/>
      <c r="AN304" s="22"/>
      <c r="AO304" s="22"/>
      <c r="AP304" s="22"/>
    </row>
    <row r="305" spans="2:42" ht="15.5" x14ac:dyDescent="0.35">
      <c r="B305" s="8"/>
      <c r="C305" s="8" t="s">
        <v>10</v>
      </c>
      <c r="D305" s="8" t="s">
        <v>69</v>
      </c>
      <c r="E305" s="8" t="s">
        <v>70</v>
      </c>
      <c r="F305" s="8" t="s">
        <v>44</v>
      </c>
      <c r="G305" s="9" t="s">
        <v>45</v>
      </c>
      <c r="I305" s="8"/>
      <c r="J305" s="8" t="s">
        <v>10</v>
      </c>
      <c r="K305" s="8" t="s">
        <v>69</v>
      </c>
      <c r="L305" s="8" t="s">
        <v>70</v>
      </c>
      <c r="M305" s="8" t="s">
        <v>44</v>
      </c>
      <c r="N305" s="9" t="s">
        <v>45</v>
      </c>
      <c r="P305" s="8"/>
      <c r="Q305" s="8" t="s">
        <v>10</v>
      </c>
      <c r="R305" s="8" t="s">
        <v>69</v>
      </c>
      <c r="S305" s="8" t="s">
        <v>70</v>
      </c>
      <c r="T305" s="8" t="s">
        <v>44</v>
      </c>
      <c r="U305" s="9" t="s">
        <v>45</v>
      </c>
      <c r="W305" s="8"/>
      <c r="X305" s="8" t="s">
        <v>10</v>
      </c>
      <c r="Y305" s="8" t="s">
        <v>69</v>
      </c>
      <c r="Z305" s="8" t="s">
        <v>70</v>
      </c>
      <c r="AA305" s="8" t="s">
        <v>44</v>
      </c>
      <c r="AB305" s="9" t="s">
        <v>45</v>
      </c>
      <c r="AD305" s="8"/>
      <c r="AE305" s="8" t="s">
        <v>10</v>
      </c>
      <c r="AF305" s="8" t="s">
        <v>69</v>
      </c>
      <c r="AG305" s="8" t="s">
        <v>70</v>
      </c>
      <c r="AH305" s="8" t="s">
        <v>44</v>
      </c>
      <c r="AI305" s="9" t="s">
        <v>45</v>
      </c>
      <c r="AK305" s="24"/>
      <c r="AL305" s="24" t="s">
        <v>10</v>
      </c>
      <c r="AM305" s="24" t="s">
        <v>69</v>
      </c>
      <c r="AN305" s="24" t="s">
        <v>70</v>
      </c>
      <c r="AO305" s="24" t="s">
        <v>44</v>
      </c>
      <c r="AP305" s="9" t="s">
        <v>45</v>
      </c>
    </row>
    <row r="306" spans="2:42" x14ac:dyDescent="0.35">
      <c r="B306" t="s">
        <v>85</v>
      </c>
      <c r="C306" s="2">
        <v>767103655.47000003</v>
      </c>
      <c r="D306" s="2">
        <v>0</v>
      </c>
      <c r="E306" s="2">
        <v>0</v>
      </c>
      <c r="F306" s="2">
        <v>0</v>
      </c>
      <c r="G306" s="2">
        <v>767103655.47000003</v>
      </c>
      <c r="I306" t="s">
        <v>85</v>
      </c>
      <c r="J306" s="2">
        <v>182082816.40000001</v>
      </c>
      <c r="K306" s="2">
        <v>0</v>
      </c>
      <c r="L306" s="2">
        <v>0</v>
      </c>
      <c r="M306" s="2">
        <v>0</v>
      </c>
      <c r="N306" s="2">
        <v>182082816.40000001</v>
      </c>
      <c r="P306" t="s">
        <v>85</v>
      </c>
      <c r="Q306" s="2">
        <v>167409989.76999995</v>
      </c>
      <c r="R306" s="2">
        <v>0</v>
      </c>
      <c r="S306" s="2">
        <v>0</v>
      </c>
      <c r="T306" s="2">
        <v>0</v>
      </c>
      <c r="U306" s="2">
        <v>167409989.76999995</v>
      </c>
      <c r="W306" t="s">
        <v>85</v>
      </c>
      <c r="X306" s="2">
        <v>349492806.16999996</v>
      </c>
      <c r="Y306" s="2">
        <v>0</v>
      </c>
      <c r="Z306" s="2">
        <v>0</v>
      </c>
      <c r="AA306" s="2">
        <v>0</v>
      </c>
      <c r="AB306" s="2">
        <v>349492806.16999996</v>
      </c>
      <c r="AD306" t="s">
        <v>85</v>
      </c>
      <c r="AE306" s="2">
        <v>123552396.75</v>
      </c>
      <c r="AF306" s="2">
        <v>0</v>
      </c>
      <c r="AG306" s="2">
        <v>0</v>
      </c>
      <c r="AH306" s="2">
        <v>0</v>
      </c>
      <c r="AI306" s="2">
        <v>123552396.75</v>
      </c>
      <c r="AJ306" s="3">
        <v>473045202.91999996</v>
      </c>
      <c r="AK306" t="s">
        <v>85</v>
      </c>
      <c r="AL306" s="2">
        <v>294058452.55000007</v>
      </c>
      <c r="AM306" s="2">
        <v>0</v>
      </c>
      <c r="AN306" s="2">
        <v>0</v>
      </c>
      <c r="AO306" s="2">
        <v>0</v>
      </c>
      <c r="AP306" s="2">
        <v>294058452.55000007</v>
      </c>
    </row>
    <row r="307" spans="2:42" x14ac:dyDescent="0.35">
      <c r="B307" t="s">
        <v>19</v>
      </c>
      <c r="C307" s="2">
        <v>199247953.04187995</v>
      </c>
      <c r="D307" s="2">
        <v>0</v>
      </c>
      <c r="E307" s="2">
        <v>0</v>
      </c>
      <c r="F307" s="2">
        <v>0</v>
      </c>
      <c r="G307" s="2">
        <v>199247953.04187995</v>
      </c>
      <c r="I307" t="s">
        <v>19</v>
      </c>
      <c r="J307" s="2">
        <v>50133105.31662</v>
      </c>
      <c r="K307" s="2">
        <v>0</v>
      </c>
      <c r="L307" s="2">
        <v>0</v>
      </c>
      <c r="M307" s="2">
        <v>0</v>
      </c>
      <c r="N307" s="2">
        <v>50133105.31662</v>
      </c>
      <c r="P307" t="s">
        <v>19</v>
      </c>
      <c r="Q307" s="2">
        <v>55676635.70849999</v>
      </c>
      <c r="R307" s="2">
        <v>0</v>
      </c>
      <c r="S307" s="2">
        <v>0</v>
      </c>
      <c r="T307" s="2">
        <v>0</v>
      </c>
      <c r="U307" s="2">
        <v>55676635.70849999</v>
      </c>
      <c r="W307" t="s">
        <v>19</v>
      </c>
      <c r="X307" s="2">
        <v>105809741.02511999</v>
      </c>
      <c r="Y307" s="2">
        <v>0</v>
      </c>
      <c r="Z307" s="2">
        <v>0</v>
      </c>
      <c r="AA307" s="2">
        <v>0</v>
      </c>
      <c r="AB307" s="2">
        <v>105809741.02511999</v>
      </c>
      <c r="AD307" t="s">
        <v>19</v>
      </c>
      <c r="AE307" s="2">
        <v>47180521.186420023</v>
      </c>
      <c r="AF307" s="2">
        <v>0</v>
      </c>
      <c r="AG307" s="2">
        <v>0</v>
      </c>
      <c r="AH307" s="2">
        <v>0</v>
      </c>
      <c r="AI307" s="2">
        <v>47180521.186420023</v>
      </c>
      <c r="AJ307" s="3">
        <v>152990262.21154001</v>
      </c>
      <c r="AK307" t="s">
        <v>19</v>
      </c>
      <c r="AL307" s="2">
        <v>46257690.830339938</v>
      </c>
      <c r="AM307" s="2">
        <v>0</v>
      </c>
      <c r="AN307" s="2">
        <v>0</v>
      </c>
      <c r="AO307" s="2">
        <v>0</v>
      </c>
      <c r="AP307" s="2">
        <v>46257690.830339938</v>
      </c>
    </row>
    <row r="308" spans="2:42" x14ac:dyDescent="0.35">
      <c r="B308" t="s">
        <v>86</v>
      </c>
      <c r="C308" s="2">
        <v>-16758973.619999971</v>
      </c>
      <c r="D308" s="2">
        <v>0</v>
      </c>
      <c r="E308" s="2">
        <v>0</v>
      </c>
      <c r="F308" s="2">
        <v>0</v>
      </c>
      <c r="G308" s="2">
        <v>-16758973.619999971</v>
      </c>
      <c r="I308" t="s">
        <v>86</v>
      </c>
      <c r="J308" s="2">
        <v>-7345257.7100000223</v>
      </c>
      <c r="K308" s="2">
        <v>0</v>
      </c>
      <c r="L308" s="2">
        <v>0</v>
      </c>
      <c r="M308" s="2">
        <v>0</v>
      </c>
      <c r="N308" s="2">
        <v>-7345257.7100000223</v>
      </c>
      <c r="P308" t="s">
        <v>86</v>
      </c>
      <c r="Q308" s="2">
        <v>-2877250.9200000009</v>
      </c>
      <c r="R308" s="2">
        <v>0</v>
      </c>
      <c r="S308" s="2">
        <v>0</v>
      </c>
      <c r="T308" s="2">
        <v>0</v>
      </c>
      <c r="U308" s="2">
        <v>-2877250.9200000009</v>
      </c>
      <c r="W308" t="s">
        <v>86</v>
      </c>
      <c r="X308" s="2">
        <v>-10222508.630000023</v>
      </c>
      <c r="Y308" s="2">
        <v>0</v>
      </c>
      <c r="Z308" s="2">
        <v>0</v>
      </c>
      <c r="AA308" s="2">
        <v>0</v>
      </c>
      <c r="AB308" s="2">
        <v>-10222508.630000023</v>
      </c>
      <c r="AD308" t="s">
        <v>86</v>
      </c>
      <c r="AE308" s="2">
        <v>-4215883.8700000178</v>
      </c>
      <c r="AF308" s="2">
        <v>0</v>
      </c>
      <c r="AG308" s="2">
        <v>0</v>
      </c>
      <c r="AH308" s="2">
        <v>0</v>
      </c>
      <c r="AI308" s="2">
        <v>-4215883.8700000178</v>
      </c>
      <c r="AJ308" s="3">
        <v>-14438392.500000041</v>
      </c>
      <c r="AK308" t="s">
        <v>86</v>
      </c>
      <c r="AL308" s="2">
        <v>-2320581.1199999303</v>
      </c>
      <c r="AM308" s="2">
        <v>0</v>
      </c>
      <c r="AN308" s="2">
        <v>0</v>
      </c>
      <c r="AO308" s="2">
        <v>0</v>
      </c>
      <c r="AP308" s="2">
        <v>-2320581.1199999303</v>
      </c>
    </row>
    <row r="309" spans="2:42" x14ac:dyDescent="0.35">
      <c r="B309" t="s">
        <v>87</v>
      </c>
      <c r="C309" s="2">
        <v>-152474009.63</v>
      </c>
      <c r="D309" s="2">
        <v>0</v>
      </c>
      <c r="E309" s="2">
        <v>0</v>
      </c>
      <c r="F309" s="2">
        <v>0</v>
      </c>
      <c r="G309" s="2">
        <v>-152474009.63</v>
      </c>
      <c r="I309" t="s">
        <v>87</v>
      </c>
      <c r="J309" s="2">
        <v>-20285281.68</v>
      </c>
      <c r="K309" s="2">
        <v>0</v>
      </c>
      <c r="L309" s="2">
        <v>0</v>
      </c>
      <c r="M309" s="2">
        <v>0</v>
      </c>
      <c r="N309" s="2">
        <v>-20285281.68</v>
      </c>
      <c r="P309" t="s">
        <v>87</v>
      </c>
      <c r="Q309" s="2">
        <v>-30694886.219999999</v>
      </c>
      <c r="R309" s="2">
        <v>0</v>
      </c>
      <c r="S309" s="2">
        <v>0</v>
      </c>
      <c r="T309" s="2">
        <v>0</v>
      </c>
      <c r="U309" s="2">
        <v>-30694886.219999999</v>
      </c>
      <c r="W309" t="s">
        <v>87</v>
      </c>
      <c r="X309" s="2">
        <v>-50980167.899999999</v>
      </c>
      <c r="Y309" s="2">
        <v>0</v>
      </c>
      <c r="Z309" s="2">
        <v>0</v>
      </c>
      <c r="AA309" s="2">
        <v>0</v>
      </c>
      <c r="AB309" s="2">
        <v>-50980167.899999999</v>
      </c>
      <c r="AD309" t="s">
        <v>87</v>
      </c>
      <c r="AE309" s="2">
        <v>-46771097.989999987</v>
      </c>
      <c r="AF309" s="2">
        <v>0</v>
      </c>
      <c r="AG309" s="2">
        <v>0</v>
      </c>
      <c r="AH309" s="2">
        <v>0</v>
      </c>
      <c r="AI309" s="2">
        <v>-46771097.989999987</v>
      </c>
      <c r="AJ309" s="3">
        <v>-97751265.889999986</v>
      </c>
      <c r="AK309" t="s">
        <v>87</v>
      </c>
      <c r="AL309" s="2">
        <v>-54722743.740000017</v>
      </c>
      <c r="AM309" s="2">
        <v>0</v>
      </c>
      <c r="AN309" s="2">
        <v>0</v>
      </c>
      <c r="AO309" s="2">
        <v>0</v>
      </c>
      <c r="AP309" s="2">
        <v>-54722743.740000017</v>
      </c>
    </row>
    <row r="310" spans="2:42" x14ac:dyDescent="0.35">
      <c r="B310" s="19" t="s">
        <v>18</v>
      </c>
      <c r="C310" s="20">
        <v>797118625.26187992</v>
      </c>
      <c r="D310" s="20">
        <v>0</v>
      </c>
      <c r="E310" s="20">
        <v>0</v>
      </c>
      <c r="F310" s="20">
        <v>0</v>
      </c>
      <c r="G310" s="20">
        <v>797118625.26187992</v>
      </c>
      <c r="I310" s="19" t="s">
        <v>18</v>
      </c>
      <c r="J310" s="20">
        <v>204585382.32661998</v>
      </c>
      <c r="K310" s="20">
        <v>0</v>
      </c>
      <c r="L310" s="20">
        <v>0</v>
      </c>
      <c r="M310" s="20">
        <v>0</v>
      </c>
      <c r="N310" s="20">
        <v>204585382.32661998</v>
      </c>
      <c r="P310" s="19" t="s">
        <v>18</v>
      </c>
      <c r="Q310" s="20">
        <v>189514488.33849996</v>
      </c>
      <c r="R310" s="20">
        <v>0</v>
      </c>
      <c r="S310" s="20">
        <v>0</v>
      </c>
      <c r="T310" s="20">
        <v>0</v>
      </c>
      <c r="U310" s="20">
        <v>189514488.33849996</v>
      </c>
      <c r="W310" s="19" t="s">
        <v>18</v>
      </c>
      <c r="X310" s="20">
        <v>394099870.66512001</v>
      </c>
      <c r="Y310" s="20">
        <v>0</v>
      </c>
      <c r="Z310" s="20">
        <v>0</v>
      </c>
      <c r="AA310" s="20">
        <v>0</v>
      </c>
      <c r="AB310" s="20">
        <v>394099870.66512001</v>
      </c>
      <c r="AD310" s="19" t="s">
        <v>18</v>
      </c>
      <c r="AE310" s="20">
        <v>119745936.07642004</v>
      </c>
      <c r="AF310" s="20">
        <v>0</v>
      </c>
      <c r="AG310" s="20">
        <v>0</v>
      </c>
      <c r="AH310" s="20">
        <v>0</v>
      </c>
      <c r="AI310" s="20">
        <v>119745936.07642004</v>
      </c>
      <c r="AJ310" s="3">
        <v>513845806.74154007</v>
      </c>
      <c r="AK310" s="19" t="s">
        <v>18</v>
      </c>
      <c r="AL310" s="20">
        <v>283272818.52034003</v>
      </c>
      <c r="AM310" s="20">
        <v>0</v>
      </c>
      <c r="AN310" s="20">
        <v>0</v>
      </c>
      <c r="AO310" s="20">
        <v>0</v>
      </c>
      <c r="AP310" s="20">
        <v>283272818.52034003</v>
      </c>
    </row>
    <row r="311" spans="2:42" x14ac:dyDescent="0.35">
      <c r="C311" s="2"/>
      <c r="D311" s="2"/>
      <c r="E311" s="2"/>
      <c r="F311" s="2"/>
      <c r="G311" s="2"/>
      <c r="J311" s="2"/>
      <c r="K311" s="2"/>
      <c r="L311" s="2"/>
      <c r="M311" s="2"/>
      <c r="N311" s="2"/>
      <c r="Q311" s="2"/>
      <c r="R311" s="2"/>
      <c r="S311" s="2"/>
      <c r="T311" s="2"/>
      <c r="U311" s="2"/>
      <c r="X311" s="2"/>
      <c r="Y311" s="2"/>
      <c r="Z311" s="2"/>
      <c r="AA311" s="2"/>
      <c r="AB311" s="2"/>
      <c r="AE311" s="2"/>
      <c r="AF311" s="2"/>
      <c r="AG311" s="2"/>
      <c r="AH311" s="2"/>
      <c r="AI311" s="2"/>
      <c r="AJ311" s="3">
        <v>0</v>
      </c>
      <c r="AL311" s="2"/>
      <c r="AM311" s="2"/>
      <c r="AN311" s="2"/>
      <c r="AO311" s="2"/>
      <c r="AP311" s="2"/>
    </row>
    <row r="312" spans="2:42" x14ac:dyDescent="0.35">
      <c r="C312" s="2"/>
      <c r="D312" s="2"/>
      <c r="E312" s="2"/>
      <c r="F312" s="2"/>
      <c r="G312" s="2"/>
      <c r="J312" s="2"/>
      <c r="K312" s="2"/>
      <c r="L312" s="2"/>
      <c r="M312" s="2"/>
      <c r="N312" s="2"/>
      <c r="Q312" s="2"/>
      <c r="R312" s="2"/>
      <c r="S312" s="2"/>
      <c r="T312" s="2"/>
      <c r="U312" s="2"/>
      <c r="X312" s="2"/>
      <c r="Y312" s="2"/>
      <c r="Z312" s="2"/>
      <c r="AA312" s="2"/>
      <c r="AB312" s="2"/>
      <c r="AE312" s="2"/>
      <c r="AF312" s="2"/>
      <c r="AG312" s="2"/>
      <c r="AH312" s="2"/>
      <c r="AI312" s="2"/>
      <c r="AJ312" s="3">
        <v>0</v>
      </c>
      <c r="AL312" s="2"/>
      <c r="AM312" s="2"/>
      <c r="AN312" s="2"/>
      <c r="AO312" s="2"/>
      <c r="AP312" s="2"/>
    </row>
    <row r="313" spans="2:42" x14ac:dyDescent="0.35">
      <c r="B313" t="s">
        <v>12</v>
      </c>
      <c r="C313" s="2">
        <v>801931534.03999972</v>
      </c>
      <c r="D313" s="2">
        <v>0</v>
      </c>
      <c r="E313" s="2">
        <v>0</v>
      </c>
      <c r="F313" s="2">
        <v>0</v>
      </c>
      <c r="G313" s="2">
        <v>801931534.03999972</v>
      </c>
      <c r="I313" t="s">
        <v>12</v>
      </c>
      <c r="J313" s="2">
        <v>138049549.44000003</v>
      </c>
      <c r="K313" s="2">
        <v>0</v>
      </c>
      <c r="L313" s="2">
        <v>0</v>
      </c>
      <c r="M313" s="2">
        <v>0</v>
      </c>
      <c r="N313" s="2">
        <v>138049549.44000003</v>
      </c>
      <c r="P313" t="s">
        <v>12</v>
      </c>
      <c r="Q313" s="2">
        <v>175285298.80999997</v>
      </c>
      <c r="R313" s="2">
        <v>0</v>
      </c>
      <c r="S313" s="2">
        <v>0</v>
      </c>
      <c r="T313" s="2">
        <v>0</v>
      </c>
      <c r="U313" s="2">
        <v>175285298.80999997</v>
      </c>
      <c r="W313" t="s">
        <v>12</v>
      </c>
      <c r="X313" s="2">
        <v>313334848.25</v>
      </c>
      <c r="Y313" s="2">
        <v>0</v>
      </c>
      <c r="Z313" s="2">
        <v>0</v>
      </c>
      <c r="AA313" s="2">
        <v>0</v>
      </c>
      <c r="AB313" s="2">
        <v>313334848.25</v>
      </c>
      <c r="AD313" t="s">
        <v>12</v>
      </c>
      <c r="AE313" s="2">
        <v>240304432.48000002</v>
      </c>
      <c r="AF313" s="2">
        <v>0</v>
      </c>
      <c r="AG313" s="2">
        <v>0</v>
      </c>
      <c r="AH313" s="2">
        <v>0</v>
      </c>
      <c r="AI313" s="2">
        <v>240304432.48000002</v>
      </c>
      <c r="AJ313" s="3">
        <v>553639280.73000002</v>
      </c>
      <c r="AK313" t="s">
        <v>12</v>
      </c>
      <c r="AL313" s="2">
        <v>248292253.3099997</v>
      </c>
      <c r="AM313" s="2">
        <v>0</v>
      </c>
      <c r="AN313" s="2">
        <v>0</v>
      </c>
      <c r="AO313" s="2">
        <v>0</v>
      </c>
      <c r="AP313" s="2">
        <v>248292253.3099997</v>
      </c>
    </row>
    <row r="314" spans="2:42" x14ac:dyDescent="0.35">
      <c r="B314" t="s">
        <v>3</v>
      </c>
      <c r="C314" s="2">
        <v>-395099128.89999992</v>
      </c>
      <c r="D314" s="2">
        <v>0</v>
      </c>
      <c r="E314" s="2">
        <v>0</v>
      </c>
      <c r="F314" s="2">
        <v>-53041.369999999995</v>
      </c>
      <c r="G314" s="2">
        <v>-395152170.26999992</v>
      </c>
      <c r="I314" t="s">
        <v>3</v>
      </c>
      <c r="J314" s="2">
        <v>-59040067.780000001</v>
      </c>
      <c r="K314" s="2">
        <v>0</v>
      </c>
      <c r="L314" s="2">
        <v>0</v>
      </c>
      <c r="M314" s="2">
        <v>-4290.9800000000005</v>
      </c>
      <c r="N314" s="2">
        <v>-59044358.759999998</v>
      </c>
      <c r="P314" t="s">
        <v>3</v>
      </c>
      <c r="Q314" s="2">
        <v>-85424836.060000002</v>
      </c>
      <c r="R314" s="2">
        <v>0</v>
      </c>
      <c r="S314" s="2">
        <v>0</v>
      </c>
      <c r="T314" s="2">
        <v>-1994.8599999999997</v>
      </c>
      <c r="U314" s="2">
        <v>-85426830.920000002</v>
      </c>
      <c r="W314" t="s">
        <v>3</v>
      </c>
      <c r="X314" s="2">
        <v>-144464903.84</v>
      </c>
      <c r="Y314" s="2">
        <v>0</v>
      </c>
      <c r="Z314" s="2">
        <v>0</v>
      </c>
      <c r="AA314" s="2">
        <v>-6285.84</v>
      </c>
      <c r="AB314" s="2">
        <v>-144471189.68000001</v>
      </c>
      <c r="AD314" t="s">
        <v>3</v>
      </c>
      <c r="AE314" s="2">
        <v>-107297699.32999998</v>
      </c>
      <c r="AF314" s="2">
        <v>0</v>
      </c>
      <c r="AG314" s="2">
        <v>0</v>
      </c>
      <c r="AH314" s="2">
        <v>-21651.81</v>
      </c>
      <c r="AI314" s="2">
        <v>-107319351.13999999</v>
      </c>
      <c r="AJ314" s="3">
        <v>-251790540.81999999</v>
      </c>
      <c r="AK314" t="s">
        <v>3</v>
      </c>
      <c r="AL314" s="2">
        <v>-143336525.72999993</v>
      </c>
      <c r="AM314" s="2">
        <v>0</v>
      </c>
      <c r="AN314" s="2">
        <v>0</v>
      </c>
      <c r="AO314" s="2">
        <v>-25103.719999999994</v>
      </c>
      <c r="AP314" s="2">
        <v>-143361629.44999993</v>
      </c>
    </row>
    <row r="315" spans="2:42" x14ac:dyDescent="0.35">
      <c r="B315" t="s">
        <v>88</v>
      </c>
      <c r="C315" s="2">
        <v>90530378</v>
      </c>
      <c r="D315" s="2">
        <v>0</v>
      </c>
      <c r="E315" s="2">
        <v>0</v>
      </c>
      <c r="F315" s="2">
        <v>509730.72000000003</v>
      </c>
      <c r="G315" s="2">
        <v>91040108.719999999</v>
      </c>
      <c r="I315" t="s">
        <v>88</v>
      </c>
      <c r="J315" s="2">
        <v>31733521.759999998</v>
      </c>
      <c r="K315" s="2">
        <v>0</v>
      </c>
      <c r="L315" s="2">
        <v>0</v>
      </c>
      <c r="M315" s="2">
        <v>420320.46</v>
      </c>
      <c r="N315" s="2">
        <v>32153842.219999999</v>
      </c>
      <c r="P315" t="s">
        <v>88</v>
      </c>
      <c r="Q315" s="2">
        <v>19994617.079999998</v>
      </c>
      <c r="R315" s="2">
        <v>0</v>
      </c>
      <c r="S315" s="2">
        <v>0</v>
      </c>
      <c r="T315" s="2">
        <v>40825.309999999939</v>
      </c>
      <c r="U315" s="2">
        <v>20035442.389999997</v>
      </c>
      <c r="W315" t="s">
        <v>88</v>
      </c>
      <c r="X315" s="2">
        <v>51728138.839999996</v>
      </c>
      <c r="Y315" s="2">
        <v>0</v>
      </c>
      <c r="Z315" s="2">
        <v>0</v>
      </c>
      <c r="AA315" s="2">
        <v>461145.76999999996</v>
      </c>
      <c r="AB315" s="2">
        <v>52189284.609999999</v>
      </c>
      <c r="AD315" t="s">
        <v>88</v>
      </c>
      <c r="AE315" s="2">
        <v>15123157.960000016</v>
      </c>
      <c r="AF315" s="2">
        <v>0</v>
      </c>
      <c r="AG315" s="2">
        <v>0</v>
      </c>
      <c r="AH315" s="2">
        <v>34213.64000000013</v>
      </c>
      <c r="AI315" s="2">
        <v>15157371.600000016</v>
      </c>
      <c r="AJ315" s="3">
        <v>67346656.210000008</v>
      </c>
      <c r="AK315" t="s">
        <v>88</v>
      </c>
      <c r="AL315" s="2">
        <v>23679081.199999996</v>
      </c>
      <c r="AM315" s="2">
        <v>0</v>
      </c>
      <c r="AN315" s="2">
        <v>0</v>
      </c>
      <c r="AO315" s="2">
        <v>14371.309999999939</v>
      </c>
      <c r="AP315" s="2">
        <v>23693452.509999994</v>
      </c>
    </row>
    <row r="316" spans="2:42" x14ac:dyDescent="0.35">
      <c r="B316" t="s">
        <v>13</v>
      </c>
      <c r="C316" s="2">
        <v>-10148613.370000001</v>
      </c>
      <c r="D316" s="2">
        <v>0</v>
      </c>
      <c r="E316" s="2">
        <v>0</v>
      </c>
      <c r="F316" s="2">
        <v>0</v>
      </c>
      <c r="G316" s="2">
        <v>-10148613.370000001</v>
      </c>
      <c r="I316" t="s">
        <v>13</v>
      </c>
      <c r="J316" s="2">
        <v>-1598083.3000000003</v>
      </c>
      <c r="K316" s="2">
        <v>0</v>
      </c>
      <c r="L316" s="2">
        <v>0</v>
      </c>
      <c r="M316" s="2">
        <v>0</v>
      </c>
      <c r="N316" s="2">
        <v>-1598083.3000000003</v>
      </c>
      <c r="P316" t="s">
        <v>13</v>
      </c>
      <c r="Q316" s="2">
        <v>-2324547.0499999998</v>
      </c>
      <c r="R316" s="2">
        <v>0</v>
      </c>
      <c r="S316" s="2">
        <v>0</v>
      </c>
      <c r="T316" s="2">
        <v>0</v>
      </c>
      <c r="U316" s="2">
        <v>-2324547.0499999998</v>
      </c>
      <c r="W316" t="s">
        <v>13</v>
      </c>
      <c r="X316" s="2">
        <v>-3922630.35</v>
      </c>
      <c r="Y316" s="2">
        <v>0</v>
      </c>
      <c r="Z316" s="2">
        <v>0</v>
      </c>
      <c r="AA316" s="2">
        <v>0</v>
      </c>
      <c r="AB316" s="2">
        <v>-3922630.35</v>
      </c>
      <c r="AD316" t="s">
        <v>13</v>
      </c>
      <c r="AE316" s="2">
        <v>-2816015.7700000019</v>
      </c>
      <c r="AF316" s="2">
        <v>0</v>
      </c>
      <c r="AG316" s="2">
        <v>0</v>
      </c>
      <c r="AH316" s="2">
        <v>0</v>
      </c>
      <c r="AI316" s="2">
        <v>-2816015.7700000019</v>
      </c>
      <c r="AJ316" s="3">
        <v>-6738646.120000002</v>
      </c>
      <c r="AK316" t="s">
        <v>13</v>
      </c>
      <c r="AL316" s="2">
        <v>-3409967.2499999995</v>
      </c>
      <c r="AM316" s="2">
        <v>0</v>
      </c>
      <c r="AN316" s="2">
        <v>0</v>
      </c>
      <c r="AO316" s="2">
        <v>0</v>
      </c>
      <c r="AP316" s="2">
        <v>-3409967.2499999995</v>
      </c>
    </row>
    <row r="317" spans="2:42" x14ac:dyDescent="0.35">
      <c r="B317" s="19" t="s">
        <v>14</v>
      </c>
      <c r="C317" s="20">
        <v>487214169.7699998</v>
      </c>
      <c r="D317" s="20">
        <v>0</v>
      </c>
      <c r="E317" s="20">
        <v>0</v>
      </c>
      <c r="F317" s="20">
        <v>456689.35000000003</v>
      </c>
      <c r="G317" s="20">
        <v>487670859.11999977</v>
      </c>
      <c r="I317" s="19" t="s">
        <v>14</v>
      </c>
      <c r="J317" s="20">
        <v>109144920.12000002</v>
      </c>
      <c r="K317" s="20">
        <v>0</v>
      </c>
      <c r="L317" s="20">
        <v>0</v>
      </c>
      <c r="M317" s="20">
        <v>416029.48000000004</v>
      </c>
      <c r="N317" s="20">
        <v>109560949.60000004</v>
      </c>
      <c r="P317" s="19" t="s">
        <v>14</v>
      </c>
      <c r="Q317" s="20">
        <v>107530532.77999997</v>
      </c>
      <c r="R317" s="20">
        <v>0</v>
      </c>
      <c r="S317" s="20">
        <v>0</v>
      </c>
      <c r="T317" s="20">
        <v>38830.449999999939</v>
      </c>
      <c r="U317" s="20">
        <v>107569363.22999997</v>
      </c>
      <c r="W317" s="19" t="s">
        <v>14</v>
      </c>
      <c r="X317" s="20">
        <v>216675452.90000001</v>
      </c>
      <c r="Y317" s="20">
        <v>0</v>
      </c>
      <c r="Z317" s="20">
        <v>0</v>
      </c>
      <c r="AA317" s="20">
        <v>454859.92999999993</v>
      </c>
      <c r="AB317" s="20">
        <v>217130312.83000001</v>
      </c>
      <c r="AD317" s="19" t="s">
        <v>14</v>
      </c>
      <c r="AE317" s="20">
        <v>145313875.34000003</v>
      </c>
      <c r="AF317" s="20">
        <v>0</v>
      </c>
      <c r="AG317" s="20">
        <v>0</v>
      </c>
      <c r="AH317" s="20">
        <v>12561.830000000129</v>
      </c>
      <c r="AI317" s="20">
        <v>145326437.17000005</v>
      </c>
      <c r="AJ317" s="3">
        <v>362456750.00000006</v>
      </c>
      <c r="AK317" s="19" t="s">
        <v>14</v>
      </c>
      <c r="AL317" s="20">
        <v>125224841.52999976</v>
      </c>
      <c r="AM317" s="20">
        <v>0</v>
      </c>
      <c r="AN317" s="20">
        <v>0</v>
      </c>
      <c r="AO317" s="20">
        <v>-10732.410000000054</v>
      </c>
      <c r="AP317" s="20">
        <v>125214109.11999977</v>
      </c>
    </row>
    <row r="318" spans="2:42" x14ac:dyDescent="0.35">
      <c r="C318" s="2"/>
      <c r="D318" s="2"/>
      <c r="E318" s="2"/>
      <c r="F318" s="2"/>
      <c r="G318" s="2"/>
      <c r="J318" s="2"/>
      <c r="K318" s="2"/>
      <c r="L318" s="2"/>
      <c r="M318" s="2"/>
      <c r="N318" s="2"/>
      <c r="Q318" s="2"/>
      <c r="R318" s="2"/>
      <c r="S318" s="2"/>
      <c r="T318" s="2"/>
      <c r="U318" s="2"/>
      <c r="X318" s="2"/>
      <c r="Y318" s="2"/>
      <c r="Z318" s="2"/>
      <c r="AA318" s="2"/>
      <c r="AB318" s="2"/>
      <c r="AE318" s="2"/>
      <c r="AF318" s="2"/>
      <c r="AG318" s="2"/>
      <c r="AH318" s="2"/>
      <c r="AI318" s="2"/>
      <c r="AJ318" s="3">
        <v>0</v>
      </c>
      <c r="AL318" s="2"/>
      <c r="AM318" s="2"/>
      <c r="AN318" s="2"/>
      <c r="AO318" s="2"/>
      <c r="AP318" s="2"/>
    </row>
    <row r="319" spans="2:42" x14ac:dyDescent="0.35">
      <c r="C319" s="2"/>
      <c r="D319" s="2"/>
      <c r="E319" s="2"/>
      <c r="F319" s="2"/>
      <c r="G319" s="2"/>
      <c r="J319" s="2"/>
      <c r="K319" s="2"/>
      <c r="L319" s="2"/>
      <c r="M319" s="2"/>
      <c r="N319" s="2"/>
      <c r="Q319" s="2"/>
      <c r="R319" s="2"/>
      <c r="S319" s="2"/>
      <c r="T319" s="2"/>
      <c r="U319" s="2"/>
      <c r="X319" s="2"/>
      <c r="Y319" s="2"/>
      <c r="Z319" s="2"/>
      <c r="AA319" s="2"/>
      <c r="AB319" s="2"/>
      <c r="AE319" s="2"/>
      <c r="AF319" s="2"/>
      <c r="AG319" s="2"/>
      <c r="AH319" s="2"/>
      <c r="AI319" s="2"/>
      <c r="AJ319" s="3">
        <v>0</v>
      </c>
      <c r="AL319" s="2"/>
      <c r="AM319" s="2"/>
      <c r="AN319" s="2"/>
      <c r="AO319" s="2"/>
      <c r="AP319" s="2"/>
    </row>
    <row r="320" spans="2:42" x14ac:dyDescent="0.35">
      <c r="B320" t="s">
        <v>15</v>
      </c>
      <c r="C320" s="2">
        <v>234183192.45999998</v>
      </c>
      <c r="D320" s="2">
        <v>0</v>
      </c>
      <c r="E320" s="2">
        <v>0</v>
      </c>
      <c r="F320" s="2">
        <v>14263844.899999999</v>
      </c>
      <c r="G320" s="2">
        <v>248447037.35999998</v>
      </c>
      <c r="I320" t="s">
        <v>15</v>
      </c>
      <c r="J320" s="2">
        <v>61545212.540000007</v>
      </c>
      <c r="K320" s="2">
        <v>0</v>
      </c>
      <c r="L320" s="2">
        <v>0</v>
      </c>
      <c r="M320" s="2">
        <v>3425448.54</v>
      </c>
      <c r="N320" s="2">
        <v>64970661.080000006</v>
      </c>
      <c r="P320" t="s">
        <v>15</v>
      </c>
      <c r="Q320" s="2">
        <v>36552704.920000017</v>
      </c>
      <c r="R320" s="2">
        <v>0</v>
      </c>
      <c r="S320" s="2">
        <v>0</v>
      </c>
      <c r="T320" s="2">
        <v>3362311.4499999993</v>
      </c>
      <c r="U320" s="2">
        <v>39915016.37000002</v>
      </c>
      <c r="W320" t="s">
        <v>15</v>
      </c>
      <c r="X320" s="2">
        <v>98097917.460000023</v>
      </c>
      <c r="Y320" s="2">
        <v>0</v>
      </c>
      <c r="Z320" s="2">
        <v>0</v>
      </c>
      <c r="AA320" s="2">
        <v>6787759.9899999993</v>
      </c>
      <c r="AB320" s="2">
        <v>104885677.45000002</v>
      </c>
      <c r="AD320" t="s">
        <v>15</v>
      </c>
      <c r="AE320" s="2">
        <v>55403584.349999979</v>
      </c>
      <c r="AF320" s="2">
        <v>0</v>
      </c>
      <c r="AG320" s="2">
        <v>0</v>
      </c>
      <c r="AH320" s="2">
        <v>3636138.1900000023</v>
      </c>
      <c r="AI320" s="2">
        <v>59039722.539999984</v>
      </c>
      <c r="AJ320" s="3">
        <v>163925399.99000001</v>
      </c>
      <c r="AK320" t="s">
        <v>15</v>
      </c>
      <c r="AL320" s="2">
        <v>80681690.649999991</v>
      </c>
      <c r="AM320" s="2">
        <v>0</v>
      </c>
      <c r="AN320" s="2">
        <v>0</v>
      </c>
      <c r="AO320" s="2">
        <v>3839946.7199999979</v>
      </c>
      <c r="AP320" s="2">
        <v>84521637.36999999</v>
      </c>
    </row>
    <row r="321" spans="2:42" x14ac:dyDescent="0.35">
      <c r="B321" t="s">
        <v>16</v>
      </c>
      <c r="C321" s="2">
        <v>-83437473.309999987</v>
      </c>
      <c r="D321" s="2">
        <v>0</v>
      </c>
      <c r="E321" s="2">
        <v>0</v>
      </c>
      <c r="F321" s="2">
        <v>0</v>
      </c>
      <c r="G321" s="2">
        <v>-83437473.309999987</v>
      </c>
      <c r="I321" t="s">
        <v>16</v>
      </c>
      <c r="J321" s="2">
        <v>-21269197.590000007</v>
      </c>
      <c r="K321" s="2">
        <v>0</v>
      </c>
      <c r="L321" s="2">
        <v>0</v>
      </c>
      <c r="M321" s="2">
        <v>0</v>
      </c>
      <c r="N321" s="2">
        <v>-21269197.590000007</v>
      </c>
      <c r="P321" t="s">
        <v>16</v>
      </c>
      <c r="Q321" s="2">
        <v>-15984047.89999998</v>
      </c>
      <c r="R321" s="2">
        <v>0</v>
      </c>
      <c r="S321" s="2">
        <v>0</v>
      </c>
      <c r="T321" s="2">
        <v>0</v>
      </c>
      <c r="U321" s="2">
        <v>-15984047.89999998</v>
      </c>
      <c r="W321" t="s">
        <v>16</v>
      </c>
      <c r="X321" s="2">
        <v>-37253245.489999987</v>
      </c>
      <c r="Y321" s="2">
        <v>0</v>
      </c>
      <c r="Z321" s="2">
        <v>0</v>
      </c>
      <c r="AA321" s="2">
        <v>0</v>
      </c>
      <c r="AB321" s="2">
        <v>-37253245.489999987</v>
      </c>
      <c r="AD321" t="s">
        <v>16</v>
      </c>
      <c r="AE321" s="2">
        <v>-24351895.760000013</v>
      </c>
      <c r="AF321" s="2">
        <v>0</v>
      </c>
      <c r="AG321" s="2">
        <v>0</v>
      </c>
      <c r="AH321" s="2">
        <v>0</v>
      </c>
      <c r="AI321" s="2">
        <v>-24351895.760000013</v>
      </c>
      <c r="AJ321" s="3">
        <v>-61605141.25</v>
      </c>
      <c r="AK321" t="s">
        <v>16</v>
      </c>
      <c r="AL321" s="2">
        <v>-21832332.059999987</v>
      </c>
      <c r="AM321" s="2">
        <v>0</v>
      </c>
      <c r="AN321" s="2">
        <v>0</v>
      </c>
      <c r="AO321" s="2">
        <v>0</v>
      </c>
      <c r="AP321" s="2">
        <v>-21832332.059999987</v>
      </c>
    </row>
    <row r="322" spans="2:42" x14ac:dyDescent="0.35">
      <c r="B322" s="19" t="s">
        <v>17</v>
      </c>
      <c r="C322" s="20">
        <v>150745719.14999998</v>
      </c>
      <c r="D322" s="20">
        <v>0</v>
      </c>
      <c r="E322" s="20">
        <v>0</v>
      </c>
      <c r="F322" s="20">
        <v>14263844.899999999</v>
      </c>
      <c r="G322" s="20">
        <v>165009564.05000001</v>
      </c>
      <c r="I322" s="19" t="s">
        <v>17</v>
      </c>
      <c r="J322" s="20">
        <v>40276014.950000003</v>
      </c>
      <c r="K322" s="20">
        <v>0</v>
      </c>
      <c r="L322" s="20">
        <v>0</v>
      </c>
      <c r="M322" s="20">
        <v>3425448.54</v>
      </c>
      <c r="N322" s="20">
        <v>43701463.489999995</v>
      </c>
      <c r="P322" s="19" t="s">
        <v>17</v>
      </c>
      <c r="Q322" s="20">
        <v>20568657.020000037</v>
      </c>
      <c r="R322" s="20">
        <v>0</v>
      </c>
      <c r="S322" s="20">
        <v>0</v>
      </c>
      <c r="T322" s="20">
        <v>3362311.4499999993</v>
      </c>
      <c r="U322" s="20">
        <v>23930968.47000004</v>
      </c>
      <c r="W322" s="19" t="s">
        <v>17</v>
      </c>
      <c r="X322" s="20">
        <v>60844671.970000036</v>
      </c>
      <c r="Y322" s="20">
        <v>0</v>
      </c>
      <c r="Z322" s="20">
        <v>0</v>
      </c>
      <c r="AA322" s="20">
        <v>6787759.9899999993</v>
      </c>
      <c r="AB322" s="20">
        <v>67632431.960000038</v>
      </c>
      <c r="AD322" s="19" t="s">
        <v>17</v>
      </c>
      <c r="AE322" s="20">
        <v>31051688.589999966</v>
      </c>
      <c r="AF322" s="20">
        <v>0</v>
      </c>
      <c r="AG322" s="20">
        <v>0</v>
      </c>
      <c r="AH322" s="20">
        <v>3636138.1900000023</v>
      </c>
      <c r="AI322" s="20">
        <v>34687826.779999971</v>
      </c>
      <c r="AJ322" s="3">
        <v>102320258.74000001</v>
      </c>
      <c r="AK322" s="19" t="s">
        <v>17</v>
      </c>
      <c r="AL322" s="20">
        <v>58849358.590000004</v>
      </c>
      <c r="AM322" s="20">
        <v>0</v>
      </c>
      <c r="AN322" s="20">
        <v>0</v>
      </c>
      <c r="AO322" s="20">
        <v>3839946.7199999979</v>
      </c>
      <c r="AP322" s="20">
        <v>62689305.310000002</v>
      </c>
    </row>
    <row r="323" spans="2:42" x14ac:dyDescent="0.35">
      <c r="C323" s="2"/>
      <c r="D323" s="2"/>
      <c r="E323" s="2"/>
      <c r="F323" s="2"/>
      <c r="G323" s="2"/>
      <c r="J323" s="2"/>
      <c r="K323" s="2"/>
      <c r="L323" s="2"/>
      <c r="M323" s="2"/>
      <c r="N323" s="2"/>
      <c r="Q323" s="2"/>
      <c r="R323" s="2"/>
      <c r="S323" s="2"/>
      <c r="T323" s="2"/>
      <c r="U323" s="2"/>
      <c r="X323" s="2"/>
      <c r="Y323" s="2"/>
      <c r="Z323" s="2"/>
      <c r="AA323" s="2"/>
      <c r="AB323" s="2"/>
      <c r="AE323" s="2"/>
      <c r="AF323" s="2"/>
      <c r="AG323" s="2"/>
      <c r="AH323" s="2"/>
      <c r="AI323" s="2"/>
      <c r="AJ323" s="3">
        <v>0</v>
      </c>
      <c r="AL323" s="2"/>
      <c r="AM323" s="2"/>
      <c r="AN323" s="2"/>
      <c r="AO323" s="2"/>
      <c r="AP323" s="2"/>
    </row>
    <row r="324" spans="2:42" x14ac:dyDescent="0.35">
      <c r="C324" s="2"/>
      <c r="D324" s="2"/>
      <c r="E324" s="2"/>
      <c r="F324" s="2"/>
      <c r="G324" s="2"/>
      <c r="J324" s="2"/>
      <c r="K324" s="2"/>
      <c r="L324" s="2"/>
      <c r="M324" s="2"/>
      <c r="N324" s="2"/>
      <c r="Q324" s="2"/>
      <c r="R324" s="2"/>
      <c r="S324" s="2"/>
      <c r="T324" s="2"/>
      <c r="U324" s="2"/>
      <c r="X324" s="2"/>
      <c r="Y324" s="2"/>
      <c r="Z324" s="2"/>
      <c r="AA324" s="2"/>
      <c r="AB324" s="2"/>
      <c r="AE324" s="2"/>
      <c r="AF324" s="2"/>
      <c r="AG324" s="2"/>
      <c r="AH324" s="2"/>
      <c r="AI324" s="2"/>
      <c r="AJ324" s="3">
        <v>0</v>
      </c>
      <c r="AL324" s="2"/>
      <c r="AM324" s="2"/>
      <c r="AN324" s="2"/>
      <c r="AO324" s="2"/>
      <c r="AP324" s="2"/>
    </row>
    <row r="325" spans="2:42" x14ac:dyDescent="0.35">
      <c r="B325" s="16" t="s">
        <v>20</v>
      </c>
      <c r="C325" s="2">
        <v>10385698.217857383</v>
      </c>
      <c r="D325" s="2">
        <v>0</v>
      </c>
      <c r="E325" s="2">
        <v>0</v>
      </c>
      <c r="F325" s="2">
        <v>-8013024.6126419734</v>
      </c>
      <c r="G325" s="17">
        <v>2372673.6052154098</v>
      </c>
      <c r="I325" s="16" t="s">
        <v>20</v>
      </c>
      <c r="J325" s="17">
        <v>6681269.6788199991</v>
      </c>
      <c r="K325" s="17">
        <v>0</v>
      </c>
      <c r="L325" s="17">
        <v>0</v>
      </c>
      <c r="M325" s="17">
        <v>-2048796.3189931887</v>
      </c>
      <c r="N325" s="17">
        <v>4632473.3598268107</v>
      </c>
      <c r="P325" s="6" t="s">
        <v>20</v>
      </c>
      <c r="Q325" s="2">
        <v>2692425.1939200033</v>
      </c>
      <c r="R325" s="2">
        <v>0</v>
      </c>
      <c r="S325" s="2">
        <v>0</v>
      </c>
      <c r="T325" s="2">
        <v>-956217.50355778518</v>
      </c>
      <c r="U325" s="7">
        <v>1736207.6903622181</v>
      </c>
      <c r="W325" s="6" t="s">
        <v>20</v>
      </c>
      <c r="X325" s="103">
        <v>9373694.8727400023</v>
      </c>
      <c r="Y325" s="103">
        <v>0</v>
      </c>
      <c r="Z325" s="103">
        <v>0</v>
      </c>
      <c r="AA325" s="103">
        <v>-3005013.8225509739</v>
      </c>
      <c r="AB325" s="7">
        <v>6368681.0501890285</v>
      </c>
      <c r="AD325" s="16" t="s">
        <v>20</v>
      </c>
      <c r="AE325" s="2">
        <v>802734.52400421165</v>
      </c>
      <c r="AF325" s="2">
        <v>0</v>
      </c>
      <c r="AG325" s="2">
        <v>0</v>
      </c>
      <c r="AH325" s="2">
        <v>-1446375.5622917283</v>
      </c>
      <c r="AI325" s="17">
        <v>-643641.03828751668</v>
      </c>
      <c r="AJ325" s="3">
        <v>5725040.0119015118</v>
      </c>
      <c r="AK325" s="16" t="s">
        <v>20</v>
      </c>
      <c r="AL325" s="23">
        <v>209268.82111316919</v>
      </c>
      <c r="AM325" s="23">
        <v>0</v>
      </c>
      <c r="AN325" s="23">
        <v>0</v>
      </c>
      <c r="AO325" s="23">
        <v>-3561635.2277992712</v>
      </c>
      <c r="AP325" s="23">
        <v>-3352366.406686102</v>
      </c>
    </row>
    <row r="326" spans="2:42" x14ac:dyDescent="0.35">
      <c r="C326" s="2"/>
      <c r="D326" s="2"/>
      <c r="E326" s="2"/>
      <c r="F326" s="2"/>
      <c r="G326" s="2"/>
      <c r="J326" s="2"/>
      <c r="K326" s="2"/>
      <c r="L326" s="2"/>
      <c r="M326" s="2"/>
      <c r="N326" s="2"/>
      <c r="P326" s="13"/>
      <c r="Q326" s="155"/>
      <c r="R326" s="155"/>
      <c r="S326" s="155"/>
      <c r="T326" s="155"/>
      <c r="U326" s="155"/>
      <c r="W326" s="13"/>
      <c r="X326" s="155"/>
      <c r="Y326" s="155"/>
      <c r="Z326" s="155"/>
      <c r="AA326" s="155"/>
      <c r="AB326" s="155"/>
      <c r="AE326" s="2"/>
      <c r="AF326" s="2"/>
      <c r="AG326" s="2"/>
      <c r="AH326" s="2"/>
      <c r="AI326" s="2"/>
      <c r="AJ326" s="3">
        <v>0</v>
      </c>
      <c r="AL326" s="2"/>
      <c r="AM326" s="2"/>
      <c r="AN326" s="2"/>
      <c r="AO326" s="2"/>
      <c r="AP326" s="2"/>
    </row>
    <row r="327" spans="2:42" x14ac:dyDescent="0.35">
      <c r="C327" s="2"/>
      <c r="D327" s="2"/>
      <c r="E327" s="2"/>
      <c r="F327" s="2"/>
      <c r="G327" s="2"/>
      <c r="J327" s="2"/>
      <c r="K327" s="2"/>
      <c r="L327" s="2"/>
      <c r="M327" s="2"/>
      <c r="N327" s="2"/>
      <c r="Q327" s="2"/>
      <c r="R327" s="2"/>
      <c r="S327" s="2"/>
      <c r="T327" s="2"/>
      <c r="U327" s="2"/>
      <c r="X327" s="2"/>
      <c r="Y327" s="2"/>
      <c r="Z327" s="2"/>
      <c r="AA327" s="2"/>
      <c r="AB327" s="2"/>
      <c r="AE327" s="2"/>
      <c r="AF327" s="2"/>
      <c r="AG327" s="2"/>
      <c r="AH327" s="2"/>
      <c r="AI327" s="2"/>
      <c r="AJ327" s="3">
        <v>0</v>
      </c>
    </row>
    <row r="328" spans="2:42" x14ac:dyDescent="0.35">
      <c r="C328" s="2"/>
      <c r="D328" s="2"/>
      <c r="E328" s="2"/>
      <c r="F328" s="2"/>
      <c r="G328" s="2"/>
      <c r="J328" s="2"/>
      <c r="K328" s="2"/>
      <c r="L328" s="2"/>
      <c r="M328" s="2"/>
      <c r="N328" s="2"/>
      <c r="Q328" s="2"/>
      <c r="R328" s="2"/>
      <c r="S328" s="2"/>
      <c r="T328" s="2"/>
      <c r="U328" s="2"/>
      <c r="X328" s="2"/>
      <c r="Y328" s="2"/>
      <c r="Z328" s="2"/>
      <c r="AA328" s="2"/>
      <c r="AB328" s="2"/>
      <c r="AE328" s="2"/>
      <c r="AF328" s="2"/>
      <c r="AG328" s="2"/>
      <c r="AH328" s="2"/>
      <c r="AI328" s="2"/>
      <c r="AJ328" s="3">
        <v>0</v>
      </c>
    </row>
    <row r="329" spans="2:42" x14ac:dyDescent="0.35">
      <c r="B329" t="s">
        <v>0</v>
      </c>
      <c r="C329" s="2">
        <v>105959048.91999999</v>
      </c>
      <c r="D329" s="2">
        <v>0</v>
      </c>
      <c r="E329" s="2">
        <v>0</v>
      </c>
      <c r="F329" s="2">
        <v>0</v>
      </c>
      <c r="G329" s="2">
        <v>105959048.91999999</v>
      </c>
      <c r="I329" t="s">
        <v>0</v>
      </c>
      <c r="J329" s="2">
        <v>39475983.409999996</v>
      </c>
      <c r="K329" s="2">
        <v>0</v>
      </c>
      <c r="L329" s="2">
        <v>0</v>
      </c>
      <c r="M329" s="2">
        <v>0</v>
      </c>
      <c r="N329" s="2">
        <v>39475983.409999996</v>
      </c>
      <c r="P329" t="s">
        <v>0</v>
      </c>
      <c r="Q329" s="2">
        <v>30978518.640000001</v>
      </c>
      <c r="R329" s="2">
        <v>0</v>
      </c>
      <c r="S329" s="2">
        <v>0</v>
      </c>
      <c r="T329" s="2">
        <v>0</v>
      </c>
      <c r="U329" s="2">
        <v>30978518.640000001</v>
      </c>
      <c r="W329" t="s">
        <v>0</v>
      </c>
      <c r="X329" s="2">
        <v>70454502.049999997</v>
      </c>
      <c r="Y329" s="2">
        <v>0</v>
      </c>
      <c r="Z329" s="2">
        <v>0</v>
      </c>
      <c r="AA329" s="2">
        <v>0</v>
      </c>
      <c r="AB329" s="2">
        <v>70454502.049999997</v>
      </c>
      <c r="AD329" t="s">
        <v>0</v>
      </c>
      <c r="AE329" s="2">
        <v>35504546.86999999</v>
      </c>
      <c r="AF329" s="2">
        <v>0</v>
      </c>
      <c r="AG329" s="2">
        <v>0</v>
      </c>
      <c r="AH329" s="2">
        <v>0</v>
      </c>
      <c r="AI329" s="2">
        <v>35504546.86999999</v>
      </c>
      <c r="AJ329" s="3">
        <v>105959048.91999999</v>
      </c>
      <c r="AK329" t="s">
        <v>0</v>
      </c>
      <c r="AL329" s="2">
        <v>0</v>
      </c>
      <c r="AM329" s="2">
        <v>0</v>
      </c>
      <c r="AN329" s="2">
        <v>0</v>
      </c>
      <c r="AO329" s="2">
        <v>0</v>
      </c>
      <c r="AP329" s="2">
        <v>0</v>
      </c>
    </row>
    <row r="330" spans="2:42" x14ac:dyDescent="0.35">
      <c r="B330" t="s">
        <v>2</v>
      </c>
      <c r="C330" s="2">
        <v>-105959048.86</v>
      </c>
      <c r="D330" s="2">
        <v>0</v>
      </c>
      <c r="E330" s="2">
        <v>0</v>
      </c>
      <c r="F330" s="2">
        <v>0</v>
      </c>
      <c r="G330" s="2">
        <v>-105959048.86</v>
      </c>
      <c r="I330" t="s">
        <v>2</v>
      </c>
      <c r="J330" s="2">
        <v>-39475983.349999994</v>
      </c>
      <c r="K330" s="2">
        <v>0</v>
      </c>
      <c r="L330" s="2">
        <v>0</v>
      </c>
      <c r="M330" s="2">
        <v>0</v>
      </c>
      <c r="N330" s="2">
        <v>-39475983.349999994</v>
      </c>
      <c r="P330" t="s">
        <v>2</v>
      </c>
      <c r="Q330" s="2">
        <v>-30978518.640000001</v>
      </c>
      <c r="R330" s="2">
        <v>0</v>
      </c>
      <c r="S330" s="2">
        <v>0</v>
      </c>
      <c r="T330" s="2">
        <v>0</v>
      </c>
      <c r="U330" s="2">
        <v>-30978518.640000001</v>
      </c>
      <c r="W330" t="s">
        <v>2</v>
      </c>
      <c r="X330" s="2">
        <v>-70454501.989999995</v>
      </c>
      <c r="Y330" s="2">
        <v>0</v>
      </c>
      <c r="Z330" s="2">
        <v>0</v>
      </c>
      <c r="AA330" s="2">
        <v>0</v>
      </c>
      <c r="AB330" s="2">
        <v>-70454501.989999995</v>
      </c>
      <c r="AD330" t="s">
        <v>2</v>
      </c>
      <c r="AE330" s="2">
        <v>-35504546.870000005</v>
      </c>
      <c r="AF330" s="2">
        <v>0</v>
      </c>
      <c r="AG330" s="2">
        <v>0</v>
      </c>
      <c r="AH330" s="2">
        <v>0</v>
      </c>
      <c r="AI330" s="2">
        <v>-35504546.870000005</v>
      </c>
      <c r="AJ330" s="3">
        <v>-105959048.86</v>
      </c>
      <c r="AK330" t="s">
        <v>2</v>
      </c>
      <c r="AL330" s="2">
        <v>0</v>
      </c>
      <c r="AM330" s="2">
        <v>0</v>
      </c>
      <c r="AN330" s="2">
        <v>0</v>
      </c>
      <c r="AO330" s="2">
        <v>0</v>
      </c>
      <c r="AP330" s="2">
        <v>0</v>
      </c>
    </row>
    <row r="331" spans="2:42" x14ac:dyDescent="0.35">
      <c r="B331" s="19" t="s">
        <v>21</v>
      </c>
      <c r="C331" s="20">
        <v>5.9999987483024597E-2</v>
      </c>
      <c r="D331" s="20">
        <v>0</v>
      </c>
      <c r="E331" s="20">
        <v>0</v>
      </c>
      <c r="F331" s="20">
        <v>0</v>
      </c>
      <c r="G331" s="20">
        <v>5.9999987483024597E-2</v>
      </c>
      <c r="I331" s="19" t="s">
        <v>21</v>
      </c>
      <c r="J331" s="20">
        <v>6.0000002384185791E-2</v>
      </c>
      <c r="K331" s="20">
        <v>0</v>
      </c>
      <c r="L331" s="20">
        <v>0</v>
      </c>
      <c r="M331" s="20">
        <v>0</v>
      </c>
      <c r="N331" s="20">
        <v>6.0000002384185791E-2</v>
      </c>
      <c r="P331" s="19" t="s">
        <v>21</v>
      </c>
      <c r="Q331" s="20">
        <v>0</v>
      </c>
      <c r="R331" s="20">
        <v>0</v>
      </c>
      <c r="S331" s="20">
        <v>0</v>
      </c>
      <c r="T331" s="20">
        <v>0</v>
      </c>
      <c r="U331" s="20">
        <v>0</v>
      </c>
      <c r="W331" s="19" t="s">
        <v>21</v>
      </c>
      <c r="X331" s="20">
        <v>6.0000002384185791E-2</v>
      </c>
      <c r="Y331" s="20">
        <v>0</v>
      </c>
      <c r="Z331" s="20">
        <v>0</v>
      </c>
      <c r="AA331" s="20">
        <v>0</v>
      </c>
      <c r="AB331" s="20">
        <v>6.0000002384185791E-2</v>
      </c>
      <c r="AD331" s="19" t="s">
        <v>21</v>
      </c>
      <c r="AE331" s="20">
        <v>0</v>
      </c>
      <c r="AF331" s="20">
        <v>0</v>
      </c>
      <c r="AG331" s="20">
        <v>0</v>
      </c>
      <c r="AH331" s="20">
        <v>0</v>
      </c>
      <c r="AI331" s="20">
        <v>0</v>
      </c>
      <c r="AJ331" s="3">
        <v>6.0000002384185791E-2</v>
      </c>
      <c r="AK331" s="19" t="s">
        <v>21</v>
      </c>
      <c r="AL331" s="20">
        <v>0</v>
      </c>
      <c r="AM331" s="20">
        <v>0</v>
      </c>
      <c r="AN331" s="20">
        <v>0</v>
      </c>
      <c r="AO331" s="20">
        <v>0</v>
      </c>
      <c r="AP331" s="20">
        <v>0</v>
      </c>
    </row>
    <row r="332" spans="2:42" x14ac:dyDescent="0.35">
      <c r="C332" s="2"/>
      <c r="D332" s="2"/>
      <c r="E332" s="2"/>
      <c r="F332" s="2"/>
      <c r="G332" s="2"/>
      <c r="J332" s="2"/>
      <c r="K332" s="2"/>
      <c r="L332" s="2"/>
      <c r="M332" s="2"/>
      <c r="N332" s="2"/>
      <c r="Q332" s="2"/>
      <c r="R332" s="2"/>
      <c r="S332" s="2"/>
      <c r="T332" s="2"/>
      <c r="U332" s="2"/>
      <c r="X332" s="2"/>
      <c r="Y332" s="2"/>
      <c r="Z332" s="2"/>
      <c r="AA332" s="2"/>
      <c r="AB332" s="2"/>
      <c r="AE332" s="2"/>
      <c r="AF332" s="2"/>
      <c r="AG332" s="2"/>
      <c r="AH332" s="2"/>
      <c r="AI332" s="2"/>
      <c r="AJ332" s="3">
        <v>0</v>
      </c>
      <c r="AL332" s="2"/>
      <c r="AM332" s="2"/>
      <c r="AN332" s="2"/>
      <c r="AO332" s="2"/>
      <c r="AP332" s="2"/>
    </row>
    <row r="333" spans="2:42" x14ac:dyDescent="0.35">
      <c r="C333" s="2"/>
      <c r="D333" s="2"/>
      <c r="E333" s="2"/>
      <c r="F333" s="2"/>
      <c r="G333" s="2"/>
      <c r="J333" s="2"/>
      <c r="K333" s="2"/>
      <c r="L333" s="2"/>
      <c r="M333" s="2"/>
      <c r="N333" s="2"/>
      <c r="Q333" s="2"/>
      <c r="R333" s="2"/>
      <c r="S333" s="2"/>
      <c r="T333" s="2"/>
      <c r="U333" s="2"/>
      <c r="X333" s="2"/>
      <c r="Y333" s="2"/>
      <c r="Z333" s="2"/>
      <c r="AA333" s="2"/>
      <c r="AB333" s="2"/>
      <c r="AE333" s="2"/>
      <c r="AF333" s="2"/>
      <c r="AG333" s="2"/>
      <c r="AH333" s="2"/>
      <c r="AI333" s="2"/>
      <c r="AJ333" s="3">
        <v>0</v>
      </c>
      <c r="AL333" s="2"/>
      <c r="AM333" s="2"/>
      <c r="AN333" s="2"/>
      <c r="AO333" s="2"/>
      <c r="AP333" s="2"/>
    </row>
    <row r="334" spans="2:42" x14ac:dyDescent="0.35">
      <c r="B334" t="s">
        <v>24</v>
      </c>
      <c r="C334" s="2">
        <v>0</v>
      </c>
      <c r="D334" s="2">
        <v>948315995</v>
      </c>
      <c r="E334" s="2">
        <v>0</v>
      </c>
      <c r="F334" s="2">
        <v>0</v>
      </c>
      <c r="G334" s="2">
        <v>948315995</v>
      </c>
      <c r="I334" t="s">
        <v>24</v>
      </c>
      <c r="J334" s="2">
        <v>0</v>
      </c>
      <c r="K334" s="2">
        <v>252032708</v>
      </c>
      <c r="L334" s="2">
        <v>0</v>
      </c>
      <c r="M334" s="2">
        <v>0</v>
      </c>
      <c r="N334" s="2">
        <v>252032708</v>
      </c>
      <c r="P334" t="s">
        <v>24</v>
      </c>
      <c r="Q334" s="2">
        <v>0</v>
      </c>
      <c r="R334" s="2">
        <v>252301469</v>
      </c>
      <c r="S334" s="2">
        <v>0</v>
      </c>
      <c r="T334" s="2">
        <v>0</v>
      </c>
      <c r="U334" s="2">
        <v>252301469</v>
      </c>
      <c r="W334" t="s">
        <v>24</v>
      </c>
      <c r="X334" s="2">
        <v>0</v>
      </c>
      <c r="Y334" s="2">
        <v>504334177</v>
      </c>
      <c r="Z334" s="2">
        <v>0</v>
      </c>
      <c r="AA334" s="2">
        <v>0</v>
      </c>
      <c r="AB334" s="2">
        <v>504334177</v>
      </c>
      <c r="AD334" t="s">
        <v>24</v>
      </c>
      <c r="AE334" s="2">
        <v>0</v>
      </c>
      <c r="AF334" s="2">
        <v>219267058</v>
      </c>
      <c r="AG334" s="2">
        <v>0</v>
      </c>
      <c r="AH334" s="2">
        <v>0</v>
      </c>
      <c r="AI334" s="2">
        <v>219267058</v>
      </c>
      <c r="AJ334" s="3">
        <v>723601235</v>
      </c>
      <c r="AK334" t="s">
        <v>24</v>
      </c>
      <c r="AL334" s="2">
        <v>0</v>
      </c>
      <c r="AM334" s="2">
        <v>224714760</v>
      </c>
      <c r="AN334" s="2">
        <v>0</v>
      </c>
      <c r="AO334" s="2">
        <v>0</v>
      </c>
      <c r="AP334" s="2">
        <v>224714760</v>
      </c>
    </row>
    <row r="335" spans="2:42" x14ac:dyDescent="0.35">
      <c r="B335" t="s">
        <v>25</v>
      </c>
      <c r="C335" s="2">
        <v>0</v>
      </c>
      <c r="D335" s="2">
        <v>-105733553</v>
      </c>
      <c r="E335" s="2">
        <v>0</v>
      </c>
      <c r="F335" s="2">
        <v>0</v>
      </c>
      <c r="G335" s="2">
        <v>-105733553</v>
      </c>
      <c r="I335" t="s">
        <v>25</v>
      </c>
      <c r="J335" s="2">
        <v>0</v>
      </c>
      <c r="K335" s="2">
        <v>-43926192</v>
      </c>
      <c r="L335" s="2">
        <v>0</v>
      </c>
      <c r="M335" s="2">
        <v>0</v>
      </c>
      <c r="N335" s="2">
        <v>-43926192</v>
      </c>
      <c r="P335" t="s">
        <v>25</v>
      </c>
      <c r="Q335" s="2">
        <v>0</v>
      </c>
      <c r="R335" s="2">
        <v>-55914262</v>
      </c>
      <c r="S335" s="2">
        <v>0</v>
      </c>
      <c r="T335" s="2">
        <v>0</v>
      </c>
      <c r="U335" s="2">
        <v>-55914262</v>
      </c>
      <c r="W335" t="s">
        <v>25</v>
      </c>
      <c r="X335" s="2">
        <v>0</v>
      </c>
      <c r="Y335" s="2">
        <v>-99840454</v>
      </c>
      <c r="Z335" s="2">
        <v>0</v>
      </c>
      <c r="AA335" s="2">
        <v>0</v>
      </c>
      <c r="AB335" s="2">
        <v>-99840454</v>
      </c>
      <c r="AD335" t="s">
        <v>25</v>
      </c>
      <c r="AE335" s="2">
        <v>0</v>
      </c>
      <c r="AF335" s="2">
        <v>1178020</v>
      </c>
      <c r="AG335" s="2">
        <v>0</v>
      </c>
      <c r="AH335" s="2">
        <v>0</v>
      </c>
      <c r="AI335" s="2">
        <v>1178020</v>
      </c>
      <c r="AJ335" s="3">
        <v>-98662434</v>
      </c>
      <c r="AK335" t="s">
        <v>25</v>
      </c>
      <c r="AL335" s="2">
        <v>0</v>
      </c>
      <c r="AM335" s="2">
        <v>-7071119</v>
      </c>
      <c r="AN335" s="2">
        <v>0</v>
      </c>
      <c r="AO335" s="2">
        <v>0</v>
      </c>
      <c r="AP335" s="2">
        <v>-7071119</v>
      </c>
    </row>
    <row r="336" spans="2:42" x14ac:dyDescent="0.35">
      <c r="B336" t="s">
        <v>26</v>
      </c>
      <c r="C336" s="2">
        <v>0</v>
      </c>
      <c r="D336" s="2">
        <v>-284414634</v>
      </c>
      <c r="E336" s="2">
        <v>0</v>
      </c>
      <c r="F336" s="2">
        <v>0</v>
      </c>
      <c r="G336" s="2">
        <v>-284414634</v>
      </c>
      <c r="I336" t="s">
        <v>26</v>
      </c>
      <c r="J336" s="2">
        <v>0</v>
      </c>
      <c r="K336" s="2">
        <v>-70031924</v>
      </c>
      <c r="L336" s="2">
        <v>0</v>
      </c>
      <c r="M336" s="2">
        <v>0</v>
      </c>
      <c r="N336" s="2">
        <v>-70031924</v>
      </c>
      <c r="P336" t="s">
        <v>26</v>
      </c>
      <c r="Q336" s="2">
        <v>0</v>
      </c>
      <c r="R336" s="2">
        <v>-67048069</v>
      </c>
      <c r="S336" s="2">
        <v>0</v>
      </c>
      <c r="T336" s="2">
        <v>0</v>
      </c>
      <c r="U336" s="2">
        <v>-67048069</v>
      </c>
      <c r="W336" t="s">
        <v>26</v>
      </c>
      <c r="X336" s="2">
        <v>0</v>
      </c>
      <c r="Y336" s="2">
        <v>-137079993</v>
      </c>
      <c r="Z336" s="2">
        <v>0</v>
      </c>
      <c r="AA336" s="2">
        <v>0</v>
      </c>
      <c r="AB336" s="2">
        <v>-137079993</v>
      </c>
      <c r="AD336" t="s">
        <v>26</v>
      </c>
      <c r="AE336" s="2">
        <v>0</v>
      </c>
      <c r="AF336" s="2">
        <v>-74031174</v>
      </c>
      <c r="AG336" s="2">
        <v>0</v>
      </c>
      <c r="AH336" s="2">
        <v>0</v>
      </c>
      <c r="AI336" s="2">
        <v>-74031174</v>
      </c>
      <c r="AJ336" s="3">
        <v>-211111167</v>
      </c>
      <c r="AK336" t="s">
        <v>26</v>
      </c>
      <c r="AL336" s="2">
        <v>0</v>
      </c>
      <c r="AM336" s="2">
        <v>-73303467</v>
      </c>
      <c r="AN336" s="2">
        <v>0</v>
      </c>
      <c r="AO336" s="2">
        <v>0</v>
      </c>
      <c r="AP336" s="2">
        <v>-73303467</v>
      </c>
    </row>
    <row r="337" spans="2:42" x14ac:dyDescent="0.35">
      <c r="B337" s="19" t="s">
        <v>101</v>
      </c>
      <c r="C337" s="20">
        <v>0</v>
      </c>
      <c r="D337" s="20">
        <v>558167808</v>
      </c>
      <c r="E337" s="20">
        <v>0</v>
      </c>
      <c r="F337" s="20">
        <v>0</v>
      </c>
      <c r="G337" s="20">
        <v>558167808</v>
      </c>
      <c r="I337" s="19" t="s">
        <v>101</v>
      </c>
      <c r="J337" s="20">
        <v>0</v>
      </c>
      <c r="K337" s="20">
        <v>138074592</v>
      </c>
      <c r="L337" s="20">
        <v>0</v>
      </c>
      <c r="M337" s="20">
        <v>0</v>
      </c>
      <c r="N337" s="20">
        <v>138074592</v>
      </c>
      <c r="P337" s="19" t="s">
        <v>101</v>
      </c>
      <c r="Q337" s="20">
        <v>0</v>
      </c>
      <c r="R337" s="20">
        <v>129339138</v>
      </c>
      <c r="S337" s="20">
        <v>0</v>
      </c>
      <c r="T337" s="20">
        <v>0</v>
      </c>
      <c r="U337" s="20">
        <v>129339138</v>
      </c>
      <c r="W337" s="19" t="s">
        <v>101</v>
      </c>
      <c r="X337" s="20">
        <v>0</v>
      </c>
      <c r="Y337" s="20">
        <v>267413730</v>
      </c>
      <c r="Z337" s="20">
        <v>0</v>
      </c>
      <c r="AA337" s="20">
        <v>0</v>
      </c>
      <c r="AB337" s="20">
        <v>267413730</v>
      </c>
      <c r="AD337" s="19" t="s">
        <v>101</v>
      </c>
      <c r="AE337" s="20">
        <v>0</v>
      </c>
      <c r="AF337" s="20">
        <v>146413904</v>
      </c>
      <c r="AG337" s="20">
        <v>0</v>
      </c>
      <c r="AH337" s="20">
        <v>0</v>
      </c>
      <c r="AI337" s="20">
        <v>146413904</v>
      </c>
      <c r="AJ337" s="3">
        <v>413827634</v>
      </c>
      <c r="AK337" s="19" t="s">
        <v>152</v>
      </c>
      <c r="AL337" s="20">
        <v>0</v>
      </c>
      <c r="AM337" s="20">
        <v>144340174</v>
      </c>
      <c r="AN337" s="20">
        <v>0</v>
      </c>
      <c r="AO337" s="20">
        <v>0</v>
      </c>
      <c r="AP337" s="20">
        <v>144340174</v>
      </c>
    </row>
    <row r="338" spans="2:42" x14ac:dyDescent="0.35">
      <c r="C338" s="2"/>
      <c r="D338" s="2"/>
      <c r="E338" s="2"/>
      <c r="F338" s="2"/>
      <c r="G338" s="2"/>
      <c r="J338" s="2"/>
      <c r="K338" s="2"/>
      <c r="L338" s="2"/>
      <c r="M338" s="2"/>
      <c r="N338" s="2"/>
      <c r="Q338" s="2"/>
      <c r="R338" s="2"/>
      <c r="S338" s="2"/>
      <c r="T338" s="2"/>
      <c r="U338" s="2"/>
      <c r="X338" s="2"/>
      <c r="Y338" s="2"/>
      <c r="Z338" s="2"/>
      <c r="AA338" s="2"/>
      <c r="AB338" s="2"/>
      <c r="AE338" s="2"/>
      <c r="AF338" s="2"/>
      <c r="AG338" s="2"/>
      <c r="AH338" s="2"/>
      <c r="AI338" s="2"/>
      <c r="AJ338" s="3">
        <v>0</v>
      </c>
      <c r="AL338" s="2"/>
      <c r="AM338" s="2"/>
      <c r="AN338" s="2"/>
      <c r="AO338" s="2"/>
      <c r="AP338" s="2"/>
    </row>
    <row r="339" spans="2:42" x14ac:dyDescent="0.35">
      <c r="C339" s="2"/>
      <c r="D339" s="2"/>
      <c r="E339" s="2"/>
      <c r="F339" s="2"/>
      <c r="G339" s="2"/>
      <c r="J339" s="2"/>
      <c r="K339" s="2"/>
      <c r="L339" s="2"/>
      <c r="M339" s="2"/>
      <c r="N339" s="2"/>
      <c r="Q339" s="2"/>
      <c r="R339" s="2"/>
      <c r="S339" s="2"/>
      <c r="T339" s="2"/>
      <c r="U339" s="2"/>
      <c r="X339" s="2"/>
      <c r="Y339" s="2"/>
      <c r="Z339" s="2"/>
      <c r="AA339" s="2"/>
      <c r="AB339" s="2"/>
      <c r="AE339" s="2"/>
      <c r="AF339" s="2"/>
      <c r="AG339" s="2"/>
      <c r="AH339" s="2"/>
      <c r="AI339" s="2"/>
      <c r="AJ339" s="3">
        <v>0</v>
      </c>
      <c r="AL339" s="2"/>
      <c r="AM339" s="2"/>
      <c r="AN339" s="2"/>
      <c r="AO339" s="2"/>
      <c r="AP339" s="2"/>
    </row>
    <row r="340" spans="2:42" x14ac:dyDescent="0.35">
      <c r="B340" t="s">
        <v>27</v>
      </c>
      <c r="C340" s="2">
        <v>0</v>
      </c>
      <c r="D340" s="2">
        <v>-287323739</v>
      </c>
      <c r="E340" s="2">
        <v>0</v>
      </c>
      <c r="F340" s="2">
        <v>0</v>
      </c>
      <c r="G340" s="2">
        <v>-287323739</v>
      </c>
      <c r="I340" t="s">
        <v>27</v>
      </c>
      <c r="J340" s="2">
        <v>0</v>
      </c>
      <c r="K340" s="2">
        <v>-58856811</v>
      </c>
      <c r="L340" s="2">
        <v>0</v>
      </c>
      <c r="M340" s="2">
        <v>0</v>
      </c>
      <c r="N340" s="2">
        <v>-58856811</v>
      </c>
      <c r="P340" t="s">
        <v>27</v>
      </c>
      <c r="Q340" s="2">
        <v>0</v>
      </c>
      <c r="R340" s="2">
        <v>-64261591</v>
      </c>
      <c r="S340" s="2">
        <v>0</v>
      </c>
      <c r="T340" s="2">
        <v>0</v>
      </c>
      <c r="U340" s="2">
        <v>-64261591</v>
      </c>
      <c r="W340" t="s">
        <v>27</v>
      </c>
      <c r="X340" s="2">
        <v>0</v>
      </c>
      <c r="Y340" s="2">
        <v>-123118402</v>
      </c>
      <c r="Z340" s="2">
        <v>0</v>
      </c>
      <c r="AA340" s="2">
        <v>0</v>
      </c>
      <c r="AB340" s="2">
        <v>-123118402</v>
      </c>
      <c r="AD340" t="s">
        <v>27</v>
      </c>
      <c r="AE340" s="2">
        <v>0</v>
      </c>
      <c r="AF340" s="2">
        <v>-81267006</v>
      </c>
      <c r="AG340" s="2">
        <v>0</v>
      </c>
      <c r="AH340" s="2">
        <v>0</v>
      </c>
      <c r="AI340" s="2">
        <v>-81267006</v>
      </c>
      <c r="AJ340" s="3">
        <v>-204385408</v>
      </c>
      <c r="AK340" t="s">
        <v>27</v>
      </c>
      <c r="AL340" s="2">
        <v>0</v>
      </c>
      <c r="AM340" s="2">
        <v>-82938331</v>
      </c>
      <c r="AN340" s="2">
        <v>0</v>
      </c>
      <c r="AO340" s="2">
        <v>0</v>
      </c>
      <c r="AP340" s="2">
        <v>-82938331</v>
      </c>
    </row>
    <row r="341" spans="2:42" x14ac:dyDescent="0.35">
      <c r="B341" t="s">
        <v>28</v>
      </c>
      <c r="C341" s="2">
        <v>0</v>
      </c>
      <c r="D341" s="2">
        <v>-174934410</v>
      </c>
      <c r="E341" s="2">
        <v>0</v>
      </c>
      <c r="F341" s="2">
        <v>0</v>
      </c>
      <c r="G341" s="2">
        <v>-174934410</v>
      </c>
      <c r="I341" t="s">
        <v>28</v>
      </c>
      <c r="J341" s="2">
        <v>0</v>
      </c>
      <c r="K341" s="2">
        <v>-46988415</v>
      </c>
      <c r="L341" s="2">
        <v>0</v>
      </c>
      <c r="M341" s="2">
        <v>0</v>
      </c>
      <c r="N341" s="2">
        <v>-46988415</v>
      </c>
      <c r="P341" t="s">
        <v>28</v>
      </c>
      <c r="Q341" s="2">
        <v>0</v>
      </c>
      <c r="R341" s="2">
        <v>-40785007</v>
      </c>
      <c r="S341" s="2">
        <v>0</v>
      </c>
      <c r="T341" s="2">
        <v>0</v>
      </c>
      <c r="U341" s="2">
        <v>-40785007</v>
      </c>
      <c r="W341" t="s">
        <v>28</v>
      </c>
      <c r="X341" s="2">
        <v>0</v>
      </c>
      <c r="Y341" s="2">
        <v>-87773422</v>
      </c>
      <c r="Z341" s="2">
        <v>0</v>
      </c>
      <c r="AA341" s="2">
        <v>0</v>
      </c>
      <c r="AB341" s="2">
        <v>-87773422</v>
      </c>
      <c r="AD341" t="s">
        <v>28</v>
      </c>
      <c r="AE341" s="2">
        <v>0</v>
      </c>
      <c r="AF341" s="2">
        <v>-41849039</v>
      </c>
      <c r="AG341" s="2">
        <v>0</v>
      </c>
      <c r="AH341" s="2">
        <v>0</v>
      </c>
      <c r="AI341" s="2">
        <v>-41849039</v>
      </c>
      <c r="AJ341" s="3">
        <v>-129622461</v>
      </c>
      <c r="AK341" t="s">
        <v>28</v>
      </c>
      <c r="AL341" s="2">
        <v>0</v>
      </c>
      <c r="AM341" s="2">
        <v>-45311949</v>
      </c>
      <c r="AN341" s="2">
        <v>0</v>
      </c>
      <c r="AO341" s="2">
        <v>0</v>
      </c>
      <c r="AP341" s="2">
        <v>-45311949</v>
      </c>
    </row>
    <row r="342" spans="2:42" x14ac:dyDescent="0.35">
      <c r="B342" t="s">
        <v>29</v>
      </c>
      <c r="C342" s="2">
        <v>0</v>
      </c>
      <c r="D342" s="2">
        <v>9573444</v>
      </c>
      <c r="E342" s="2">
        <v>0</v>
      </c>
      <c r="F342" s="2">
        <v>0</v>
      </c>
      <c r="G342" s="2">
        <v>9573444</v>
      </c>
      <c r="I342" t="s">
        <v>29</v>
      </c>
      <c r="J342" s="2">
        <v>0</v>
      </c>
      <c r="K342" s="2">
        <v>2573106</v>
      </c>
      <c r="L342" s="2">
        <v>0</v>
      </c>
      <c r="M342" s="2">
        <v>0</v>
      </c>
      <c r="N342" s="2">
        <v>2573106</v>
      </c>
      <c r="P342" t="s">
        <v>29</v>
      </c>
      <c r="Q342" s="2">
        <v>0</v>
      </c>
      <c r="R342" s="2">
        <v>2201799</v>
      </c>
      <c r="S342" s="2">
        <v>0</v>
      </c>
      <c r="T342" s="2">
        <v>0</v>
      </c>
      <c r="U342" s="2">
        <v>2201799</v>
      </c>
      <c r="W342" t="s">
        <v>29</v>
      </c>
      <c r="X342" s="2">
        <v>0</v>
      </c>
      <c r="Y342" s="2">
        <v>4774905</v>
      </c>
      <c r="Z342" s="2">
        <v>0</v>
      </c>
      <c r="AA342" s="2">
        <v>0</v>
      </c>
      <c r="AB342" s="2">
        <v>4774905</v>
      </c>
      <c r="AD342" t="s">
        <v>29</v>
      </c>
      <c r="AE342" s="2">
        <v>0</v>
      </c>
      <c r="AF342" s="2">
        <v>2467252</v>
      </c>
      <c r="AG342" s="2">
        <v>0</v>
      </c>
      <c r="AH342" s="2">
        <v>0</v>
      </c>
      <c r="AI342" s="2">
        <v>2467252</v>
      </c>
      <c r="AJ342" s="3">
        <v>7242157</v>
      </c>
      <c r="AK342" t="s">
        <v>29</v>
      </c>
      <c r="AL342" s="2">
        <v>0</v>
      </c>
      <c r="AM342" s="2">
        <v>2331287</v>
      </c>
      <c r="AN342" s="2">
        <v>0</v>
      </c>
      <c r="AO342" s="2">
        <v>0</v>
      </c>
      <c r="AP342" s="2">
        <v>2331287</v>
      </c>
    </row>
    <row r="343" spans="2:42" x14ac:dyDescent="0.35">
      <c r="B343" t="s">
        <v>30</v>
      </c>
      <c r="C343" s="2">
        <v>0</v>
      </c>
      <c r="D343" s="2">
        <v>-8685464</v>
      </c>
      <c r="E343" s="2">
        <v>0</v>
      </c>
      <c r="F343" s="2">
        <v>0</v>
      </c>
      <c r="G343" s="2">
        <v>-8685464</v>
      </c>
      <c r="I343" t="s">
        <v>30</v>
      </c>
      <c r="J343" s="2">
        <v>0</v>
      </c>
      <c r="K343" s="2">
        <v>-900482</v>
      </c>
      <c r="L343" s="2">
        <v>0</v>
      </c>
      <c r="M343" s="2">
        <v>0</v>
      </c>
      <c r="N343" s="2">
        <v>-900482</v>
      </c>
      <c r="P343" t="s">
        <v>30</v>
      </c>
      <c r="Q343" s="2">
        <v>0</v>
      </c>
      <c r="R343" s="2">
        <v>-1660835</v>
      </c>
      <c r="S343" s="2">
        <v>0</v>
      </c>
      <c r="T343" s="2">
        <v>0</v>
      </c>
      <c r="U343" s="2">
        <v>-1660835</v>
      </c>
      <c r="W343" t="s">
        <v>30</v>
      </c>
      <c r="X343" s="2">
        <v>0</v>
      </c>
      <c r="Y343" s="2">
        <v>-2561317</v>
      </c>
      <c r="Z343" s="2">
        <v>0</v>
      </c>
      <c r="AA343" s="2">
        <v>0</v>
      </c>
      <c r="AB343" s="2">
        <v>-2561317</v>
      </c>
      <c r="AD343" t="s">
        <v>30</v>
      </c>
      <c r="AE343" s="2">
        <v>0</v>
      </c>
      <c r="AF343" s="2">
        <v>-1774555</v>
      </c>
      <c r="AG343" s="2">
        <v>0</v>
      </c>
      <c r="AH343" s="2">
        <v>0</v>
      </c>
      <c r="AI343" s="2">
        <v>-1774555</v>
      </c>
      <c r="AJ343" s="3">
        <v>-4335872</v>
      </c>
      <c r="AK343" t="s">
        <v>30</v>
      </c>
      <c r="AL343" s="2">
        <v>0</v>
      </c>
      <c r="AM343" s="2">
        <v>-4349592</v>
      </c>
      <c r="AN343" s="2">
        <v>0</v>
      </c>
      <c r="AO343" s="2">
        <v>0</v>
      </c>
      <c r="AP343" s="2">
        <v>-4349592</v>
      </c>
    </row>
    <row r="344" spans="2:42" x14ac:dyDescent="0.35">
      <c r="B344" s="19" t="s">
        <v>90</v>
      </c>
      <c r="C344" s="20">
        <v>0</v>
      </c>
      <c r="D344" s="20">
        <v>-461370169</v>
      </c>
      <c r="E344" s="20">
        <v>0</v>
      </c>
      <c r="F344" s="20">
        <v>0</v>
      </c>
      <c r="G344" s="20">
        <v>-461370169</v>
      </c>
      <c r="I344" s="19" t="s">
        <v>90</v>
      </c>
      <c r="J344" s="20">
        <v>0</v>
      </c>
      <c r="K344" s="20">
        <v>-104172602</v>
      </c>
      <c r="L344" s="20">
        <v>0</v>
      </c>
      <c r="M344" s="20">
        <v>0</v>
      </c>
      <c r="N344" s="20">
        <v>-104172602</v>
      </c>
      <c r="P344" s="19" t="s">
        <v>90</v>
      </c>
      <c r="Q344" s="20">
        <v>0</v>
      </c>
      <c r="R344" s="20">
        <v>-104505634</v>
      </c>
      <c r="S344" s="20">
        <v>0</v>
      </c>
      <c r="T344" s="20">
        <v>0</v>
      </c>
      <c r="U344" s="20">
        <v>-104505634</v>
      </c>
      <c r="W344" s="19" t="s">
        <v>90</v>
      </c>
      <c r="X344" s="20">
        <v>0</v>
      </c>
      <c r="Y344" s="20">
        <v>-208678236</v>
      </c>
      <c r="Z344" s="20">
        <v>0</v>
      </c>
      <c r="AA344" s="20">
        <v>0</v>
      </c>
      <c r="AB344" s="20">
        <v>-208678236</v>
      </c>
      <c r="AD344" s="19" t="s">
        <v>90</v>
      </c>
      <c r="AE344" s="20">
        <v>0</v>
      </c>
      <c r="AF344" s="20">
        <v>-122423348</v>
      </c>
      <c r="AG344" s="20">
        <v>0</v>
      </c>
      <c r="AH344" s="20">
        <v>0</v>
      </c>
      <c r="AI344" s="20">
        <v>-122423348</v>
      </c>
      <c r="AJ344" s="3">
        <v>-331101584</v>
      </c>
      <c r="AK344" s="19" t="s">
        <v>90</v>
      </c>
      <c r="AL344" s="20">
        <v>0</v>
      </c>
      <c r="AM344" s="20">
        <v>-130268585</v>
      </c>
      <c r="AN344" s="20">
        <v>0</v>
      </c>
      <c r="AO344" s="20">
        <v>0</v>
      </c>
      <c r="AP344" s="20">
        <v>-130268585</v>
      </c>
    </row>
    <row r="345" spans="2:42" x14ac:dyDescent="0.35">
      <c r="C345" s="2"/>
      <c r="D345" s="2"/>
      <c r="E345" s="2"/>
      <c r="F345" s="2"/>
      <c r="G345" s="2"/>
      <c r="J345" s="2"/>
      <c r="K345" s="2"/>
      <c r="L345" s="2"/>
      <c r="M345" s="2"/>
      <c r="N345" s="2"/>
      <c r="Q345" s="2"/>
      <c r="R345" s="2"/>
      <c r="S345" s="2"/>
      <c r="T345" s="2"/>
      <c r="U345" s="2"/>
      <c r="X345" s="2"/>
      <c r="Y345" s="2"/>
      <c r="Z345" s="2"/>
      <c r="AA345" s="2"/>
      <c r="AB345" s="2"/>
      <c r="AE345" s="2"/>
      <c r="AF345" s="2"/>
      <c r="AG345" s="2"/>
      <c r="AH345" s="2"/>
      <c r="AI345" s="2"/>
      <c r="AJ345" s="3">
        <v>0</v>
      </c>
      <c r="AL345" s="2"/>
      <c r="AM345" s="2"/>
      <c r="AN345" s="2"/>
      <c r="AO345" s="2"/>
      <c r="AP345" s="2"/>
    </row>
    <row r="346" spans="2:42" x14ac:dyDescent="0.35">
      <c r="C346" s="2"/>
      <c r="D346" s="2"/>
      <c r="E346" s="2"/>
      <c r="F346" s="2"/>
      <c r="G346" s="2"/>
      <c r="J346" s="2"/>
      <c r="K346" s="2"/>
      <c r="L346" s="2"/>
      <c r="M346" s="2"/>
      <c r="N346" s="2"/>
      <c r="Q346" s="2"/>
      <c r="R346" s="2"/>
      <c r="S346" s="2"/>
      <c r="T346" s="2"/>
      <c r="U346" s="2"/>
      <c r="X346" s="2"/>
      <c r="Y346" s="2"/>
      <c r="Z346" s="2"/>
      <c r="AA346" s="2"/>
      <c r="AB346" s="2"/>
      <c r="AE346" s="2"/>
      <c r="AF346" s="2"/>
      <c r="AG346" s="2"/>
      <c r="AH346" s="2"/>
      <c r="AI346" s="2"/>
      <c r="AJ346" s="3">
        <v>0</v>
      </c>
      <c r="AL346" s="2"/>
      <c r="AM346" s="2"/>
      <c r="AN346" s="2"/>
      <c r="AO346" s="2"/>
      <c r="AP346" s="2"/>
    </row>
    <row r="347" spans="2:42" x14ac:dyDescent="0.35">
      <c r="B347" s="16" t="s">
        <v>89</v>
      </c>
      <c r="C347" s="2">
        <v>0</v>
      </c>
      <c r="D347" s="2">
        <v>63707215</v>
      </c>
      <c r="E347" s="2">
        <v>1249164.95</v>
      </c>
      <c r="F347" s="2">
        <v>0</v>
      </c>
      <c r="G347" s="17">
        <v>64956379.950000003</v>
      </c>
      <c r="I347" s="16" t="s">
        <v>89</v>
      </c>
      <c r="J347" s="17">
        <v>0</v>
      </c>
      <c r="K347" s="17">
        <v>13474441</v>
      </c>
      <c r="L347" s="17">
        <v>997620.4</v>
      </c>
      <c r="M347" s="17">
        <v>0</v>
      </c>
      <c r="N347" s="17">
        <v>14472061.4</v>
      </c>
      <c r="P347" s="6" t="s">
        <v>89</v>
      </c>
      <c r="Q347" s="2">
        <v>0</v>
      </c>
      <c r="R347" s="2">
        <v>14847685</v>
      </c>
      <c r="S347" s="2">
        <v>94532.449999999837</v>
      </c>
      <c r="T347" s="2">
        <v>0</v>
      </c>
      <c r="U347" s="7">
        <v>14942217.449999999</v>
      </c>
      <c r="W347" s="6" t="s">
        <v>89</v>
      </c>
      <c r="X347" s="103">
        <v>0</v>
      </c>
      <c r="Y347" s="103">
        <v>28322126</v>
      </c>
      <c r="Z347" s="103">
        <v>1092152.8499999999</v>
      </c>
      <c r="AA347" s="103">
        <v>0</v>
      </c>
      <c r="AB347" s="7">
        <v>29414278.850000001</v>
      </c>
      <c r="AD347" s="16" t="s">
        <v>89</v>
      </c>
      <c r="AE347" s="2">
        <v>0</v>
      </c>
      <c r="AF347" s="2">
        <v>16667039</v>
      </c>
      <c r="AG347" s="2">
        <v>57457.460000000196</v>
      </c>
      <c r="AH347" s="2">
        <v>0</v>
      </c>
      <c r="AI347" s="17">
        <v>16724496.460000001</v>
      </c>
      <c r="AJ347" s="3">
        <v>46138775.310000002</v>
      </c>
      <c r="AK347" s="16" t="s">
        <v>89</v>
      </c>
      <c r="AL347" s="23">
        <v>0</v>
      </c>
      <c r="AM347" s="23">
        <v>18718050</v>
      </c>
      <c r="AN347" s="23">
        <v>99554.639999999898</v>
      </c>
      <c r="AO347" s="23">
        <v>0</v>
      </c>
      <c r="AP347" s="23">
        <v>18817604.640000001</v>
      </c>
    </row>
    <row r="348" spans="2:42" x14ac:dyDescent="0.35">
      <c r="C348" s="2"/>
      <c r="D348" s="2"/>
      <c r="E348" s="2"/>
      <c r="F348" s="2"/>
      <c r="G348" s="2"/>
      <c r="J348" s="2"/>
      <c r="K348" s="2"/>
      <c r="L348" s="2"/>
      <c r="M348" s="2"/>
      <c r="N348" s="2"/>
      <c r="P348" s="13"/>
      <c r="Q348" s="155"/>
      <c r="R348" s="155"/>
      <c r="S348" s="155"/>
      <c r="T348" s="155"/>
      <c r="U348" s="155"/>
      <c r="W348" s="13"/>
      <c r="X348" s="155"/>
      <c r="Y348" s="155"/>
      <c r="Z348" s="155"/>
      <c r="AA348" s="155"/>
      <c r="AB348" s="155"/>
      <c r="AE348" s="2"/>
      <c r="AF348" s="2"/>
      <c r="AG348" s="2"/>
      <c r="AH348" s="2"/>
      <c r="AI348" s="2"/>
      <c r="AJ348" s="3">
        <v>0</v>
      </c>
      <c r="AL348" s="2"/>
      <c r="AM348" s="2"/>
      <c r="AN348" s="2"/>
      <c r="AO348" s="2"/>
      <c r="AP348" s="2"/>
    </row>
    <row r="349" spans="2:42" x14ac:dyDescent="0.35">
      <c r="C349" s="2"/>
      <c r="D349" s="2"/>
      <c r="E349" s="2"/>
      <c r="F349" s="2"/>
      <c r="G349" s="2"/>
      <c r="J349" s="2"/>
      <c r="K349" s="2"/>
      <c r="L349" s="2"/>
      <c r="M349" s="2"/>
      <c r="N349" s="2"/>
      <c r="Q349" s="2"/>
      <c r="R349" s="2"/>
      <c r="S349" s="2"/>
      <c r="T349" s="2"/>
      <c r="U349" s="2"/>
      <c r="X349" s="2"/>
      <c r="Y349" s="2"/>
      <c r="Z349" s="2"/>
      <c r="AA349" s="2"/>
      <c r="AB349" s="2"/>
      <c r="AE349" s="2"/>
      <c r="AF349" s="2"/>
      <c r="AG349" s="2"/>
      <c r="AH349" s="2"/>
      <c r="AI349" s="2"/>
      <c r="AJ349" s="3">
        <v>0</v>
      </c>
    </row>
    <row r="350" spans="2:42" x14ac:dyDescent="0.35">
      <c r="C350" s="2"/>
      <c r="D350" s="2"/>
      <c r="E350" s="2"/>
      <c r="F350" s="2"/>
      <c r="G350" s="2"/>
      <c r="J350" s="2"/>
      <c r="K350" s="2"/>
      <c r="L350" s="2"/>
      <c r="M350" s="2"/>
      <c r="N350" s="2"/>
      <c r="Q350" s="2"/>
      <c r="R350" s="2"/>
      <c r="S350" s="2"/>
      <c r="T350" s="2"/>
      <c r="U350" s="2"/>
      <c r="X350" s="2"/>
      <c r="Y350" s="2"/>
      <c r="Z350" s="2"/>
      <c r="AA350" s="2"/>
      <c r="AB350" s="2"/>
      <c r="AE350" s="2"/>
      <c r="AF350" s="2"/>
      <c r="AG350" s="2"/>
      <c r="AH350" s="2"/>
      <c r="AI350" s="2"/>
      <c r="AJ350" s="3">
        <v>0</v>
      </c>
    </row>
    <row r="351" spans="2:42" x14ac:dyDescent="0.35">
      <c r="B351" t="s">
        <v>31</v>
      </c>
      <c r="C351" s="2">
        <v>0</v>
      </c>
      <c r="D351" s="2">
        <v>1576492</v>
      </c>
      <c r="E351" s="2">
        <v>40536143.550000004</v>
      </c>
      <c r="F351" s="2">
        <v>0</v>
      </c>
      <c r="G351" s="2">
        <v>42112635.550000004</v>
      </c>
      <c r="I351" t="s">
        <v>31</v>
      </c>
      <c r="J351" s="2">
        <v>0</v>
      </c>
      <c r="K351" s="2">
        <v>136513</v>
      </c>
      <c r="L351" s="2">
        <v>10279678.82</v>
      </c>
      <c r="M351" s="2">
        <v>0</v>
      </c>
      <c r="N351" s="2">
        <v>10416191.82</v>
      </c>
      <c r="P351" t="s">
        <v>31</v>
      </c>
      <c r="Q351" s="2">
        <v>0</v>
      </c>
      <c r="R351" s="2">
        <v>448731</v>
      </c>
      <c r="S351" s="2">
        <v>9597941.8500000052</v>
      </c>
      <c r="T351" s="2">
        <v>0</v>
      </c>
      <c r="U351" s="2">
        <v>10046672.850000005</v>
      </c>
      <c r="W351" t="s">
        <v>31</v>
      </c>
      <c r="X351" s="2">
        <v>0</v>
      </c>
      <c r="Y351" s="2">
        <v>585244</v>
      </c>
      <c r="Z351" s="2">
        <v>19877620.670000006</v>
      </c>
      <c r="AA351" s="2">
        <v>0</v>
      </c>
      <c r="AB351" s="2">
        <v>20462864.670000006</v>
      </c>
      <c r="AD351" t="s">
        <v>31</v>
      </c>
      <c r="AE351" s="2">
        <v>0</v>
      </c>
      <c r="AF351" s="2">
        <v>473820</v>
      </c>
      <c r="AG351" s="2">
        <v>10615225.460000001</v>
      </c>
      <c r="AH351" s="2">
        <v>0</v>
      </c>
      <c r="AI351" s="2">
        <v>11089045.460000001</v>
      </c>
      <c r="AJ351" s="3">
        <v>31551910.130000006</v>
      </c>
      <c r="AK351" t="s">
        <v>31</v>
      </c>
      <c r="AL351" s="2">
        <v>0</v>
      </c>
      <c r="AM351" s="2">
        <v>517428</v>
      </c>
      <c r="AN351" s="2">
        <v>10043297.419999998</v>
      </c>
      <c r="AO351" s="2">
        <v>0</v>
      </c>
      <c r="AP351" s="2">
        <v>10560725.419999998</v>
      </c>
    </row>
    <row r="352" spans="2:42" x14ac:dyDescent="0.35">
      <c r="B352" t="s">
        <v>32</v>
      </c>
      <c r="C352" s="2">
        <v>0</v>
      </c>
      <c r="D352" s="2">
        <v>0</v>
      </c>
      <c r="E352" s="2">
        <v>-8594144.5299999993</v>
      </c>
      <c r="F352" s="2">
        <v>0</v>
      </c>
      <c r="G352" s="2">
        <v>-8594144.5299999993</v>
      </c>
      <c r="I352" t="s">
        <v>32</v>
      </c>
      <c r="J352" s="2">
        <v>0</v>
      </c>
      <c r="K352" s="2">
        <v>0</v>
      </c>
      <c r="L352" s="2">
        <v>-1929293.8200000003</v>
      </c>
      <c r="M352" s="2">
        <v>0</v>
      </c>
      <c r="N352" s="2">
        <v>-1929293.8200000003</v>
      </c>
      <c r="P352" t="s">
        <v>32</v>
      </c>
      <c r="Q352" s="2">
        <v>0</v>
      </c>
      <c r="R352" s="2">
        <v>0</v>
      </c>
      <c r="S352" s="2">
        <v>-2042336.0799999991</v>
      </c>
      <c r="T352" s="2">
        <v>0</v>
      </c>
      <c r="U352" s="2">
        <v>-2042336.0799999991</v>
      </c>
      <c r="W352" t="s">
        <v>32</v>
      </c>
      <c r="X352" s="2">
        <v>0</v>
      </c>
      <c r="Y352" s="2">
        <v>0</v>
      </c>
      <c r="Z352" s="2">
        <v>-3971629.8999999994</v>
      </c>
      <c r="AA352" s="2">
        <v>0</v>
      </c>
      <c r="AB352" s="2">
        <v>-3971629.8999999994</v>
      </c>
      <c r="AD352" t="s">
        <v>32</v>
      </c>
      <c r="AE352" s="2">
        <v>0</v>
      </c>
      <c r="AF352" s="2">
        <v>0</v>
      </c>
      <c r="AG352" s="2">
        <v>-2181800.6500000004</v>
      </c>
      <c r="AH352" s="2">
        <v>0</v>
      </c>
      <c r="AI352" s="2">
        <v>-2181800.6500000004</v>
      </c>
      <c r="AJ352" s="3">
        <v>-6153430.5499999998</v>
      </c>
      <c r="AK352" t="s">
        <v>32</v>
      </c>
      <c r="AL352" s="2">
        <v>0</v>
      </c>
      <c r="AM352" s="2">
        <v>0</v>
      </c>
      <c r="AN352" s="2">
        <v>-2440713.9799999995</v>
      </c>
      <c r="AO352" s="2">
        <v>0</v>
      </c>
      <c r="AP352" s="2">
        <v>-2440713.9799999995</v>
      </c>
    </row>
    <row r="353" spans="2:42" x14ac:dyDescent="0.35">
      <c r="B353" s="19" t="s">
        <v>33</v>
      </c>
      <c r="C353" s="20">
        <v>0</v>
      </c>
      <c r="D353" s="20">
        <v>1576492</v>
      </c>
      <c r="E353" s="20">
        <v>31941999.020000003</v>
      </c>
      <c r="F353" s="20">
        <v>0</v>
      </c>
      <c r="G353" s="20">
        <v>33518491.020000003</v>
      </c>
      <c r="I353" s="19" t="s">
        <v>33</v>
      </c>
      <c r="J353" s="20">
        <v>0</v>
      </c>
      <c r="K353" s="20">
        <v>136513</v>
      </c>
      <c r="L353" s="20">
        <v>8350385</v>
      </c>
      <c r="M353" s="20">
        <v>0</v>
      </c>
      <c r="N353" s="20">
        <v>8486898</v>
      </c>
      <c r="P353" s="19" t="s">
        <v>33</v>
      </c>
      <c r="Q353" s="20">
        <v>0</v>
      </c>
      <c r="R353" s="20">
        <v>448731</v>
      </c>
      <c r="S353" s="20">
        <v>7555605.7700000061</v>
      </c>
      <c r="T353" s="20">
        <v>0</v>
      </c>
      <c r="U353" s="20">
        <v>8004336.7700000061</v>
      </c>
      <c r="W353" s="19" t="s">
        <v>33</v>
      </c>
      <c r="X353" s="20">
        <v>0</v>
      </c>
      <c r="Y353" s="20">
        <v>585244</v>
      </c>
      <c r="Z353" s="20">
        <v>15905990.770000007</v>
      </c>
      <c r="AA353" s="20">
        <v>0</v>
      </c>
      <c r="AB353" s="20">
        <v>16491234.770000007</v>
      </c>
      <c r="AD353" s="19" t="s">
        <v>33</v>
      </c>
      <c r="AE353" s="20">
        <v>0</v>
      </c>
      <c r="AF353" s="20">
        <v>473820</v>
      </c>
      <c r="AG353" s="20">
        <v>8433424.8100000005</v>
      </c>
      <c r="AH353" s="20">
        <v>0</v>
      </c>
      <c r="AI353" s="20">
        <v>8907244.8100000005</v>
      </c>
      <c r="AJ353" s="3">
        <v>25398479.580000006</v>
      </c>
      <c r="AK353" s="25" t="s">
        <v>33</v>
      </c>
      <c r="AL353" s="20">
        <v>0</v>
      </c>
      <c r="AM353" s="20">
        <v>517428</v>
      </c>
      <c r="AN353" s="20">
        <v>7602583.4399999985</v>
      </c>
      <c r="AO353" s="20">
        <v>0</v>
      </c>
      <c r="AP353" s="20">
        <v>8120011.4399999985</v>
      </c>
    </row>
    <row r="354" spans="2:42" x14ac:dyDescent="0.35">
      <c r="C354" s="2"/>
      <c r="D354" s="2"/>
      <c r="E354" s="2"/>
      <c r="F354" s="2"/>
      <c r="G354" s="2"/>
      <c r="J354" s="2"/>
      <c r="K354" s="2"/>
      <c r="L354" s="2"/>
      <c r="M354" s="2"/>
      <c r="N354" s="2"/>
      <c r="Q354" s="2"/>
      <c r="R354" s="2"/>
      <c r="S354" s="2"/>
      <c r="T354" s="2"/>
      <c r="U354" s="2"/>
      <c r="X354" s="2"/>
      <c r="Y354" s="2"/>
      <c r="Z354" s="2"/>
      <c r="AA354" s="2"/>
      <c r="AB354" s="2"/>
      <c r="AE354" s="2"/>
      <c r="AF354" s="2"/>
      <c r="AG354" s="2"/>
      <c r="AH354" s="2"/>
      <c r="AI354" s="2"/>
      <c r="AJ354" s="3">
        <v>0</v>
      </c>
      <c r="AL354" s="2"/>
      <c r="AM354" s="2"/>
      <c r="AN354" s="2"/>
      <c r="AO354" s="2"/>
      <c r="AP354" s="2"/>
    </row>
    <row r="355" spans="2:42" x14ac:dyDescent="0.35">
      <c r="C355" s="2"/>
      <c r="D355" s="2"/>
      <c r="E355" s="2"/>
      <c r="F355" s="2"/>
      <c r="G355" s="2"/>
      <c r="J355" s="2"/>
      <c r="K355" s="2"/>
      <c r="L355" s="2"/>
      <c r="M355" s="2"/>
      <c r="N355" s="2"/>
      <c r="Q355" s="2"/>
      <c r="R355" s="2"/>
      <c r="S355" s="2"/>
      <c r="T355" s="2"/>
      <c r="U355" s="2"/>
      <c r="X355" s="2"/>
      <c r="Y355" s="2"/>
      <c r="Z355" s="2"/>
      <c r="AA355" s="2"/>
      <c r="AB355" s="2"/>
      <c r="AE355" s="2"/>
      <c r="AF355" s="2"/>
      <c r="AG355" s="2"/>
      <c r="AH355" s="2"/>
      <c r="AI355" s="2"/>
      <c r="AJ355" s="3">
        <v>0</v>
      </c>
      <c r="AL355" s="2"/>
      <c r="AM355" s="2"/>
      <c r="AN355" s="2"/>
      <c r="AO355" s="2"/>
      <c r="AP355" s="2"/>
    </row>
    <row r="356" spans="2:42" x14ac:dyDescent="0.35">
      <c r="B356" t="s">
        <v>35</v>
      </c>
      <c r="C356" s="2">
        <v>17637453.349999998</v>
      </c>
      <c r="D356" s="2">
        <v>2377209</v>
      </c>
      <c r="E356" s="2">
        <v>0</v>
      </c>
      <c r="F356" s="2">
        <v>2735410.3400000003</v>
      </c>
      <c r="G356" s="2">
        <v>22750072.689999998</v>
      </c>
      <c r="I356" t="s">
        <v>35</v>
      </c>
      <c r="J356" s="2">
        <v>2813675.58</v>
      </c>
      <c r="K356" s="2">
        <v>840299</v>
      </c>
      <c r="L356" s="2">
        <v>0</v>
      </c>
      <c r="M356" s="2">
        <v>1316779.1399999999</v>
      </c>
      <c r="N356" s="2">
        <v>4970753.72</v>
      </c>
      <c r="P356" t="s">
        <v>35</v>
      </c>
      <c r="Q356" s="2">
        <v>4699150.58</v>
      </c>
      <c r="R356" s="2">
        <v>536057</v>
      </c>
      <c r="S356" s="2">
        <v>0</v>
      </c>
      <c r="T356" s="2">
        <v>551634.66999999993</v>
      </c>
      <c r="U356" s="2">
        <v>5786842.25</v>
      </c>
      <c r="W356" t="s">
        <v>35</v>
      </c>
      <c r="X356" s="2">
        <v>7512826.1600000001</v>
      </c>
      <c r="Y356" s="2">
        <v>1376356</v>
      </c>
      <c r="Z356" s="2">
        <v>0</v>
      </c>
      <c r="AA356" s="2">
        <v>1868413.8099999998</v>
      </c>
      <c r="AB356" s="2">
        <v>10757595.970000001</v>
      </c>
      <c r="AD356" t="s">
        <v>35</v>
      </c>
      <c r="AE356" s="2">
        <v>4773288.3899999987</v>
      </c>
      <c r="AF356" s="2">
        <v>698945</v>
      </c>
      <c r="AG356" s="2">
        <v>0</v>
      </c>
      <c r="AH356" s="2">
        <v>668181.10000000033</v>
      </c>
      <c r="AI356" s="2">
        <v>6140414.4899999993</v>
      </c>
      <c r="AJ356" s="3">
        <v>16898010.460000001</v>
      </c>
      <c r="AK356" t="s">
        <v>35</v>
      </c>
      <c r="AL356" s="2">
        <v>5351338.7999999989</v>
      </c>
      <c r="AM356" s="2">
        <v>301908</v>
      </c>
      <c r="AN356" s="2">
        <v>0</v>
      </c>
      <c r="AO356" s="2">
        <v>198815.43000000017</v>
      </c>
      <c r="AP356" s="2">
        <v>5852062.2299999986</v>
      </c>
    </row>
    <row r="357" spans="2:42" x14ac:dyDescent="0.35">
      <c r="B357" t="s">
        <v>36</v>
      </c>
      <c r="C357" s="2">
        <v>-25782010.640000001</v>
      </c>
      <c r="D357" s="2">
        <v>0</v>
      </c>
      <c r="E357" s="2">
        <v>0</v>
      </c>
      <c r="F357" s="2">
        <v>-1641397.64</v>
      </c>
      <c r="G357" s="2">
        <v>-27423408.280000001</v>
      </c>
      <c r="I357" t="s">
        <v>36</v>
      </c>
      <c r="J357" s="2">
        <v>-4737622.97</v>
      </c>
      <c r="K357" s="2">
        <v>0</v>
      </c>
      <c r="L357" s="2">
        <v>0</v>
      </c>
      <c r="M357" s="2">
        <v>-687253.96</v>
      </c>
      <c r="N357" s="2">
        <v>-5424876.9299999997</v>
      </c>
      <c r="P357" t="s">
        <v>36</v>
      </c>
      <c r="Q357" s="2">
        <v>-7781063.7900000019</v>
      </c>
      <c r="R357" s="2">
        <v>0</v>
      </c>
      <c r="S357" s="2">
        <v>0</v>
      </c>
      <c r="T357" s="2">
        <v>-248129.63</v>
      </c>
      <c r="U357" s="2">
        <v>-8029193.4200000018</v>
      </c>
      <c r="W357" t="s">
        <v>36</v>
      </c>
      <c r="X357" s="2">
        <v>-12518686.760000002</v>
      </c>
      <c r="Y357" s="2">
        <v>0</v>
      </c>
      <c r="Z357" s="2">
        <v>0</v>
      </c>
      <c r="AA357" s="2">
        <v>-935383.59</v>
      </c>
      <c r="AB357" s="2">
        <v>-13454070.350000001</v>
      </c>
      <c r="AD357" t="s">
        <v>36</v>
      </c>
      <c r="AE357" s="2">
        <v>-4055515.9099999964</v>
      </c>
      <c r="AF357" s="2">
        <v>0</v>
      </c>
      <c r="AG357" s="2">
        <v>0</v>
      </c>
      <c r="AH357" s="2">
        <v>-275545.40000000026</v>
      </c>
      <c r="AI357" s="2">
        <v>-4331061.3099999968</v>
      </c>
      <c r="AJ357" s="3">
        <v>-17785131.659999996</v>
      </c>
      <c r="AK357" t="s">
        <v>36</v>
      </c>
      <c r="AL357" s="2">
        <v>-9207807.9700000025</v>
      </c>
      <c r="AM357" s="2">
        <v>0</v>
      </c>
      <c r="AN357" s="2">
        <v>0</v>
      </c>
      <c r="AO357" s="2">
        <v>-430468.64999999979</v>
      </c>
      <c r="AP357" s="2">
        <v>-9638276.6200000029</v>
      </c>
    </row>
    <row r="358" spans="2:42" x14ac:dyDescent="0.35">
      <c r="B358" s="19" t="s">
        <v>37</v>
      </c>
      <c r="C358" s="20">
        <v>-8144557.2900000028</v>
      </c>
      <c r="D358" s="20">
        <v>2377209</v>
      </c>
      <c r="E358" s="20">
        <v>0</v>
      </c>
      <c r="F358" s="20">
        <v>1094012.7000000004</v>
      </c>
      <c r="G358" s="20">
        <v>-4673335.5900000036</v>
      </c>
      <c r="I358" s="19" t="s">
        <v>37</v>
      </c>
      <c r="J358" s="20">
        <v>-1923947.3899999997</v>
      </c>
      <c r="K358" s="20">
        <v>840299</v>
      </c>
      <c r="L358" s="20">
        <v>0</v>
      </c>
      <c r="M358" s="20">
        <v>629525.17999999993</v>
      </c>
      <c r="N358" s="20">
        <v>-454123.20999999996</v>
      </c>
      <c r="P358" s="19" t="s">
        <v>37</v>
      </c>
      <c r="Q358" s="20">
        <v>-3081913.2100000018</v>
      </c>
      <c r="R358" s="20">
        <v>536057</v>
      </c>
      <c r="S358" s="20">
        <v>0</v>
      </c>
      <c r="T358" s="20">
        <v>303505.03999999992</v>
      </c>
      <c r="U358" s="20">
        <v>-2242351.1700000018</v>
      </c>
      <c r="W358" s="19" t="s">
        <v>37</v>
      </c>
      <c r="X358" s="20">
        <v>-5005860.6000000015</v>
      </c>
      <c r="Y358" s="20">
        <v>1376356</v>
      </c>
      <c r="Z358" s="20">
        <v>0</v>
      </c>
      <c r="AA358" s="20">
        <v>933030.21999999986</v>
      </c>
      <c r="AB358" s="20">
        <v>-2696474.3800000008</v>
      </c>
      <c r="AD358" s="19" t="s">
        <v>37</v>
      </c>
      <c r="AE358" s="20">
        <v>717772.48000000231</v>
      </c>
      <c r="AF358" s="20">
        <v>698945</v>
      </c>
      <c r="AG358" s="20">
        <v>0</v>
      </c>
      <c r="AH358" s="20">
        <v>392635.70000000007</v>
      </c>
      <c r="AI358" s="20">
        <v>1809353.1800000025</v>
      </c>
      <c r="AJ358" s="3">
        <v>-887121.19999999832</v>
      </c>
      <c r="AK358" s="25" t="s">
        <v>37</v>
      </c>
      <c r="AL358" s="20">
        <v>-3856469.1700000037</v>
      </c>
      <c r="AM358" s="20">
        <v>301908</v>
      </c>
      <c r="AN358" s="20">
        <v>0</v>
      </c>
      <c r="AO358" s="20">
        <v>-231653.21999999962</v>
      </c>
      <c r="AP358" s="20">
        <v>-3786214.3900000043</v>
      </c>
    </row>
    <row r="359" spans="2:42" x14ac:dyDescent="0.35">
      <c r="C359" s="2"/>
      <c r="D359" s="2"/>
      <c r="E359" s="2"/>
      <c r="F359" s="2"/>
      <c r="G359" s="2"/>
      <c r="J359" s="2"/>
      <c r="K359" s="2"/>
      <c r="L359" s="2"/>
      <c r="M359" s="2"/>
      <c r="N359" s="2"/>
      <c r="Q359" s="2"/>
      <c r="R359" s="2"/>
      <c r="S359" s="2"/>
      <c r="T359" s="2"/>
      <c r="U359" s="2"/>
      <c r="X359" s="2"/>
      <c r="Y359" s="2"/>
      <c r="Z359" s="2"/>
      <c r="AA359" s="2"/>
      <c r="AB359" s="2"/>
      <c r="AE359" s="2"/>
      <c r="AF359" s="2"/>
      <c r="AG359" s="2"/>
      <c r="AH359" s="2"/>
      <c r="AI359" s="2"/>
      <c r="AJ359" s="3">
        <v>0</v>
      </c>
      <c r="AL359" s="2"/>
      <c r="AM359" s="2"/>
      <c r="AN359" s="2"/>
      <c r="AO359" s="2"/>
      <c r="AP359" s="2"/>
    </row>
    <row r="360" spans="2:42" x14ac:dyDescent="0.35">
      <c r="C360" s="2"/>
      <c r="D360" s="2"/>
      <c r="E360" s="2"/>
      <c r="F360" s="2"/>
      <c r="G360" s="2"/>
      <c r="J360" s="2"/>
      <c r="K360" s="2"/>
      <c r="L360" s="2"/>
      <c r="M360" s="2"/>
      <c r="N360" s="2"/>
      <c r="Q360" s="2"/>
      <c r="R360" s="2"/>
      <c r="S360" s="2"/>
      <c r="T360" s="2"/>
      <c r="U360" s="2"/>
      <c r="X360" s="2"/>
      <c r="Y360" s="2"/>
      <c r="Z360" s="2"/>
      <c r="AA360" s="2"/>
      <c r="AB360" s="2"/>
      <c r="AE360" s="2"/>
      <c r="AF360" s="2"/>
      <c r="AG360" s="2"/>
      <c r="AH360" s="2"/>
      <c r="AI360" s="2"/>
      <c r="AJ360" s="3">
        <v>0</v>
      </c>
      <c r="AL360" s="2"/>
      <c r="AM360" s="2"/>
      <c r="AN360" s="2"/>
      <c r="AO360" s="2"/>
      <c r="AP360" s="2"/>
    </row>
    <row r="361" spans="2:42" x14ac:dyDescent="0.35">
      <c r="B361" t="s">
        <v>38</v>
      </c>
      <c r="C361" s="2">
        <v>-82364217.550000012</v>
      </c>
      <c r="D361" s="2">
        <v>-11841211</v>
      </c>
      <c r="E361" s="2">
        <v>-1951438.94</v>
      </c>
      <c r="F361" s="2">
        <v>-639302.72000000009</v>
      </c>
      <c r="G361" s="2">
        <v>-96796170.210000008</v>
      </c>
      <c r="I361" t="s">
        <v>38</v>
      </c>
      <c r="J361" s="2">
        <v>-21568601.489999998</v>
      </c>
      <c r="K361" s="2">
        <v>-1748873</v>
      </c>
      <c r="L361" s="2">
        <v>-239097.11</v>
      </c>
      <c r="M361" s="2">
        <v>-134085.48000000001</v>
      </c>
      <c r="N361" s="2">
        <v>-23690657.079999998</v>
      </c>
      <c r="P361" t="s">
        <v>38</v>
      </c>
      <c r="Q361" s="2">
        <v>-16544984.410000008</v>
      </c>
      <c r="R361" s="2">
        <v>-4127793</v>
      </c>
      <c r="S361" s="2">
        <v>-706848.45000000007</v>
      </c>
      <c r="T361" s="2">
        <v>-141360.48000000001</v>
      </c>
      <c r="U361" s="2">
        <v>-21520986.340000007</v>
      </c>
      <c r="W361" t="s">
        <v>38</v>
      </c>
      <c r="X361" s="2">
        <v>-38113585.900000006</v>
      </c>
      <c r="Y361" s="2">
        <v>-5876666</v>
      </c>
      <c r="Z361" s="2">
        <v>-945945.56</v>
      </c>
      <c r="AA361" s="2">
        <v>-275445.96000000002</v>
      </c>
      <c r="AB361" s="2">
        <v>-45211643.420000009</v>
      </c>
      <c r="AD361" t="s">
        <v>38</v>
      </c>
      <c r="AE361" s="2">
        <v>-21291950.809999995</v>
      </c>
      <c r="AF361" s="2">
        <v>-2932663</v>
      </c>
      <c r="AG361" s="2">
        <v>-487115.5299999998</v>
      </c>
      <c r="AH361" s="2">
        <v>-174140.06999999995</v>
      </c>
      <c r="AI361" s="2">
        <v>-24885869.409999996</v>
      </c>
      <c r="AJ361" s="3">
        <v>-70097512.830000013</v>
      </c>
      <c r="AK361" t="s">
        <v>38</v>
      </c>
      <c r="AL361" s="2">
        <v>-22958680.840000011</v>
      </c>
      <c r="AM361" s="2">
        <v>-3031882</v>
      </c>
      <c r="AN361" s="2">
        <v>-518377.85000000009</v>
      </c>
      <c r="AO361" s="2">
        <v>-189716.69000000012</v>
      </c>
      <c r="AP361" s="2">
        <v>-26698657.380000014</v>
      </c>
    </row>
    <row r="362" spans="2:42" x14ac:dyDescent="0.35">
      <c r="B362" t="s">
        <v>78</v>
      </c>
      <c r="C362" s="2">
        <v>-398911864.76000005</v>
      </c>
      <c r="D362" s="2">
        <v>-58184425</v>
      </c>
      <c r="E362" s="2">
        <v>-12781066.009999998</v>
      </c>
      <c r="F362" s="2">
        <v>-13854253.42</v>
      </c>
      <c r="G362" s="2">
        <v>-483731609.19000006</v>
      </c>
      <c r="I362" t="s">
        <v>78</v>
      </c>
      <c r="J362" s="2">
        <v>-92060886.849999994</v>
      </c>
      <c r="K362" s="2">
        <v>-18982031</v>
      </c>
      <c r="L362" s="2">
        <v>-2898941.47</v>
      </c>
      <c r="M362" s="2">
        <v>-3458387.31</v>
      </c>
      <c r="N362" s="2">
        <v>-117400246.63</v>
      </c>
      <c r="P362" t="s">
        <v>78</v>
      </c>
      <c r="Q362" s="2">
        <v>-104130394.80000001</v>
      </c>
      <c r="R362" s="2">
        <v>-12824301</v>
      </c>
      <c r="S362" s="2">
        <v>-3066680.9499999997</v>
      </c>
      <c r="T362" s="2">
        <v>-3183844.4400000009</v>
      </c>
      <c r="U362" s="2">
        <v>-123205221.19000001</v>
      </c>
      <c r="W362" t="s">
        <v>78</v>
      </c>
      <c r="X362" s="2">
        <v>-196191281.65000001</v>
      </c>
      <c r="Y362" s="2">
        <v>-31806332</v>
      </c>
      <c r="Z362" s="2">
        <v>-5965622.4199999999</v>
      </c>
      <c r="AA362" s="2">
        <v>-6642231.7500000009</v>
      </c>
      <c r="AB362" s="2">
        <v>-240605467.81999999</v>
      </c>
      <c r="AD362" t="s">
        <v>78</v>
      </c>
      <c r="AE362" s="2">
        <v>-102459145.14000008</v>
      </c>
      <c r="AF362" s="2">
        <v>-13202613</v>
      </c>
      <c r="AG362" s="2">
        <v>-3355161.290000001</v>
      </c>
      <c r="AH362" s="2">
        <v>-3389146.8000000017</v>
      </c>
      <c r="AI362" s="2">
        <v>-122406066.23000008</v>
      </c>
      <c r="AJ362" s="3">
        <v>-363011534.05000007</v>
      </c>
      <c r="AK362" t="s">
        <v>78</v>
      </c>
      <c r="AL362" s="2">
        <v>-100261437.97</v>
      </c>
      <c r="AM362" s="2">
        <v>-13175480</v>
      </c>
      <c r="AN362" s="2">
        <v>-3460282.299999997</v>
      </c>
      <c r="AO362" s="2">
        <v>-3822874.8699999964</v>
      </c>
      <c r="AP362" s="2">
        <v>-120720075.13999999</v>
      </c>
    </row>
    <row r="363" spans="2:42" x14ac:dyDescent="0.35">
      <c r="B363" t="s">
        <v>39</v>
      </c>
      <c r="C363" s="2">
        <v>-102278125.22</v>
      </c>
      <c r="D363" s="2">
        <v>-17253698</v>
      </c>
      <c r="E363" s="2">
        <v>-2647541.1399999997</v>
      </c>
      <c r="F363" s="2">
        <v>-6008122.7399999993</v>
      </c>
      <c r="G363" s="2">
        <v>-128187487.09999999</v>
      </c>
      <c r="I363" t="s">
        <v>39</v>
      </c>
      <c r="J363" s="2">
        <v>-20519504.210000005</v>
      </c>
      <c r="K363" s="2">
        <v>-3391810</v>
      </c>
      <c r="L363" s="2">
        <v>-950133</v>
      </c>
      <c r="M363" s="2">
        <v>-1304763.5599999998</v>
      </c>
      <c r="N363" s="2">
        <v>-26166210.770000003</v>
      </c>
      <c r="P363" t="s">
        <v>39</v>
      </c>
      <c r="Q363" s="2">
        <v>-23123247.879999999</v>
      </c>
      <c r="R363" s="2">
        <v>-3628773</v>
      </c>
      <c r="S363" s="2">
        <v>-767289.09999999986</v>
      </c>
      <c r="T363" s="2">
        <v>-1314056.2100000002</v>
      </c>
      <c r="U363" s="2">
        <v>-28833366.190000001</v>
      </c>
      <c r="W363" t="s">
        <v>39</v>
      </c>
      <c r="X363" s="2">
        <v>-43642752.090000004</v>
      </c>
      <c r="Y363" s="2">
        <v>-7020583</v>
      </c>
      <c r="Z363" s="2">
        <v>-1717422.0999999999</v>
      </c>
      <c r="AA363" s="2">
        <v>-2618819.77</v>
      </c>
      <c r="AB363" s="2">
        <v>-54999576.960000008</v>
      </c>
      <c r="AD363" t="s">
        <v>39</v>
      </c>
      <c r="AE363" s="2">
        <v>-25628810.019999996</v>
      </c>
      <c r="AF363" s="2">
        <v>-3528391</v>
      </c>
      <c r="AG363" s="2">
        <v>-467980.12000000034</v>
      </c>
      <c r="AH363" s="2">
        <v>-1378208.9100000001</v>
      </c>
      <c r="AI363" s="2">
        <v>-31003390.049999997</v>
      </c>
      <c r="AJ363" s="3">
        <v>-86002967.010000005</v>
      </c>
      <c r="AK363" t="s">
        <v>39</v>
      </c>
      <c r="AL363" s="2">
        <v>-33006563.109999999</v>
      </c>
      <c r="AM363" s="2">
        <v>-6704724</v>
      </c>
      <c r="AN363" s="2">
        <v>-462138.91999999969</v>
      </c>
      <c r="AO363" s="2">
        <v>-2011094.0599999991</v>
      </c>
      <c r="AP363" s="2">
        <v>-42184520.090000004</v>
      </c>
    </row>
    <row r="364" spans="2:42" x14ac:dyDescent="0.35">
      <c r="B364" t="s">
        <v>40</v>
      </c>
      <c r="C364" s="2">
        <v>-21042982.049999997</v>
      </c>
      <c r="D364" s="2">
        <v>-7838645</v>
      </c>
      <c r="E364" s="2">
        <v>-62700</v>
      </c>
      <c r="F364" s="2">
        <v>-7109626.0399999991</v>
      </c>
      <c r="G364" s="2">
        <v>-36053953.089999996</v>
      </c>
      <c r="I364" t="s">
        <v>40</v>
      </c>
      <c r="J364" s="2">
        <v>-5241725.8099999996</v>
      </c>
      <c r="K364" s="2">
        <v>-363636</v>
      </c>
      <c r="L364" s="2">
        <v>-46900</v>
      </c>
      <c r="M364" s="2">
        <v>-2085446</v>
      </c>
      <c r="N364" s="2">
        <v>-7737707.8099999996</v>
      </c>
      <c r="P364" t="s">
        <v>40</v>
      </c>
      <c r="Q364" s="2">
        <v>-5639274.8199999994</v>
      </c>
      <c r="R364" s="2">
        <v>-4811198</v>
      </c>
      <c r="S364" s="2">
        <v>-6700</v>
      </c>
      <c r="T364" s="2">
        <v>-1344592.9000000004</v>
      </c>
      <c r="U364" s="2">
        <v>-11801765.720000001</v>
      </c>
      <c r="W364" t="s">
        <v>40</v>
      </c>
      <c r="X364" s="2">
        <v>-10881000.629999999</v>
      </c>
      <c r="Y364" s="2">
        <v>-5174834</v>
      </c>
      <c r="Z364" s="2">
        <v>-53600</v>
      </c>
      <c r="AA364" s="2">
        <v>-3430038.9000000004</v>
      </c>
      <c r="AB364" s="2">
        <v>-19539473.530000001</v>
      </c>
      <c r="AD364" t="s">
        <v>40</v>
      </c>
      <c r="AE364" s="2">
        <v>-4885220.2200000025</v>
      </c>
      <c r="AF364" s="2">
        <v>-1190908</v>
      </c>
      <c r="AG364" s="2">
        <v>-14800</v>
      </c>
      <c r="AH364" s="2">
        <v>-1285682.1599999992</v>
      </c>
      <c r="AI364" s="2">
        <v>-7376610.3800000018</v>
      </c>
      <c r="AJ364" s="3">
        <v>-26916083.910000004</v>
      </c>
      <c r="AK364" t="s">
        <v>40</v>
      </c>
      <c r="AL364" s="2">
        <v>-5276761.1999999955</v>
      </c>
      <c r="AM364" s="2">
        <v>-1472903</v>
      </c>
      <c r="AN364" s="2">
        <v>5700</v>
      </c>
      <c r="AO364" s="2">
        <v>-2393904.9799999995</v>
      </c>
      <c r="AP364" s="2">
        <v>-9137869.179999996</v>
      </c>
    </row>
    <row r="365" spans="2:42" x14ac:dyDescent="0.35">
      <c r="B365" t="s">
        <v>41</v>
      </c>
      <c r="C365" s="2">
        <v>0</v>
      </c>
      <c r="D365" s="2">
        <v>-620000</v>
      </c>
      <c r="E365" s="2">
        <v>0</v>
      </c>
      <c r="F365" s="2">
        <v>0</v>
      </c>
      <c r="G365" s="2">
        <v>-620000</v>
      </c>
      <c r="I365" t="s">
        <v>41</v>
      </c>
      <c r="J365" s="2">
        <v>-16555.939999999999</v>
      </c>
      <c r="K365" s="2">
        <v>0</v>
      </c>
      <c r="L365" s="2">
        <v>0</v>
      </c>
      <c r="M365" s="2">
        <v>0</v>
      </c>
      <c r="N365" s="2">
        <v>-16555.939999999999</v>
      </c>
      <c r="P365" t="s">
        <v>41</v>
      </c>
      <c r="Q365" s="2">
        <v>16555.939999999999</v>
      </c>
      <c r="R365" s="2">
        <v>0</v>
      </c>
      <c r="S365" s="2">
        <v>0</v>
      </c>
      <c r="T365" s="2">
        <v>0</v>
      </c>
      <c r="U365" s="2">
        <v>16555.939999999999</v>
      </c>
      <c r="W365" t="s">
        <v>41</v>
      </c>
      <c r="X365" s="2">
        <v>0</v>
      </c>
      <c r="Y365" s="2">
        <v>0</v>
      </c>
      <c r="Z365" s="2">
        <v>0</v>
      </c>
      <c r="AA365" s="2">
        <v>0</v>
      </c>
      <c r="AB365" s="2">
        <v>0</v>
      </c>
      <c r="AD365" t="s">
        <v>41</v>
      </c>
      <c r="AE365" s="2">
        <v>0</v>
      </c>
      <c r="AF365" s="2">
        <v>-520000</v>
      </c>
      <c r="AG365" s="2">
        <v>0</v>
      </c>
      <c r="AH365" s="2">
        <v>0</v>
      </c>
      <c r="AI365" s="2">
        <v>-520000</v>
      </c>
      <c r="AJ365" s="3">
        <v>-520000</v>
      </c>
      <c r="AK365" t="s">
        <v>41</v>
      </c>
      <c r="AL365" s="2">
        <v>0</v>
      </c>
      <c r="AM365" s="2">
        <v>-100000</v>
      </c>
      <c r="AN365" s="2">
        <v>0</v>
      </c>
      <c r="AO365" s="2">
        <v>0</v>
      </c>
      <c r="AP365" s="2">
        <v>-100000</v>
      </c>
    </row>
    <row r="366" spans="2:42" x14ac:dyDescent="0.35">
      <c r="B366" t="s">
        <v>42</v>
      </c>
      <c r="C366" s="2">
        <v>-41069673.899999999</v>
      </c>
      <c r="D366" s="2">
        <v>-1230033</v>
      </c>
      <c r="E366" s="2">
        <v>-37605.79</v>
      </c>
      <c r="F366" s="2">
        <v>0</v>
      </c>
      <c r="G366" s="2">
        <v>-42337312.689999998</v>
      </c>
      <c r="I366" t="s">
        <v>42</v>
      </c>
      <c r="J366" s="2">
        <v>-9816123.9300000016</v>
      </c>
      <c r="K366" s="2">
        <v>-383521</v>
      </c>
      <c r="L366" s="2">
        <v>-37605.79</v>
      </c>
      <c r="M366" s="2">
        <v>0</v>
      </c>
      <c r="N366" s="2">
        <v>-10237250.720000001</v>
      </c>
      <c r="P366" t="s">
        <v>42</v>
      </c>
      <c r="Q366" s="2">
        <v>-8586420.7200000007</v>
      </c>
      <c r="R366" s="2">
        <v>67138</v>
      </c>
      <c r="S366" s="2">
        <v>0</v>
      </c>
      <c r="T366" s="2">
        <v>0</v>
      </c>
      <c r="U366" s="2">
        <v>-8519282.7200000007</v>
      </c>
      <c r="W366" t="s">
        <v>42</v>
      </c>
      <c r="X366" s="2">
        <v>-18402544.650000002</v>
      </c>
      <c r="Y366" s="2">
        <v>-316383</v>
      </c>
      <c r="Z366" s="2">
        <v>-37605.79</v>
      </c>
      <c r="AA366" s="2">
        <v>0</v>
      </c>
      <c r="AB366" s="2">
        <v>-18756533.440000001</v>
      </c>
      <c r="AD366" t="s">
        <v>42</v>
      </c>
      <c r="AE366" s="2">
        <v>-11661559.540000003</v>
      </c>
      <c r="AF366" s="2">
        <v>-519073</v>
      </c>
      <c r="AG366" s="2">
        <v>0</v>
      </c>
      <c r="AH366" s="2">
        <v>0</v>
      </c>
      <c r="AI366" s="2">
        <v>-12180632.540000003</v>
      </c>
      <c r="AJ366" s="3">
        <v>-30937165.980000004</v>
      </c>
      <c r="AK366" t="s">
        <v>42</v>
      </c>
      <c r="AL366" s="2">
        <v>-11005569.709999993</v>
      </c>
      <c r="AM366" s="2">
        <v>-394577</v>
      </c>
      <c r="AN366" s="2">
        <v>0</v>
      </c>
      <c r="AO366" s="2">
        <v>0</v>
      </c>
      <c r="AP366" s="2">
        <v>-11400146.709999993</v>
      </c>
    </row>
    <row r="367" spans="2:42" x14ac:dyDescent="0.35">
      <c r="B367" t="s">
        <v>4</v>
      </c>
      <c r="C367" s="2">
        <v>757435.61</v>
      </c>
      <c r="D367" s="2">
        <v>76</v>
      </c>
      <c r="E367" s="2">
        <v>0</v>
      </c>
      <c r="F367" s="2">
        <v>0</v>
      </c>
      <c r="G367" s="2">
        <v>757511.61</v>
      </c>
      <c r="I367" t="s">
        <v>4</v>
      </c>
      <c r="J367" s="2">
        <v>627475.99</v>
      </c>
      <c r="K367" s="2">
        <v>7207</v>
      </c>
      <c r="L367" s="2">
        <v>0</v>
      </c>
      <c r="M367" s="2">
        <v>0</v>
      </c>
      <c r="N367" s="2">
        <v>634682.99</v>
      </c>
      <c r="P367" t="s">
        <v>4</v>
      </c>
      <c r="Q367" s="2">
        <v>0</v>
      </c>
      <c r="R367" s="2">
        <v>-337091</v>
      </c>
      <c r="S367" s="2">
        <v>0</v>
      </c>
      <c r="T367" s="2">
        <v>0</v>
      </c>
      <c r="U367" s="2">
        <v>-337091</v>
      </c>
      <c r="W367" t="s">
        <v>4</v>
      </c>
      <c r="X367" s="2">
        <v>627475.99</v>
      </c>
      <c r="Y367" s="2">
        <v>-329884</v>
      </c>
      <c r="Z367" s="2">
        <v>0</v>
      </c>
      <c r="AA367" s="2">
        <v>0</v>
      </c>
      <c r="AB367" s="2">
        <v>297591.99</v>
      </c>
      <c r="AD367" t="s">
        <v>4</v>
      </c>
      <c r="AE367" s="2">
        <v>0</v>
      </c>
      <c r="AF367" s="2">
        <v>-170442</v>
      </c>
      <c r="AG367" s="2">
        <v>0</v>
      </c>
      <c r="AH367" s="2">
        <v>0</v>
      </c>
      <c r="AI367" s="2">
        <v>-170442</v>
      </c>
      <c r="AJ367" s="3">
        <v>127149.98999999999</v>
      </c>
      <c r="AK367" t="s">
        <v>4</v>
      </c>
      <c r="AL367" s="2">
        <v>129959.62</v>
      </c>
      <c r="AM367" s="2">
        <v>500402</v>
      </c>
      <c r="AN367" s="2">
        <v>0</v>
      </c>
      <c r="AO367" s="2">
        <v>0</v>
      </c>
      <c r="AP367" s="2">
        <v>630361.62</v>
      </c>
    </row>
    <row r="368" spans="2:42" x14ac:dyDescent="0.35">
      <c r="B368" t="s">
        <v>5</v>
      </c>
      <c r="C368" s="2">
        <v>-1343000</v>
      </c>
      <c r="D368" s="2">
        <v>0</v>
      </c>
      <c r="E368" s="2">
        <v>0</v>
      </c>
      <c r="F368" s="2">
        <v>0</v>
      </c>
      <c r="G368" s="2">
        <v>-1343000</v>
      </c>
      <c r="I368" t="s">
        <v>5</v>
      </c>
      <c r="J368" s="2">
        <v>-317000</v>
      </c>
      <c r="K368" s="2">
        <v>0</v>
      </c>
      <c r="L368" s="2">
        <v>0</v>
      </c>
      <c r="M368" s="2">
        <v>0</v>
      </c>
      <c r="N368" s="2">
        <v>-317000</v>
      </c>
      <c r="P368" t="s">
        <v>5</v>
      </c>
      <c r="Q368" s="2">
        <v>-251000</v>
      </c>
      <c r="R368" s="2">
        <v>0</v>
      </c>
      <c r="S368" s="2">
        <v>0</v>
      </c>
      <c r="T368" s="2">
        <v>0</v>
      </c>
      <c r="U368" s="2">
        <v>-251000</v>
      </c>
      <c r="W368" t="s">
        <v>5</v>
      </c>
      <c r="X368" s="2">
        <v>-568000</v>
      </c>
      <c r="Y368" s="2">
        <v>0</v>
      </c>
      <c r="Z368" s="2">
        <v>0</v>
      </c>
      <c r="AA368" s="2">
        <v>0</v>
      </c>
      <c r="AB368" s="2">
        <v>-568000</v>
      </c>
      <c r="AD368" t="s">
        <v>5</v>
      </c>
      <c r="AE368" s="2">
        <v>-507000</v>
      </c>
      <c r="AF368" s="2">
        <v>0</v>
      </c>
      <c r="AG368" s="2">
        <v>0</v>
      </c>
      <c r="AH368" s="2">
        <v>0</v>
      </c>
      <c r="AI368" s="2">
        <v>-507000</v>
      </c>
      <c r="AJ368" s="3">
        <v>-1075000</v>
      </c>
      <c r="AK368" t="s">
        <v>5</v>
      </c>
      <c r="AL368" s="2">
        <v>-268000</v>
      </c>
      <c r="AM368" s="2">
        <v>0</v>
      </c>
      <c r="AN368" s="2">
        <v>0</v>
      </c>
      <c r="AO368" s="2">
        <v>0</v>
      </c>
      <c r="AP368" s="2">
        <v>-268000</v>
      </c>
    </row>
    <row r="369" spans="2:42" x14ac:dyDescent="0.35">
      <c r="B369" t="s">
        <v>182</v>
      </c>
      <c r="C369" s="2">
        <v>-106771190.03999998</v>
      </c>
      <c r="D369" s="2">
        <v>-1295517.1820443999</v>
      </c>
      <c r="E369" s="2">
        <v>760133.49</v>
      </c>
      <c r="F369" s="2">
        <v>-34719.839999999997</v>
      </c>
      <c r="G369" s="2">
        <v>-107341293.57204439</v>
      </c>
      <c r="I369" t="s">
        <v>182</v>
      </c>
      <c r="J369" s="2">
        <v>-14127297.969999999</v>
      </c>
      <c r="K369" s="2">
        <v>371074.99141299998</v>
      </c>
      <c r="L369" s="2">
        <v>378373.18</v>
      </c>
      <c r="M369" s="2">
        <v>-29266.560000000001</v>
      </c>
      <c r="N369" s="2">
        <v>-13407116.358587001</v>
      </c>
      <c r="P369" t="s">
        <v>182</v>
      </c>
      <c r="Q369" s="2">
        <v>-12008204.139999997</v>
      </c>
      <c r="R369" s="2">
        <v>-1015427.8935211999</v>
      </c>
      <c r="S369" s="2">
        <v>-243449.94999999998</v>
      </c>
      <c r="T369" s="2">
        <v>-2032.7099999999991</v>
      </c>
      <c r="U369" s="2">
        <v>-13269114.693521198</v>
      </c>
      <c r="W369" t="s">
        <v>182</v>
      </c>
      <c r="X369" s="2">
        <v>-26135502.109999996</v>
      </c>
      <c r="Y369" s="2">
        <v>-644352.90210820001</v>
      </c>
      <c r="Z369" s="2">
        <v>134923.23000000001</v>
      </c>
      <c r="AA369" s="2">
        <v>-31299.27</v>
      </c>
      <c r="AB369" s="2">
        <v>-26676231.052108195</v>
      </c>
      <c r="AD369" t="s">
        <v>182</v>
      </c>
      <c r="AE369" s="2">
        <v>-28992583.449999999</v>
      </c>
      <c r="AF369" s="2">
        <v>150555.74925960007</v>
      </c>
      <c r="AG369" s="2">
        <v>197103.57999999993</v>
      </c>
      <c r="AH369" s="2">
        <v>-10346.939999999999</v>
      </c>
      <c r="AI369" s="2">
        <v>-28655271.060740404</v>
      </c>
      <c r="AJ369" s="3">
        <v>-55331502.112848595</v>
      </c>
      <c r="AK369" t="s">
        <v>182</v>
      </c>
      <c r="AL369" s="2">
        <v>-51643104.479999974</v>
      </c>
      <c r="AM369" s="2">
        <v>-801720.02919579984</v>
      </c>
      <c r="AN369" s="2">
        <v>428106.68000000005</v>
      </c>
      <c r="AO369" s="2">
        <v>6926.3700000000026</v>
      </c>
      <c r="AP369" s="2">
        <v>-52009791.459195778</v>
      </c>
    </row>
    <row r="370" spans="2:42" x14ac:dyDescent="0.35">
      <c r="B370" s="19" t="s">
        <v>11</v>
      </c>
      <c r="C370" s="20">
        <v>-753023617.90999997</v>
      </c>
      <c r="D370" s="20">
        <v>-98263453.182044402</v>
      </c>
      <c r="E370" s="20">
        <v>-16720218.389999995</v>
      </c>
      <c r="F370" s="20">
        <v>-27646024.759999998</v>
      </c>
      <c r="G370" s="20">
        <v>-895653314.24204457</v>
      </c>
      <c r="I370" s="19" t="s">
        <v>11</v>
      </c>
      <c r="J370" s="20">
        <v>-163040220.20999998</v>
      </c>
      <c r="K370" s="20">
        <v>-24491589.008586999</v>
      </c>
      <c r="L370" s="20">
        <v>-3794304.19</v>
      </c>
      <c r="M370" s="20">
        <v>-7011948.9099999992</v>
      </c>
      <c r="N370" s="20">
        <v>-198338062.31858698</v>
      </c>
      <c r="P370" s="19" t="s">
        <v>11</v>
      </c>
      <c r="Q370" s="20">
        <v>-170266970.83000001</v>
      </c>
      <c r="R370" s="20">
        <v>-26677445.893521201</v>
      </c>
      <c r="S370" s="20">
        <v>-4790968.45</v>
      </c>
      <c r="T370" s="20">
        <v>-5985886.7400000012</v>
      </c>
      <c r="U370" s="20">
        <v>-207721271.91352123</v>
      </c>
      <c r="W370" s="19" t="s">
        <v>11</v>
      </c>
      <c r="X370" s="20">
        <v>-333307191.03999996</v>
      </c>
      <c r="Y370" s="20">
        <v>-51169034.9021082</v>
      </c>
      <c r="Z370" s="20">
        <v>-8585272.6399999987</v>
      </c>
      <c r="AA370" s="20">
        <v>-12997835.65</v>
      </c>
      <c r="AB370" s="20">
        <v>-406059334.23210818</v>
      </c>
      <c r="AD370" s="19" t="s">
        <v>11</v>
      </c>
      <c r="AE370" s="20">
        <v>-195426269.18000007</v>
      </c>
      <c r="AF370" s="20">
        <v>-21913534.250740401</v>
      </c>
      <c r="AG370" s="20">
        <v>-4127953.3600000013</v>
      </c>
      <c r="AH370" s="20">
        <v>-6237524.8800000008</v>
      </c>
      <c r="AI370" s="20">
        <v>-227705281.67074046</v>
      </c>
      <c r="AJ370" s="3">
        <v>-633764615.9028486</v>
      </c>
      <c r="AK370" s="19" t="s">
        <v>11</v>
      </c>
      <c r="AL370" s="20">
        <v>-224290157.68999994</v>
      </c>
      <c r="AM370" s="20">
        <v>-25180884.0291958</v>
      </c>
      <c r="AN370" s="20">
        <v>-4006992.3899999964</v>
      </c>
      <c r="AO370" s="20">
        <v>-8410664.2299999949</v>
      </c>
      <c r="AP370" s="20">
        <v>-261888698.33919579</v>
      </c>
    </row>
    <row r="371" spans="2:42" x14ac:dyDescent="0.35">
      <c r="C371" s="2"/>
      <c r="D371" s="2"/>
      <c r="E371" s="2"/>
      <c r="F371" s="2"/>
      <c r="G371" s="2"/>
      <c r="J371" s="2"/>
      <c r="K371" s="2"/>
      <c r="L371" s="2"/>
      <c r="M371" s="2"/>
      <c r="N371" s="2"/>
      <c r="Q371" s="2"/>
      <c r="R371" s="2"/>
      <c r="S371" s="2"/>
      <c r="T371" s="2"/>
      <c r="U371" s="2"/>
      <c r="X371" s="2"/>
      <c r="Y371" s="2"/>
      <c r="Z371" s="2"/>
      <c r="AA371" s="2"/>
      <c r="AB371" s="2"/>
      <c r="AE371" s="2"/>
      <c r="AF371" s="2"/>
      <c r="AG371" s="2"/>
      <c r="AH371" s="2"/>
      <c r="AI371" s="2"/>
      <c r="AJ371" s="3">
        <v>0</v>
      </c>
      <c r="AL371" s="2"/>
      <c r="AM371" s="2"/>
      <c r="AN371" s="2"/>
      <c r="AO371" s="2"/>
      <c r="AP371" s="2"/>
    </row>
    <row r="372" spans="2:42" x14ac:dyDescent="0.35">
      <c r="C372" s="2"/>
      <c r="D372" s="2"/>
      <c r="E372" s="2"/>
      <c r="F372" s="2"/>
      <c r="G372" s="2"/>
      <c r="J372" s="2"/>
      <c r="K372" s="2"/>
      <c r="L372" s="2"/>
      <c r="M372" s="2"/>
      <c r="N372" s="2"/>
      <c r="Q372" s="2"/>
      <c r="R372" s="2"/>
      <c r="S372" s="2"/>
      <c r="T372" s="2"/>
      <c r="U372" s="2"/>
      <c r="X372" s="2"/>
      <c r="Y372" s="2"/>
      <c r="Z372" s="2"/>
      <c r="AA372" s="2"/>
      <c r="AB372" s="2"/>
      <c r="AE372" s="2"/>
      <c r="AF372" s="2"/>
      <c r="AG372" s="2"/>
      <c r="AH372" s="2"/>
      <c r="AI372" s="2"/>
      <c r="AJ372" s="3">
        <v>0</v>
      </c>
      <c r="AL372" s="2"/>
      <c r="AM372" s="2"/>
      <c r="AN372" s="2"/>
      <c r="AO372" s="2"/>
      <c r="AP372" s="2"/>
    </row>
    <row r="373" spans="2:42" x14ac:dyDescent="0.35">
      <c r="B373" s="11" t="s">
        <v>43</v>
      </c>
      <c r="C373" s="4">
        <v>684296037.2597369</v>
      </c>
      <c r="D373" s="4">
        <v>66195101.817955598</v>
      </c>
      <c r="E373" s="4">
        <v>16470945.580000008</v>
      </c>
      <c r="F373" s="4">
        <v>-19844502.422641974</v>
      </c>
      <c r="G373" s="4">
        <v>747117582.23505056</v>
      </c>
      <c r="I373" s="11" t="s">
        <v>43</v>
      </c>
      <c r="J373" s="4">
        <v>195723419.53544003</v>
      </c>
      <c r="K373" s="4">
        <v>23861653.991413001</v>
      </c>
      <c r="L373" s="4">
        <v>5553701.2100000009</v>
      </c>
      <c r="M373" s="4">
        <v>-4589742.0289931875</v>
      </c>
      <c r="N373" s="4">
        <v>220549032.70785984</v>
      </c>
      <c r="P373" s="11" t="s">
        <v>43</v>
      </c>
      <c r="Q373" s="4">
        <v>146957219.29242</v>
      </c>
      <c r="R373" s="4">
        <v>13988531.106478799</v>
      </c>
      <c r="S373" s="4">
        <v>2859169.7700000061</v>
      </c>
      <c r="T373" s="4">
        <v>-3237457.3035577871</v>
      </c>
      <c r="U373" s="4">
        <v>160567462.86534104</v>
      </c>
      <c r="W373" s="11" t="s">
        <v>43</v>
      </c>
      <c r="X373" s="4">
        <v>342680638.82786</v>
      </c>
      <c r="Y373" s="4">
        <v>37850185.0978918</v>
      </c>
      <c r="Z373" s="4">
        <v>8412870.9800000098</v>
      </c>
      <c r="AA373" s="4">
        <v>-7827199.3325509755</v>
      </c>
      <c r="AB373" s="4">
        <v>381116495.57320082</v>
      </c>
      <c r="AD373" s="11" t="s">
        <v>43</v>
      </c>
      <c r="AE373" s="4">
        <v>102205737.83042419</v>
      </c>
      <c r="AF373" s="4">
        <v>19916825.749259599</v>
      </c>
      <c r="AG373" s="4">
        <v>4362928.91</v>
      </c>
      <c r="AH373" s="4">
        <v>-3642564.7222917266</v>
      </c>
      <c r="AI373" s="4">
        <v>122842927.76739205</v>
      </c>
      <c r="AJ373" s="3">
        <v>503959423.34059286</v>
      </c>
      <c r="AK373" s="11" t="s">
        <v>43</v>
      </c>
      <c r="AL373" s="4">
        <v>239409660.60145307</v>
      </c>
      <c r="AM373" s="4">
        <v>8428090.9708041996</v>
      </c>
      <c r="AN373" s="4">
        <v>3695145.6900000018</v>
      </c>
      <c r="AO373" s="4">
        <v>-8374738.3677992681</v>
      </c>
      <c r="AP373" s="4">
        <v>243158158.894458</v>
      </c>
    </row>
    <row r="374" spans="2:42" x14ac:dyDescent="0.35">
      <c r="B374" t="s">
        <v>6</v>
      </c>
      <c r="C374" s="2">
        <v>-196877118.34999996</v>
      </c>
      <c r="D374" s="2">
        <v>-15507306</v>
      </c>
      <c r="E374" s="2">
        <v>-2689556.27</v>
      </c>
      <c r="F374" s="2">
        <v>-3260657.4099999997</v>
      </c>
      <c r="G374" s="2">
        <v>-218334638.02999997</v>
      </c>
      <c r="I374" t="s">
        <v>6</v>
      </c>
      <c r="J374" s="2">
        <v>-53075267.620000012</v>
      </c>
      <c r="K374" s="2">
        <v>-5246716</v>
      </c>
      <c r="L374" s="2">
        <v>-1082436.73</v>
      </c>
      <c r="M374" s="2">
        <v>-734133.05999999994</v>
      </c>
      <c r="N374" s="2">
        <v>-60138553.410000011</v>
      </c>
      <c r="P374" t="s">
        <v>6</v>
      </c>
      <c r="Q374" s="2">
        <v>-47403481.949999996</v>
      </c>
      <c r="R374" s="2">
        <v>-3870665</v>
      </c>
      <c r="S374" s="2">
        <v>-507044.09999999986</v>
      </c>
      <c r="T374" s="2">
        <v>-646957.93000000028</v>
      </c>
      <c r="U374" s="2">
        <v>-52428148.979999997</v>
      </c>
      <c r="W374" t="s">
        <v>6</v>
      </c>
      <c r="X374" s="2">
        <v>-100478749.57000001</v>
      </c>
      <c r="Y374" s="2">
        <v>-9117381</v>
      </c>
      <c r="Z374" s="2">
        <v>-1589480.8299999998</v>
      </c>
      <c r="AA374" s="2">
        <v>-1381090.9900000002</v>
      </c>
      <c r="AB374" s="2">
        <v>-112566702.39</v>
      </c>
      <c r="AD374" t="s">
        <v>6</v>
      </c>
      <c r="AE374" s="2">
        <v>-36373440.190000013</v>
      </c>
      <c r="AF374" s="2">
        <v>-3026470</v>
      </c>
      <c r="AG374" s="2">
        <v>-760483.95</v>
      </c>
      <c r="AH374" s="2">
        <v>-685755.11999999988</v>
      </c>
      <c r="AI374" s="2">
        <v>-40846149.260000013</v>
      </c>
      <c r="AJ374" s="3">
        <v>-153412851.65000001</v>
      </c>
      <c r="AK374" t="s">
        <v>6</v>
      </c>
      <c r="AL374" s="2">
        <v>-60024928.589999959</v>
      </c>
      <c r="AM374" s="2">
        <v>-3363455</v>
      </c>
      <c r="AN374" s="2">
        <v>-339591.49000000022</v>
      </c>
      <c r="AO374" s="2">
        <v>-1193811.2999999998</v>
      </c>
      <c r="AP374" s="2">
        <v>-64921786.379999958</v>
      </c>
    </row>
    <row r="375" spans="2:42" x14ac:dyDescent="0.35">
      <c r="B375" s="11" t="s">
        <v>7</v>
      </c>
      <c r="C375" s="4">
        <v>487418918.90973693</v>
      </c>
      <c r="D375" s="4">
        <v>50687795.817955598</v>
      </c>
      <c r="E375" s="4">
        <v>13781389.310000008</v>
      </c>
      <c r="F375" s="4">
        <v>-23105159.832641974</v>
      </c>
      <c r="G375" s="4">
        <v>528782944.20505059</v>
      </c>
      <c r="I375" s="11" t="s">
        <v>7</v>
      </c>
      <c r="J375" s="4">
        <v>142648151.91544002</v>
      </c>
      <c r="K375" s="4">
        <v>18614937.991413001</v>
      </c>
      <c r="L375" s="4">
        <v>4471264.4800000004</v>
      </c>
      <c r="M375" s="4">
        <v>-5323875.0889931871</v>
      </c>
      <c r="N375" s="4">
        <v>160410479.29785982</v>
      </c>
      <c r="P375" s="11" t="s">
        <v>7</v>
      </c>
      <c r="Q375" s="4">
        <v>99553737.342420012</v>
      </c>
      <c r="R375" s="4">
        <v>10117866.106478799</v>
      </c>
      <c r="S375" s="4">
        <v>2352125.6700000064</v>
      </c>
      <c r="T375" s="4">
        <v>-3884415.2335577873</v>
      </c>
      <c r="U375" s="4">
        <v>108139313.88534102</v>
      </c>
      <c r="W375" s="11" t="s">
        <v>7</v>
      </c>
      <c r="X375" s="4">
        <v>242201889.25786</v>
      </c>
      <c r="Y375" s="4">
        <v>28732804.0978918</v>
      </c>
      <c r="Z375" s="4">
        <v>6823390.1500000097</v>
      </c>
      <c r="AA375" s="4">
        <v>-9208290.3225509748</v>
      </c>
      <c r="AB375" s="4">
        <v>268549793.1832009</v>
      </c>
      <c r="AD375" s="11" t="s">
        <v>7</v>
      </c>
      <c r="AE375" s="4">
        <v>65832297.640424177</v>
      </c>
      <c r="AF375" s="4">
        <v>16890355.749259599</v>
      </c>
      <c r="AG375" s="4">
        <v>3602444.96</v>
      </c>
      <c r="AH375" s="4">
        <v>-4328319.8422917267</v>
      </c>
      <c r="AI375" s="4">
        <v>81996778.507392049</v>
      </c>
      <c r="AJ375" s="3">
        <v>350546571.69059294</v>
      </c>
      <c r="AK375" s="11" t="s">
        <v>7</v>
      </c>
      <c r="AL375" s="4">
        <v>179384732.01145309</v>
      </c>
      <c r="AM375" s="4">
        <v>5064635.9708041996</v>
      </c>
      <c r="AN375" s="4">
        <v>3355554.2000000016</v>
      </c>
      <c r="AO375" s="4">
        <v>-9568549.6677992679</v>
      </c>
      <c r="AP375" s="4">
        <v>178236372.51445803</v>
      </c>
    </row>
    <row r="376" spans="2:42" x14ac:dyDescent="0.35">
      <c r="B376" t="s">
        <v>8</v>
      </c>
      <c r="C376" s="2">
        <v>-7109801.9725583484</v>
      </c>
      <c r="D376" s="2">
        <v>-8504356.8399999999</v>
      </c>
      <c r="E376" s="2">
        <v>-2451486.0660000006</v>
      </c>
      <c r="F376" s="2">
        <v>-3937.0465319995656</v>
      </c>
      <c r="G376" s="2">
        <v>-18069581.92509035</v>
      </c>
      <c r="I376" t="s">
        <v>8</v>
      </c>
      <c r="J376" s="2">
        <v>-2058294.3542609203</v>
      </c>
      <c r="K376" s="2">
        <v>-3912001.5512999999</v>
      </c>
      <c r="L376" s="2">
        <v>-893652.89599999983</v>
      </c>
      <c r="M376" s="2">
        <v>-1055.9577639998838</v>
      </c>
      <c r="N376" s="2">
        <v>-6865004.7593249194</v>
      </c>
      <c r="P376" t="s">
        <v>8</v>
      </c>
      <c r="Q376" s="2">
        <v>-2418898.5411129715</v>
      </c>
      <c r="R376" s="2">
        <v>-1004488.2526999996</v>
      </c>
      <c r="S376" s="2">
        <v>-336455.22200000065</v>
      </c>
      <c r="T376" s="2">
        <v>-932.65163199989661</v>
      </c>
      <c r="U376" s="2">
        <v>-3760774.6674449714</v>
      </c>
      <c r="W376" t="s">
        <v>8</v>
      </c>
      <c r="X376" s="2">
        <v>-4477192.895373892</v>
      </c>
      <c r="Y376" s="2">
        <v>-4916489.8039999995</v>
      </c>
      <c r="Z376" s="2">
        <v>-1230108.1180000005</v>
      </c>
      <c r="AA376" s="2">
        <v>-1988.6093959997804</v>
      </c>
      <c r="AB376" s="2">
        <v>-10625779.426769892</v>
      </c>
      <c r="AD376" t="s">
        <v>8</v>
      </c>
      <c r="AE376" s="2">
        <v>-36546.765992394648</v>
      </c>
      <c r="AF376" s="2">
        <v>-3069766.7512000008</v>
      </c>
      <c r="AG376" s="2">
        <v>-636052.77400000114</v>
      </c>
      <c r="AH376" s="2">
        <v>-981.57480399989322</v>
      </c>
      <c r="AI376" s="2">
        <v>-3743347.8659963966</v>
      </c>
      <c r="AJ376" s="3">
        <v>-14369127.292766288</v>
      </c>
      <c r="AK376" t="s">
        <v>8</v>
      </c>
      <c r="AL376" s="2">
        <v>-2596062.3111920618</v>
      </c>
      <c r="AM376" s="2">
        <v>-518100.28479999956</v>
      </c>
      <c r="AN376" s="2">
        <v>-585325.17399999895</v>
      </c>
      <c r="AO376" s="2">
        <v>-966.86233199989169</v>
      </c>
      <c r="AP376" s="2">
        <v>-3700454.63232406</v>
      </c>
    </row>
    <row r="377" spans="2:42" x14ac:dyDescent="0.35">
      <c r="B377" s="11" t="s">
        <v>161</v>
      </c>
      <c r="C377" s="4">
        <v>480309116.93717861</v>
      </c>
      <c r="D377" s="4">
        <v>42183438.977955595</v>
      </c>
      <c r="E377" s="4">
        <v>11329903.244000006</v>
      </c>
      <c r="F377" s="4">
        <v>-23109096.879173975</v>
      </c>
      <c r="G377" s="4">
        <v>510713362.27996022</v>
      </c>
      <c r="I377" s="11" t="s">
        <v>161</v>
      </c>
      <c r="J377" s="4">
        <v>140589857.5611791</v>
      </c>
      <c r="K377" s="4">
        <v>14702936.440113001</v>
      </c>
      <c r="L377" s="4">
        <v>3577611.5840000007</v>
      </c>
      <c r="M377" s="4">
        <v>-5324931.0467571868</v>
      </c>
      <c r="N377" s="4">
        <v>153545474.53853491</v>
      </c>
      <c r="P377" s="11" t="s">
        <v>161</v>
      </c>
      <c r="Q377" s="4">
        <v>97134838.801307037</v>
      </c>
      <c r="R377" s="4">
        <v>9113377.8537788</v>
      </c>
      <c r="S377" s="4">
        <v>2015670.4480000059</v>
      </c>
      <c r="T377" s="4">
        <v>-3885347.885189787</v>
      </c>
      <c r="U377" s="4">
        <v>104378539.21789604</v>
      </c>
      <c r="W377" s="11" t="s">
        <v>161</v>
      </c>
      <c r="X377" s="4">
        <v>237724696.36248612</v>
      </c>
      <c r="Y377" s="4">
        <v>23816314.293891802</v>
      </c>
      <c r="Z377" s="4">
        <v>5593282.032000009</v>
      </c>
      <c r="AA377" s="4">
        <v>-9210278.9319469742</v>
      </c>
      <c r="AB377" s="4">
        <v>257924013.75643095</v>
      </c>
      <c r="AD377" s="11" t="s">
        <v>161</v>
      </c>
      <c r="AE377" s="4">
        <v>65795750.874431781</v>
      </c>
      <c r="AF377" s="4">
        <v>13820588.998059597</v>
      </c>
      <c r="AG377" s="4">
        <v>2966392.1859999988</v>
      </c>
      <c r="AH377" s="4">
        <v>-4329301.4170957264</v>
      </c>
      <c r="AI377" s="4">
        <v>78253430.641395658</v>
      </c>
      <c r="AJ377" s="3">
        <v>336177444.39782661</v>
      </c>
      <c r="AK377" s="11" t="s">
        <v>9</v>
      </c>
      <c r="AL377" s="4">
        <v>176788669.70026103</v>
      </c>
      <c r="AM377" s="4">
        <v>4546535.6860042</v>
      </c>
      <c r="AN377" s="4">
        <v>2770229.0260000024</v>
      </c>
      <c r="AO377" s="4">
        <v>-9569516.5301312674</v>
      </c>
      <c r="AP377" s="4">
        <v>174535917.88213393</v>
      </c>
    </row>
    <row r="378" spans="2:42" x14ac:dyDescent="0.35">
      <c r="C378" s="3">
        <v>-5.9604644775390625E-7</v>
      </c>
      <c r="D378" s="3">
        <v>0</v>
      </c>
      <c r="E378" s="3">
        <v>0</v>
      </c>
      <c r="F378" s="3">
        <v>0</v>
      </c>
      <c r="G378" s="3">
        <v>-5.9604644775390625E-7</v>
      </c>
      <c r="Q378" s="3">
        <v>0</v>
      </c>
      <c r="R378" s="3">
        <v>0</v>
      </c>
      <c r="S378" s="3">
        <v>2.3283064365386963E-9</v>
      </c>
      <c r="T378" s="3">
        <v>0</v>
      </c>
      <c r="U378" s="3">
        <v>0</v>
      </c>
      <c r="X378" s="3">
        <v>0</v>
      </c>
      <c r="Y378" s="3">
        <v>0</v>
      </c>
      <c r="Z378" s="3">
        <v>0</v>
      </c>
      <c r="AA378" s="3">
        <v>0</v>
      </c>
      <c r="AB378" s="3">
        <v>0</v>
      </c>
      <c r="AE378" s="3">
        <v>0</v>
      </c>
      <c r="AF378" s="3">
        <v>0</v>
      </c>
      <c r="AG378" s="3">
        <v>0</v>
      </c>
      <c r="AH378" s="3">
        <v>0</v>
      </c>
      <c r="AI378" s="3">
        <v>0</v>
      </c>
      <c r="AL378" s="3">
        <v>-3.2782554626464844E-7</v>
      </c>
      <c r="AM378" s="3">
        <v>0</v>
      </c>
      <c r="AN378" s="3">
        <v>0</v>
      </c>
      <c r="AO378" s="3">
        <v>0</v>
      </c>
      <c r="AP378" s="3">
        <v>-2.9802322387695313E-7</v>
      </c>
    </row>
    <row r="381" spans="2:42" ht="18.5" x14ac:dyDescent="0.35">
      <c r="B381" s="303" t="s">
        <v>205</v>
      </c>
      <c r="C381" s="303"/>
      <c r="D381" s="303"/>
      <c r="E381" s="303"/>
      <c r="F381" s="303"/>
      <c r="G381" s="303"/>
      <c r="I381" s="303" t="s">
        <v>193</v>
      </c>
      <c r="J381" s="303"/>
      <c r="K381" s="303"/>
      <c r="L381" s="303"/>
      <c r="M381" s="303"/>
      <c r="N381" s="303"/>
      <c r="P381" s="303" t="s">
        <v>197</v>
      </c>
      <c r="Q381" s="303"/>
      <c r="R381" s="303"/>
      <c r="S381" s="303"/>
      <c r="T381" s="303"/>
      <c r="U381" s="303"/>
      <c r="W381" s="303" t="s">
        <v>199</v>
      </c>
      <c r="X381" s="303"/>
      <c r="Y381" s="303"/>
      <c r="Z381" s="303"/>
      <c r="AA381" s="303"/>
      <c r="AB381" s="303"/>
      <c r="AD381" s="303" t="s">
        <v>202</v>
      </c>
      <c r="AE381" s="303"/>
      <c r="AF381" s="303"/>
      <c r="AG381" s="303"/>
      <c r="AH381" s="303"/>
      <c r="AI381" s="303"/>
      <c r="AK381" s="22" t="s">
        <v>208</v>
      </c>
      <c r="AL381" s="22"/>
      <c r="AM381" s="22"/>
      <c r="AN381" s="22"/>
      <c r="AO381" s="22"/>
      <c r="AP381" s="22"/>
    </row>
    <row r="382" spans="2:42" ht="15.5" x14ac:dyDescent="0.35">
      <c r="B382" s="8"/>
      <c r="C382" s="8" t="s">
        <v>10</v>
      </c>
      <c r="D382" s="8" t="s">
        <v>69</v>
      </c>
      <c r="E382" s="8" t="s">
        <v>70</v>
      </c>
      <c r="F382" s="8" t="s">
        <v>44</v>
      </c>
      <c r="G382" s="9" t="s">
        <v>45</v>
      </c>
      <c r="I382" s="8"/>
      <c r="J382" s="8" t="s">
        <v>10</v>
      </c>
      <c r="K382" s="8" t="s">
        <v>69</v>
      </c>
      <c r="L382" s="8" t="s">
        <v>70</v>
      </c>
      <c r="M382" s="8" t="s">
        <v>44</v>
      </c>
      <c r="N382" s="9" t="s">
        <v>45</v>
      </c>
      <c r="P382" s="8"/>
      <c r="Q382" s="8" t="s">
        <v>10</v>
      </c>
      <c r="R382" s="8" t="s">
        <v>69</v>
      </c>
      <c r="S382" s="8" t="s">
        <v>70</v>
      </c>
      <c r="T382" s="8" t="s">
        <v>44</v>
      </c>
      <c r="U382" s="9" t="s">
        <v>45</v>
      </c>
      <c r="W382" s="8"/>
      <c r="X382" s="8" t="s">
        <v>10</v>
      </c>
      <c r="Y382" s="8" t="s">
        <v>69</v>
      </c>
      <c r="Z382" s="8" t="s">
        <v>70</v>
      </c>
      <c r="AA382" s="8" t="s">
        <v>44</v>
      </c>
      <c r="AB382" s="9" t="s">
        <v>45</v>
      </c>
      <c r="AD382" s="8"/>
      <c r="AE382" s="8" t="s">
        <v>10</v>
      </c>
      <c r="AF382" s="8" t="s">
        <v>69</v>
      </c>
      <c r="AG382" s="8" t="s">
        <v>70</v>
      </c>
      <c r="AH382" s="8" t="s">
        <v>44</v>
      </c>
      <c r="AI382" s="9" t="s">
        <v>45</v>
      </c>
      <c r="AK382" s="24"/>
      <c r="AL382" s="24" t="s">
        <v>10</v>
      </c>
      <c r="AM382" s="24" t="s">
        <v>69</v>
      </c>
      <c r="AN382" s="24" t="s">
        <v>70</v>
      </c>
      <c r="AO382" s="24" t="s">
        <v>44</v>
      </c>
      <c r="AP382" s="9" t="s">
        <v>45</v>
      </c>
    </row>
    <row r="383" spans="2:42" x14ac:dyDescent="0.35">
      <c r="B383" t="s">
        <v>85</v>
      </c>
      <c r="C383" s="2">
        <v>1005772251.0400002</v>
      </c>
      <c r="D383" s="2">
        <v>0</v>
      </c>
      <c r="E383" s="2">
        <v>0</v>
      </c>
      <c r="F383" s="2">
        <v>0</v>
      </c>
      <c r="G383" s="2">
        <v>1005772251.0400002</v>
      </c>
      <c r="I383" t="s">
        <v>85</v>
      </c>
      <c r="J383" s="2">
        <v>269827495.06</v>
      </c>
      <c r="K383" s="2">
        <v>0</v>
      </c>
      <c r="L383" s="2">
        <v>0</v>
      </c>
      <c r="M383" s="2">
        <v>0</v>
      </c>
      <c r="N383" s="2">
        <v>269827495.06</v>
      </c>
      <c r="P383" t="s">
        <v>85</v>
      </c>
      <c r="Q383" s="2">
        <v>295023015.51000005</v>
      </c>
      <c r="R383" s="2">
        <v>0</v>
      </c>
      <c r="S383" s="2">
        <v>0</v>
      </c>
      <c r="T383" s="2">
        <v>0</v>
      </c>
      <c r="U383" s="2">
        <v>295023015.51000005</v>
      </c>
      <c r="W383" t="s">
        <v>85</v>
      </c>
      <c r="X383" s="2">
        <v>564850510.57000005</v>
      </c>
      <c r="Y383" s="2">
        <v>0</v>
      </c>
      <c r="Z383" s="2">
        <v>0</v>
      </c>
      <c r="AA383" s="2">
        <v>0</v>
      </c>
      <c r="AB383" s="2">
        <v>564850510.57000005</v>
      </c>
      <c r="AD383" t="s">
        <v>85</v>
      </c>
      <c r="AE383" s="2">
        <v>271177682.5</v>
      </c>
      <c r="AF383" s="2">
        <v>0</v>
      </c>
      <c r="AG383" s="2">
        <v>0</v>
      </c>
      <c r="AH383" s="2">
        <v>0</v>
      </c>
      <c r="AI383" s="2">
        <v>271177682.5</v>
      </c>
      <c r="AK383" t="s">
        <v>85</v>
      </c>
      <c r="AL383" s="2">
        <v>169744057.97000015</v>
      </c>
      <c r="AM383" s="2">
        <v>0</v>
      </c>
      <c r="AN383" s="2">
        <v>0</v>
      </c>
      <c r="AO383" s="2">
        <v>0</v>
      </c>
      <c r="AP383" s="2">
        <v>169744057.97000015</v>
      </c>
    </row>
    <row r="384" spans="2:42" x14ac:dyDescent="0.35">
      <c r="B384" t="s">
        <v>19</v>
      </c>
      <c r="C384" s="2">
        <v>326240536.33796</v>
      </c>
      <c r="D384" s="2">
        <v>0</v>
      </c>
      <c r="E384" s="2">
        <v>0</v>
      </c>
      <c r="F384" s="2">
        <v>0</v>
      </c>
      <c r="G384" s="2">
        <v>326240536.33796</v>
      </c>
      <c r="I384" t="s">
        <v>19</v>
      </c>
      <c r="J384" s="2">
        <v>68678466.380419999</v>
      </c>
      <c r="K384" s="2">
        <v>0</v>
      </c>
      <c r="L384" s="2">
        <v>0</v>
      </c>
      <c r="M384" s="2">
        <v>0</v>
      </c>
      <c r="N384" s="2">
        <v>68678466.380419999</v>
      </c>
      <c r="P384" t="s">
        <v>19</v>
      </c>
      <c r="Q384" s="2">
        <v>79102244.114439964</v>
      </c>
      <c r="R384" s="2">
        <v>0</v>
      </c>
      <c r="S384" s="2">
        <v>0</v>
      </c>
      <c r="T384" s="2">
        <v>0</v>
      </c>
      <c r="U384" s="2">
        <v>79102244.114439964</v>
      </c>
      <c r="W384" t="s">
        <v>19</v>
      </c>
      <c r="X384" s="2">
        <v>147780710.49485996</v>
      </c>
      <c r="Y384" s="2">
        <v>0</v>
      </c>
      <c r="Z384" s="2">
        <v>0</v>
      </c>
      <c r="AA384" s="2">
        <v>0</v>
      </c>
      <c r="AB384" s="2">
        <v>147780710.49485996</v>
      </c>
      <c r="AD384" t="s">
        <v>19</v>
      </c>
      <c r="AE384" s="2">
        <v>84259569.398080051</v>
      </c>
      <c r="AF384" s="2">
        <v>0</v>
      </c>
      <c r="AG384" s="2">
        <v>0</v>
      </c>
      <c r="AH384" s="2">
        <v>0</v>
      </c>
      <c r="AI384" s="2">
        <v>84259569.398080051</v>
      </c>
      <c r="AK384" t="s">
        <v>19</v>
      </c>
      <c r="AL384" s="2">
        <v>94200256.44501999</v>
      </c>
      <c r="AM384" s="2">
        <v>0</v>
      </c>
      <c r="AN384" s="2">
        <v>0</v>
      </c>
      <c r="AO384" s="2">
        <v>0</v>
      </c>
      <c r="AP384" s="2">
        <v>94200256.44501999</v>
      </c>
    </row>
    <row r="385" spans="2:42" x14ac:dyDescent="0.35">
      <c r="B385" t="s">
        <v>86</v>
      </c>
      <c r="C385" s="2">
        <v>8569467.8900000136</v>
      </c>
      <c r="D385" s="2">
        <v>0</v>
      </c>
      <c r="E385" s="2">
        <v>0</v>
      </c>
      <c r="F385" s="2">
        <v>0</v>
      </c>
      <c r="G385" s="2">
        <v>8569467.8900000136</v>
      </c>
      <c r="I385" t="s">
        <v>86</v>
      </c>
      <c r="J385" s="2">
        <v>-2943047.1999999881</v>
      </c>
      <c r="K385" s="2">
        <v>0</v>
      </c>
      <c r="L385" s="2">
        <v>0</v>
      </c>
      <c r="M385" s="2">
        <v>0</v>
      </c>
      <c r="N385" s="2">
        <v>-2943047.1999999881</v>
      </c>
      <c r="P385" t="s">
        <v>86</v>
      </c>
      <c r="Q385" s="2">
        <v>4035316.379999999</v>
      </c>
      <c r="R385" s="2">
        <v>0</v>
      </c>
      <c r="S385" s="2">
        <v>0</v>
      </c>
      <c r="T385" s="2">
        <v>0</v>
      </c>
      <c r="U385" s="2">
        <v>4035316.379999999</v>
      </c>
      <c r="W385" t="s">
        <v>86</v>
      </c>
      <c r="X385" s="2">
        <v>1092269.1800000109</v>
      </c>
      <c r="Y385" s="2">
        <v>0</v>
      </c>
      <c r="Z385" s="2">
        <v>0</v>
      </c>
      <c r="AA385" s="2">
        <v>0</v>
      </c>
      <c r="AB385" s="2">
        <v>1092269.1800000109</v>
      </c>
      <c r="AD385" t="s">
        <v>86</v>
      </c>
      <c r="AE385" s="2">
        <v>3131917.9899999667</v>
      </c>
      <c r="AF385" s="2">
        <v>0</v>
      </c>
      <c r="AG385" s="2">
        <v>0</v>
      </c>
      <c r="AH385" s="2">
        <v>0</v>
      </c>
      <c r="AI385" s="2">
        <v>3131917.9899999667</v>
      </c>
      <c r="AK385" t="s">
        <v>86</v>
      </c>
      <c r="AL385" s="2">
        <v>4345280.7200000361</v>
      </c>
      <c r="AM385" s="2">
        <v>0</v>
      </c>
      <c r="AN385" s="2">
        <v>0</v>
      </c>
      <c r="AO385" s="2">
        <v>0</v>
      </c>
      <c r="AP385" s="2">
        <v>4345280.7200000361</v>
      </c>
    </row>
    <row r="386" spans="2:42" x14ac:dyDescent="0.35">
      <c r="B386" t="s">
        <v>87</v>
      </c>
      <c r="C386" s="2">
        <v>-331235780.84000003</v>
      </c>
      <c r="D386" s="2">
        <v>0</v>
      </c>
      <c r="E386" s="2">
        <v>0</v>
      </c>
      <c r="F386" s="2">
        <v>0</v>
      </c>
      <c r="G386" s="2">
        <v>-331235780.84000003</v>
      </c>
      <c r="I386" t="s">
        <v>87</v>
      </c>
      <c r="J386" s="2">
        <v>-60229089.18</v>
      </c>
      <c r="K386" s="2">
        <v>0</v>
      </c>
      <c r="L386" s="2">
        <v>0</v>
      </c>
      <c r="M386" s="2">
        <v>0</v>
      </c>
      <c r="N386" s="2">
        <v>-60229089.18</v>
      </c>
      <c r="P386" t="s">
        <v>87</v>
      </c>
      <c r="Q386" s="2">
        <v>-81615381.180000007</v>
      </c>
      <c r="R386" s="2">
        <v>0</v>
      </c>
      <c r="S386" s="2">
        <v>0</v>
      </c>
      <c r="T386" s="2">
        <v>0</v>
      </c>
      <c r="U386" s="2">
        <v>-81615381.180000007</v>
      </c>
      <c r="W386" t="s">
        <v>87</v>
      </c>
      <c r="X386" s="2">
        <v>-141844470.36000001</v>
      </c>
      <c r="Y386" s="2">
        <v>0</v>
      </c>
      <c r="Z386" s="2">
        <v>0</v>
      </c>
      <c r="AA386" s="2">
        <v>0</v>
      </c>
      <c r="AB386" s="2">
        <v>-141844470.36000001</v>
      </c>
      <c r="AD386" t="s">
        <v>87</v>
      </c>
      <c r="AE386" s="2">
        <v>-108671156.77999997</v>
      </c>
      <c r="AF386" s="2">
        <v>0</v>
      </c>
      <c r="AG386" s="2">
        <v>0</v>
      </c>
      <c r="AH386" s="2">
        <v>0</v>
      </c>
      <c r="AI386" s="2">
        <v>-108671156.77999997</v>
      </c>
      <c r="AK386" t="s">
        <v>87</v>
      </c>
      <c r="AL386" s="2">
        <v>-80720153.700000048</v>
      </c>
      <c r="AM386" s="2">
        <v>0</v>
      </c>
      <c r="AN386" s="2">
        <v>0</v>
      </c>
      <c r="AO386" s="2">
        <v>0</v>
      </c>
      <c r="AP386" s="2">
        <v>-80720153.700000048</v>
      </c>
    </row>
    <row r="387" spans="2:42" x14ac:dyDescent="0.35">
      <c r="B387" s="19" t="s">
        <v>18</v>
      </c>
      <c r="C387" s="20">
        <v>1009346474.4279603</v>
      </c>
      <c r="D387" s="20">
        <v>0</v>
      </c>
      <c r="E387" s="20">
        <v>0</v>
      </c>
      <c r="F387" s="20">
        <v>0</v>
      </c>
      <c r="G387" s="20">
        <v>1009346474.4279603</v>
      </c>
      <c r="I387" s="19" t="s">
        <v>18</v>
      </c>
      <c r="J387" s="20">
        <v>275333825.06042004</v>
      </c>
      <c r="K387" s="20">
        <v>0</v>
      </c>
      <c r="L387" s="20">
        <v>0</v>
      </c>
      <c r="M387" s="20">
        <v>0</v>
      </c>
      <c r="N387" s="20">
        <v>275333825.06042004</v>
      </c>
      <c r="P387" s="19" t="s">
        <v>18</v>
      </c>
      <c r="Q387" s="20">
        <v>296545194.82444</v>
      </c>
      <c r="R387" s="20">
        <v>0</v>
      </c>
      <c r="S387" s="20">
        <v>0</v>
      </c>
      <c r="T387" s="20">
        <v>0</v>
      </c>
      <c r="U387" s="20">
        <v>296545194.82444</v>
      </c>
      <c r="W387" s="19" t="s">
        <v>18</v>
      </c>
      <c r="X387" s="20">
        <v>571879019.88486004</v>
      </c>
      <c r="Y387" s="20">
        <v>0</v>
      </c>
      <c r="Z387" s="20">
        <v>0</v>
      </c>
      <c r="AA387" s="20">
        <v>0</v>
      </c>
      <c r="AB387" s="20">
        <v>571879019.88486004</v>
      </c>
      <c r="AD387" s="19" t="s">
        <v>18</v>
      </c>
      <c r="AE387" s="20">
        <v>249898013.10808003</v>
      </c>
      <c r="AF387" s="20">
        <v>0</v>
      </c>
      <c r="AG387" s="20">
        <v>0</v>
      </c>
      <c r="AH387" s="20">
        <v>0</v>
      </c>
      <c r="AI387" s="20">
        <v>249898013.10808003</v>
      </c>
      <c r="AK387" s="19" t="s">
        <v>18</v>
      </c>
      <c r="AL387" s="20">
        <v>187569441.43502012</v>
      </c>
      <c r="AM387" s="20">
        <v>0</v>
      </c>
      <c r="AN387" s="20">
        <v>0</v>
      </c>
      <c r="AO387" s="20">
        <v>0</v>
      </c>
      <c r="AP387" s="20">
        <v>187569441.43502012</v>
      </c>
    </row>
    <row r="388" spans="2:42" x14ac:dyDescent="0.35">
      <c r="C388" s="2"/>
      <c r="D388" s="2"/>
      <c r="E388" s="2"/>
      <c r="F388" s="2"/>
      <c r="G388" s="2"/>
      <c r="J388" s="2"/>
      <c r="K388" s="2"/>
      <c r="L388" s="2"/>
      <c r="M388" s="2"/>
      <c r="N388" s="2"/>
      <c r="Q388" s="2"/>
      <c r="R388" s="2"/>
      <c r="S388" s="2"/>
      <c r="T388" s="2"/>
      <c r="U388" s="2"/>
      <c r="X388" s="2"/>
      <c r="Y388" s="2"/>
      <c r="Z388" s="2"/>
      <c r="AA388" s="2"/>
      <c r="AB388" s="2"/>
      <c r="AE388" s="2"/>
      <c r="AF388" s="2"/>
      <c r="AG388" s="2"/>
      <c r="AH388" s="2"/>
      <c r="AI388" s="2"/>
      <c r="AL388" s="2"/>
      <c r="AM388" s="2"/>
      <c r="AN388" s="2"/>
      <c r="AO388" s="2"/>
      <c r="AP388" s="2"/>
    </row>
    <row r="389" spans="2:42" x14ac:dyDescent="0.35">
      <c r="C389" s="2"/>
      <c r="D389" s="2"/>
      <c r="E389" s="2"/>
      <c r="F389" s="2"/>
      <c r="G389" s="2"/>
      <c r="J389" s="2"/>
      <c r="K389" s="2"/>
      <c r="L389" s="2"/>
      <c r="M389" s="2"/>
      <c r="N389" s="2"/>
      <c r="Q389" s="2"/>
      <c r="R389" s="2"/>
      <c r="S389" s="2"/>
      <c r="T389" s="2"/>
      <c r="U389" s="2"/>
      <c r="X389" s="2"/>
      <c r="Y389" s="2"/>
      <c r="Z389" s="2"/>
      <c r="AA389" s="2"/>
      <c r="AB389" s="2"/>
      <c r="AE389" s="2"/>
      <c r="AF389" s="2"/>
      <c r="AG389" s="2"/>
      <c r="AH389" s="2"/>
      <c r="AI389" s="2"/>
      <c r="AL389" s="2"/>
      <c r="AM389" s="2"/>
      <c r="AN389" s="2"/>
      <c r="AO389" s="2"/>
      <c r="AP389" s="2"/>
    </row>
    <row r="390" spans="2:42" x14ac:dyDescent="0.35">
      <c r="B390" t="s">
        <v>12</v>
      </c>
      <c r="C390" s="2">
        <v>1388051142.0000002</v>
      </c>
      <c r="D390" s="2">
        <v>0</v>
      </c>
      <c r="E390" s="2">
        <v>0</v>
      </c>
      <c r="F390" s="2">
        <v>0</v>
      </c>
      <c r="G390" s="2">
        <v>1388051142.0000002</v>
      </c>
      <c r="I390" t="s">
        <v>12</v>
      </c>
      <c r="J390" s="2">
        <v>285485570.03999996</v>
      </c>
      <c r="K390" s="2">
        <v>0</v>
      </c>
      <c r="L390" s="2">
        <v>0</v>
      </c>
      <c r="M390" s="2">
        <v>0</v>
      </c>
      <c r="N390" s="2">
        <v>285485570.03999996</v>
      </c>
      <c r="P390" t="s">
        <v>12</v>
      </c>
      <c r="Q390" s="2">
        <v>306435172.17000008</v>
      </c>
      <c r="R390" s="2">
        <v>0</v>
      </c>
      <c r="S390" s="2">
        <v>0</v>
      </c>
      <c r="T390" s="2">
        <v>0</v>
      </c>
      <c r="U390" s="2">
        <v>306435172.17000008</v>
      </c>
      <c r="W390" t="s">
        <v>12</v>
      </c>
      <c r="X390" s="2">
        <v>591920742.21000004</v>
      </c>
      <c r="Y390" s="2">
        <v>0</v>
      </c>
      <c r="Z390" s="2">
        <v>0</v>
      </c>
      <c r="AA390" s="2">
        <v>0</v>
      </c>
      <c r="AB390" s="2">
        <v>591920742.21000004</v>
      </c>
      <c r="AD390" t="s">
        <v>12</v>
      </c>
      <c r="AE390" s="2">
        <v>350664353.06999969</v>
      </c>
      <c r="AF390" s="2">
        <v>0</v>
      </c>
      <c r="AG390" s="2">
        <v>0</v>
      </c>
      <c r="AH390" s="2">
        <v>0</v>
      </c>
      <c r="AI390" s="2">
        <v>350664353.06999969</v>
      </c>
      <c r="AK390" t="s">
        <v>12</v>
      </c>
      <c r="AL390" s="2">
        <v>445466046.72000051</v>
      </c>
      <c r="AM390" s="2">
        <v>0</v>
      </c>
      <c r="AN390" s="2">
        <v>0</v>
      </c>
      <c r="AO390" s="2">
        <v>0</v>
      </c>
      <c r="AP390" s="2">
        <v>445466046.72000051</v>
      </c>
    </row>
    <row r="391" spans="2:42" x14ac:dyDescent="0.35">
      <c r="B391" t="s">
        <v>3</v>
      </c>
      <c r="C391" s="2">
        <v>-880203233.87999988</v>
      </c>
      <c r="D391" s="2">
        <v>0</v>
      </c>
      <c r="E391" s="2">
        <v>0</v>
      </c>
      <c r="F391" s="2">
        <v>-92935.41</v>
      </c>
      <c r="G391" s="2">
        <v>-880296169.28999984</v>
      </c>
      <c r="I391" t="s">
        <v>3</v>
      </c>
      <c r="J391" s="2">
        <v>-174602375.21000004</v>
      </c>
      <c r="K391" s="2">
        <v>0</v>
      </c>
      <c r="L391" s="2">
        <v>0</v>
      </c>
      <c r="M391" s="2">
        <v>-26672.25</v>
      </c>
      <c r="N391" s="2">
        <v>-174629047.46000004</v>
      </c>
      <c r="P391" t="s">
        <v>3</v>
      </c>
      <c r="Q391" s="2">
        <v>-198098644.45000011</v>
      </c>
      <c r="R391" s="2">
        <v>0</v>
      </c>
      <c r="S391" s="2">
        <v>0</v>
      </c>
      <c r="T391" s="2">
        <v>-20367.010000000002</v>
      </c>
      <c r="U391" s="2">
        <v>-198119011.4600001</v>
      </c>
      <c r="W391" t="s">
        <v>3</v>
      </c>
      <c r="X391" s="2">
        <v>-372701019.66000015</v>
      </c>
      <c r="Y391" s="2">
        <v>0</v>
      </c>
      <c r="Z391" s="2">
        <v>0</v>
      </c>
      <c r="AA391" s="2">
        <v>-47039.26</v>
      </c>
      <c r="AB391" s="2">
        <v>-372748058.92000014</v>
      </c>
      <c r="AD391" t="s">
        <v>3</v>
      </c>
      <c r="AE391" s="2">
        <v>-208787124.48999995</v>
      </c>
      <c r="AF391" s="2">
        <v>0</v>
      </c>
      <c r="AG391" s="2">
        <v>0</v>
      </c>
      <c r="AH391" s="2">
        <v>-19722.579999999994</v>
      </c>
      <c r="AI391" s="2">
        <v>-208806847.06999996</v>
      </c>
      <c r="AK391" t="s">
        <v>3</v>
      </c>
      <c r="AL391" s="2">
        <v>-298715089.72999972</v>
      </c>
      <c r="AM391" s="2">
        <v>0</v>
      </c>
      <c r="AN391" s="2">
        <v>0</v>
      </c>
      <c r="AO391" s="2">
        <v>-26173.570000000014</v>
      </c>
      <c r="AP391" s="2">
        <v>-298741263.29999971</v>
      </c>
    </row>
    <row r="392" spans="2:42" x14ac:dyDescent="0.35">
      <c r="B392" t="s">
        <v>88</v>
      </c>
      <c r="C392" s="2">
        <v>70476765.049999982</v>
      </c>
      <c r="D392" s="2">
        <v>0</v>
      </c>
      <c r="E392" s="2">
        <v>0</v>
      </c>
      <c r="F392" s="2">
        <v>18210.260000000002</v>
      </c>
      <c r="G392" s="2">
        <v>70494975.309999987</v>
      </c>
      <c r="I392" t="s">
        <v>88</v>
      </c>
      <c r="J392" s="2">
        <v>21747599.749999996</v>
      </c>
      <c r="K392" s="2">
        <v>0</v>
      </c>
      <c r="L392" s="2">
        <v>0</v>
      </c>
      <c r="M392" s="2">
        <v>4147.8100000000004</v>
      </c>
      <c r="N392" s="2">
        <v>21751747.559999995</v>
      </c>
      <c r="P392" t="s">
        <v>88</v>
      </c>
      <c r="Q392" s="2">
        <v>13394593.640000004</v>
      </c>
      <c r="R392" s="2">
        <v>0</v>
      </c>
      <c r="S392" s="2">
        <v>0</v>
      </c>
      <c r="T392" s="2">
        <v>4697.329999999999</v>
      </c>
      <c r="U392" s="2">
        <v>13399290.970000004</v>
      </c>
      <c r="W392" t="s">
        <v>88</v>
      </c>
      <c r="X392" s="2">
        <v>35142193.390000001</v>
      </c>
      <c r="Y392" s="2">
        <v>0</v>
      </c>
      <c r="Z392" s="2">
        <v>0</v>
      </c>
      <c r="AA392" s="2">
        <v>8845.14</v>
      </c>
      <c r="AB392" s="2">
        <v>35151038.530000001</v>
      </c>
      <c r="AD392" t="s">
        <v>88</v>
      </c>
      <c r="AE392" s="2">
        <v>13695791.959999986</v>
      </c>
      <c r="AF392" s="2">
        <v>0</v>
      </c>
      <c r="AG392" s="2">
        <v>0</v>
      </c>
      <c r="AH392" s="2">
        <v>4627.6000000000004</v>
      </c>
      <c r="AI392" s="2">
        <v>13700419.559999986</v>
      </c>
      <c r="AK392" t="s">
        <v>88</v>
      </c>
      <c r="AL392" s="2">
        <v>21638779.699999996</v>
      </c>
      <c r="AM392" s="2">
        <v>0</v>
      </c>
      <c r="AN392" s="2">
        <v>0</v>
      </c>
      <c r="AO392" s="2">
        <v>4737.5200000000023</v>
      </c>
      <c r="AP392" s="2">
        <v>21643517.219999995</v>
      </c>
    </row>
    <row r="393" spans="2:42" x14ac:dyDescent="0.35">
      <c r="B393" t="s">
        <v>13</v>
      </c>
      <c r="C393" s="2">
        <v>-14094944.939999999</v>
      </c>
      <c r="D393" s="2">
        <v>0</v>
      </c>
      <c r="E393" s="2">
        <v>0</v>
      </c>
      <c r="F393" s="2">
        <v>0</v>
      </c>
      <c r="G393" s="2">
        <v>-14094944.939999999</v>
      </c>
      <c r="I393" t="s">
        <v>13</v>
      </c>
      <c r="J393" s="2">
        <v>-3402733.3</v>
      </c>
      <c r="K393" s="2">
        <v>0</v>
      </c>
      <c r="L393" s="2">
        <v>0</v>
      </c>
      <c r="M393" s="2">
        <v>0</v>
      </c>
      <c r="N393" s="2">
        <v>-3402733.3</v>
      </c>
      <c r="P393" t="s">
        <v>13</v>
      </c>
      <c r="Q393" s="2">
        <v>-3553574.1100000013</v>
      </c>
      <c r="R393" s="2">
        <v>0</v>
      </c>
      <c r="S393" s="2">
        <v>0</v>
      </c>
      <c r="T393" s="2">
        <v>0</v>
      </c>
      <c r="U393" s="2">
        <v>-3553574.1100000013</v>
      </c>
      <c r="W393" t="s">
        <v>13</v>
      </c>
      <c r="X393" s="2">
        <v>-6956307.4100000011</v>
      </c>
      <c r="Y393" s="2">
        <v>0</v>
      </c>
      <c r="Z393" s="2">
        <v>0</v>
      </c>
      <c r="AA393" s="2">
        <v>0</v>
      </c>
      <c r="AB393" s="2">
        <v>-6956307.4100000011</v>
      </c>
      <c r="AD393" t="s">
        <v>13</v>
      </c>
      <c r="AE393" s="2">
        <v>-3653670.3299999973</v>
      </c>
      <c r="AF393" s="2">
        <v>0</v>
      </c>
      <c r="AG393" s="2">
        <v>0</v>
      </c>
      <c r="AH393" s="2">
        <v>0</v>
      </c>
      <c r="AI393" s="2">
        <v>-3653670.3299999973</v>
      </c>
      <c r="AK393" t="s">
        <v>13</v>
      </c>
      <c r="AL393" s="2">
        <v>-3484967.200000002</v>
      </c>
      <c r="AM393" s="2">
        <v>0</v>
      </c>
      <c r="AN393" s="2">
        <v>0</v>
      </c>
      <c r="AO393" s="2">
        <v>0</v>
      </c>
      <c r="AP393" s="2">
        <v>-3484967.200000002</v>
      </c>
    </row>
    <row r="394" spans="2:42" x14ac:dyDescent="0.35">
      <c r="B394" s="19" t="s">
        <v>14</v>
      </c>
      <c r="C394" s="20">
        <v>564229728.23000026</v>
      </c>
      <c r="D394" s="20">
        <v>0</v>
      </c>
      <c r="E394" s="20">
        <v>0</v>
      </c>
      <c r="F394" s="20">
        <v>-74725.149999999994</v>
      </c>
      <c r="G394" s="20">
        <v>564155003.08000028</v>
      </c>
      <c r="I394" s="19" t="s">
        <v>14</v>
      </c>
      <c r="J394" s="20">
        <v>129228061.27999993</v>
      </c>
      <c r="K394" s="20">
        <v>0</v>
      </c>
      <c r="L394" s="20">
        <v>0</v>
      </c>
      <c r="M394" s="20">
        <v>-22524.44</v>
      </c>
      <c r="N394" s="20">
        <v>129205536.83999993</v>
      </c>
      <c r="P394" s="19" t="s">
        <v>14</v>
      </c>
      <c r="Q394" s="20">
        <v>118177547.24999997</v>
      </c>
      <c r="R394" s="20">
        <v>0</v>
      </c>
      <c r="S394" s="20">
        <v>0</v>
      </c>
      <c r="T394" s="20">
        <v>-15669.680000000004</v>
      </c>
      <c r="U394" s="20">
        <v>118161877.56999998</v>
      </c>
      <c r="W394" s="19" t="s">
        <v>14</v>
      </c>
      <c r="X394" s="20">
        <v>247405608.52999988</v>
      </c>
      <c r="Y394" s="20">
        <v>0</v>
      </c>
      <c r="Z394" s="20">
        <v>0</v>
      </c>
      <c r="AA394" s="20">
        <v>-38194.120000000003</v>
      </c>
      <c r="AB394" s="20">
        <v>247367414.40999991</v>
      </c>
      <c r="AD394" s="19" t="s">
        <v>14</v>
      </c>
      <c r="AE394" s="20">
        <v>151919350.20999974</v>
      </c>
      <c r="AF394" s="20">
        <v>0</v>
      </c>
      <c r="AG394" s="20">
        <v>0</v>
      </c>
      <c r="AH394" s="20">
        <v>-15094.979999999994</v>
      </c>
      <c r="AI394" s="20">
        <v>151904255.22999972</v>
      </c>
      <c r="AK394" s="19" t="s">
        <v>14</v>
      </c>
      <c r="AL394" s="20">
        <v>164904769.49000078</v>
      </c>
      <c r="AM394" s="20">
        <v>0</v>
      </c>
      <c r="AN394" s="20">
        <v>0</v>
      </c>
      <c r="AO394" s="20">
        <v>-21436.05000000001</v>
      </c>
      <c r="AP394" s="20">
        <v>164883333.4400008</v>
      </c>
    </row>
    <row r="395" spans="2:42" x14ac:dyDescent="0.35">
      <c r="C395" s="2"/>
      <c r="D395" s="2"/>
      <c r="E395" s="2"/>
      <c r="F395" s="2"/>
      <c r="G395" s="2"/>
      <c r="J395" s="2"/>
      <c r="K395" s="2"/>
      <c r="L395" s="2"/>
      <c r="M395" s="2"/>
      <c r="N395" s="2"/>
      <c r="Q395" s="2"/>
      <c r="R395" s="2"/>
      <c r="S395" s="2"/>
      <c r="T395" s="2"/>
      <c r="U395" s="2"/>
      <c r="X395" s="2"/>
      <c r="Y395" s="2"/>
      <c r="Z395" s="2"/>
      <c r="AA395" s="2"/>
      <c r="AB395" s="2"/>
      <c r="AE395" s="2"/>
      <c r="AF395" s="2"/>
      <c r="AG395" s="2"/>
      <c r="AH395" s="2"/>
      <c r="AI395" s="2"/>
      <c r="AL395" s="2"/>
      <c r="AM395" s="2"/>
      <c r="AN395" s="2"/>
      <c r="AO395" s="2"/>
      <c r="AP395" s="2"/>
    </row>
    <row r="396" spans="2:42" x14ac:dyDescent="0.35">
      <c r="C396" s="2"/>
      <c r="D396" s="2"/>
      <c r="E396" s="2"/>
      <c r="F396" s="2"/>
      <c r="G396" s="2"/>
      <c r="J396" s="2"/>
      <c r="K396" s="2"/>
      <c r="L396" s="2"/>
      <c r="M396" s="2"/>
      <c r="N396" s="2"/>
      <c r="Q396" s="2"/>
      <c r="R396" s="2"/>
      <c r="S396" s="2"/>
      <c r="T396" s="2"/>
      <c r="U396" s="2"/>
      <c r="X396" s="2"/>
      <c r="Y396" s="2"/>
      <c r="Z396" s="2"/>
      <c r="AA396" s="2"/>
      <c r="AB396" s="2"/>
      <c r="AE396" s="2"/>
      <c r="AF396" s="2"/>
      <c r="AG396" s="2"/>
      <c r="AH396" s="2"/>
      <c r="AI396" s="2"/>
      <c r="AL396" s="2"/>
      <c r="AM396" s="2"/>
      <c r="AN396" s="2"/>
      <c r="AO396" s="2"/>
      <c r="AP396" s="2"/>
    </row>
    <row r="397" spans="2:42" x14ac:dyDescent="0.35">
      <c r="B397" t="s">
        <v>15</v>
      </c>
      <c r="C397" s="2">
        <v>310765245.40999997</v>
      </c>
      <c r="D397" s="2">
        <v>0</v>
      </c>
      <c r="E397" s="2">
        <v>0</v>
      </c>
      <c r="F397" s="2">
        <v>16363823.17</v>
      </c>
      <c r="G397" s="2">
        <v>327129068.57999998</v>
      </c>
      <c r="I397" t="s">
        <v>15</v>
      </c>
      <c r="J397" s="2">
        <v>85384473.919999987</v>
      </c>
      <c r="K397" s="2">
        <v>0</v>
      </c>
      <c r="L397" s="2">
        <v>0</v>
      </c>
      <c r="M397" s="2">
        <v>3986770.4000000004</v>
      </c>
      <c r="N397" s="2">
        <v>89371244.319999993</v>
      </c>
      <c r="P397" t="s">
        <v>15</v>
      </c>
      <c r="Q397" s="2">
        <v>83600391.450000018</v>
      </c>
      <c r="R397" s="2">
        <v>0</v>
      </c>
      <c r="S397" s="2">
        <v>0</v>
      </c>
      <c r="T397" s="2">
        <v>4053169.9499999993</v>
      </c>
      <c r="U397" s="2">
        <v>87653561.400000021</v>
      </c>
      <c r="W397" t="s">
        <v>15</v>
      </c>
      <c r="X397" s="2">
        <v>168984865.37</v>
      </c>
      <c r="Y397" s="2">
        <v>0</v>
      </c>
      <c r="Z397" s="2">
        <v>0</v>
      </c>
      <c r="AA397" s="2">
        <v>8039940.3499999996</v>
      </c>
      <c r="AB397" s="2">
        <v>177024805.72</v>
      </c>
      <c r="AD397" t="s">
        <v>15</v>
      </c>
      <c r="AE397" s="2">
        <v>69556932.939999998</v>
      </c>
      <c r="AF397" s="2">
        <v>0</v>
      </c>
      <c r="AG397" s="2">
        <v>0</v>
      </c>
      <c r="AH397" s="2">
        <v>4051445.8200000003</v>
      </c>
      <c r="AI397" s="2">
        <v>73608378.75999999</v>
      </c>
      <c r="AK397" t="s">
        <v>15</v>
      </c>
      <c r="AL397" s="2">
        <v>72223447.099999964</v>
      </c>
      <c r="AM397" s="2">
        <v>0</v>
      </c>
      <c r="AN397" s="2">
        <v>0</v>
      </c>
      <c r="AO397" s="2">
        <v>4272437</v>
      </c>
      <c r="AP397" s="2">
        <v>76495884.099999964</v>
      </c>
    </row>
    <row r="398" spans="2:42" x14ac:dyDescent="0.35">
      <c r="B398" t="s">
        <v>16</v>
      </c>
      <c r="C398" s="2">
        <v>-163538941.28</v>
      </c>
      <c r="D398" s="2">
        <v>0</v>
      </c>
      <c r="E398" s="2">
        <v>0</v>
      </c>
      <c r="F398" s="2">
        <v>0</v>
      </c>
      <c r="G398" s="2">
        <v>-163538941.28</v>
      </c>
      <c r="I398" t="s">
        <v>16</v>
      </c>
      <c r="J398" s="2">
        <v>-33974761.07</v>
      </c>
      <c r="K398" s="2">
        <v>0</v>
      </c>
      <c r="L398" s="2">
        <v>0</v>
      </c>
      <c r="M398" s="2">
        <v>0</v>
      </c>
      <c r="N398" s="2">
        <v>-33974761.07</v>
      </c>
      <c r="P398" t="s">
        <v>16</v>
      </c>
      <c r="Q398" s="2">
        <v>-35087467.56000001</v>
      </c>
      <c r="R398" s="2">
        <v>0</v>
      </c>
      <c r="S398" s="2">
        <v>0</v>
      </c>
      <c r="T398" s="2">
        <v>0</v>
      </c>
      <c r="U398" s="2">
        <v>-35087467.56000001</v>
      </c>
      <c r="W398" t="s">
        <v>16</v>
      </c>
      <c r="X398" s="2">
        <v>-69062228.63000001</v>
      </c>
      <c r="Y398" s="2">
        <v>0</v>
      </c>
      <c r="Z398" s="2">
        <v>0</v>
      </c>
      <c r="AA398" s="2">
        <v>0</v>
      </c>
      <c r="AB398" s="2">
        <v>-69062228.63000001</v>
      </c>
      <c r="AD398" t="s">
        <v>16</v>
      </c>
      <c r="AE398" s="2">
        <v>-44548916.939999968</v>
      </c>
      <c r="AF398" s="2">
        <v>0</v>
      </c>
      <c r="AG398" s="2">
        <v>0</v>
      </c>
      <c r="AH398" s="2">
        <v>0</v>
      </c>
      <c r="AI398" s="2">
        <v>-44548916.939999968</v>
      </c>
      <c r="AK398" t="s">
        <v>16</v>
      </c>
      <c r="AL398" s="2">
        <v>-49927795.710000023</v>
      </c>
      <c r="AM398" s="2">
        <v>0</v>
      </c>
      <c r="AN398" s="2">
        <v>0</v>
      </c>
      <c r="AO398" s="2">
        <v>0</v>
      </c>
      <c r="AP398" s="2">
        <v>-49927795.710000023</v>
      </c>
    </row>
    <row r="399" spans="2:42" x14ac:dyDescent="0.35">
      <c r="B399" s="19" t="s">
        <v>17</v>
      </c>
      <c r="C399" s="20">
        <v>147226304.12999997</v>
      </c>
      <c r="D399" s="20">
        <v>0</v>
      </c>
      <c r="E399" s="20">
        <v>0</v>
      </c>
      <c r="F399" s="20">
        <v>16363823.17</v>
      </c>
      <c r="G399" s="20">
        <v>163590127.29999998</v>
      </c>
      <c r="I399" s="19" t="s">
        <v>17</v>
      </c>
      <c r="J399" s="20">
        <v>51409712.849999987</v>
      </c>
      <c r="K399" s="20">
        <v>0</v>
      </c>
      <c r="L399" s="20">
        <v>0</v>
      </c>
      <c r="M399" s="20">
        <v>3986770.4000000004</v>
      </c>
      <c r="N399" s="20">
        <v>55396483.249999993</v>
      </c>
      <c r="P399" s="19" t="s">
        <v>17</v>
      </c>
      <c r="Q399" s="20">
        <v>48512923.890000008</v>
      </c>
      <c r="R399" s="20">
        <v>0</v>
      </c>
      <c r="S399" s="20">
        <v>0</v>
      </c>
      <c r="T399" s="20">
        <v>4053169.9499999993</v>
      </c>
      <c r="U399" s="20">
        <v>52566093.840000011</v>
      </c>
      <c r="W399" s="19" t="s">
        <v>17</v>
      </c>
      <c r="X399" s="20">
        <v>99922636.739999995</v>
      </c>
      <c r="Y399" s="20">
        <v>0</v>
      </c>
      <c r="Z399" s="20">
        <v>0</v>
      </c>
      <c r="AA399" s="20">
        <v>8039940.3499999996</v>
      </c>
      <c r="AB399" s="20">
        <v>107962577.08999999</v>
      </c>
      <c r="AD399" s="19" t="s">
        <v>17</v>
      </c>
      <c r="AE399" s="20">
        <v>25008016.00000003</v>
      </c>
      <c r="AF399" s="20">
        <v>0</v>
      </c>
      <c r="AG399" s="20">
        <v>0</v>
      </c>
      <c r="AH399" s="20">
        <v>4051445.8200000003</v>
      </c>
      <c r="AI399" s="20">
        <v>29059461.820000023</v>
      </c>
      <c r="AK399" s="19" t="s">
        <v>17</v>
      </c>
      <c r="AL399" s="20">
        <v>22295651.389999941</v>
      </c>
      <c r="AM399" s="20">
        <v>0</v>
      </c>
      <c r="AN399" s="20">
        <v>0</v>
      </c>
      <c r="AO399" s="20">
        <v>4272437</v>
      </c>
      <c r="AP399" s="20">
        <v>26568088.389999941</v>
      </c>
    </row>
    <row r="400" spans="2:42" x14ac:dyDescent="0.35">
      <c r="C400" s="2"/>
      <c r="D400" s="2"/>
      <c r="E400" s="2"/>
      <c r="F400" s="2"/>
      <c r="G400" s="2"/>
      <c r="J400" s="2"/>
      <c r="K400" s="2"/>
      <c r="L400" s="2"/>
      <c r="M400" s="2"/>
      <c r="N400" s="2"/>
      <c r="Q400" s="2"/>
      <c r="R400" s="2"/>
      <c r="S400" s="2"/>
      <c r="T400" s="2"/>
      <c r="U400" s="2"/>
      <c r="X400" s="2"/>
      <c r="Y400" s="2"/>
      <c r="Z400" s="2"/>
      <c r="AA400" s="2"/>
      <c r="AB400" s="2"/>
      <c r="AE400" s="2"/>
      <c r="AF400" s="2"/>
      <c r="AG400" s="2"/>
      <c r="AH400" s="2"/>
      <c r="AI400" s="2"/>
      <c r="AL400" s="2"/>
      <c r="AM400" s="2"/>
      <c r="AN400" s="2"/>
      <c r="AO400" s="2"/>
      <c r="AP400" s="2"/>
    </row>
    <row r="401" spans="2:42" x14ac:dyDescent="0.35">
      <c r="C401" s="2"/>
      <c r="D401" s="2"/>
      <c r="E401" s="2"/>
      <c r="F401" s="2"/>
      <c r="G401" s="2"/>
      <c r="J401" s="2"/>
      <c r="K401" s="2"/>
      <c r="L401" s="2"/>
      <c r="M401" s="2"/>
      <c r="N401" s="2"/>
      <c r="Q401" s="2"/>
      <c r="R401" s="2"/>
      <c r="S401" s="2"/>
      <c r="T401" s="2"/>
      <c r="U401" s="2"/>
      <c r="X401" s="2"/>
      <c r="Y401" s="2"/>
      <c r="Z401" s="2"/>
      <c r="AA401" s="2"/>
      <c r="AB401" s="2"/>
      <c r="AE401" s="2"/>
      <c r="AF401" s="2"/>
      <c r="AG401" s="2"/>
      <c r="AH401" s="2"/>
      <c r="AI401" s="2"/>
      <c r="AL401" s="2"/>
      <c r="AM401" s="2"/>
      <c r="AN401" s="2"/>
      <c r="AO401" s="2"/>
      <c r="AP401" s="2"/>
    </row>
    <row r="402" spans="2:42" x14ac:dyDescent="0.35">
      <c r="B402" s="16" t="s">
        <v>20</v>
      </c>
      <c r="C402" s="2">
        <v>20376877.520894419</v>
      </c>
      <c r="D402" s="2">
        <v>0</v>
      </c>
      <c r="E402" s="2">
        <v>0</v>
      </c>
      <c r="F402" s="2">
        <v>-16815449.866058741</v>
      </c>
      <c r="G402" s="17">
        <v>3561427.6548356786</v>
      </c>
      <c r="I402" s="6" t="s">
        <v>20</v>
      </c>
      <c r="J402" s="2">
        <v>6161805.3198962845</v>
      </c>
      <c r="K402" s="2">
        <v>0</v>
      </c>
      <c r="L402" s="2">
        <v>0</v>
      </c>
      <c r="M402" s="2">
        <v>-3214350.1152192838</v>
      </c>
      <c r="N402" s="7">
        <v>2947455.2046770006</v>
      </c>
      <c r="P402" s="6" t="s">
        <v>20</v>
      </c>
      <c r="Q402" s="2">
        <v>6995121.5849655773</v>
      </c>
      <c r="R402" s="2">
        <v>0</v>
      </c>
      <c r="S402" s="2">
        <v>0</v>
      </c>
      <c r="T402" s="2">
        <v>-3058395.304058684</v>
      </c>
      <c r="U402" s="7">
        <v>3936726.2809068933</v>
      </c>
      <c r="W402" s="6" t="s">
        <v>20</v>
      </c>
      <c r="X402" s="2">
        <v>13156926.904861862</v>
      </c>
      <c r="Y402" s="2">
        <v>0</v>
      </c>
      <c r="Z402" s="2">
        <v>0</v>
      </c>
      <c r="AA402" s="2">
        <v>-6272745.4192779679</v>
      </c>
      <c r="AB402" s="7">
        <v>6884181.485583894</v>
      </c>
      <c r="AD402" s="16" t="s">
        <v>20</v>
      </c>
      <c r="AE402" s="2">
        <v>3804389.5710677858</v>
      </c>
      <c r="AF402" s="2">
        <v>0</v>
      </c>
      <c r="AG402" s="2">
        <v>0</v>
      </c>
      <c r="AH402" s="2">
        <v>-6032263.7458912451</v>
      </c>
      <c r="AI402" s="17">
        <v>-2227874.1748234592</v>
      </c>
      <c r="AK402" s="16" t="s">
        <v>20</v>
      </c>
      <c r="AL402" s="23">
        <v>3415561.0449647717</v>
      </c>
      <c r="AM402" s="23">
        <v>0</v>
      </c>
      <c r="AN402" s="23">
        <v>0</v>
      </c>
      <c r="AO402" s="23">
        <v>-4510440.7008895278</v>
      </c>
      <c r="AP402" s="23">
        <v>-1094879.6559247561</v>
      </c>
    </row>
    <row r="403" spans="2:42" x14ac:dyDescent="0.35">
      <c r="C403" s="2"/>
      <c r="D403" s="2"/>
      <c r="E403" s="2"/>
      <c r="F403" s="2"/>
      <c r="G403" s="2"/>
      <c r="I403" s="13"/>
      <c r="J403" s="155"/>
      <c r="K403" s="155"/>
      <c r="L403" s="155"/>
      <c r="M403" s="155"/>
      <c r="N403" s="155"/>
      <c r="P403" s="13"/>
      <c r="Q403" s="155"/>
      <c r="R403" s="155"/>
      <c r="S403" s="155"/>
      <c r="T403" s="155"/>
      <c r="U403" s="155"/>
      <c r="W403" s="13"/>
      <c r="X403" s="155"/>
      <c r="Y403" s="155"/>
      <c r="Z403" s="155"/>
      <c r="AA403" s="155"/>
      <c r="AB403" s="155"/>
      <c r="AE403" s="2"/>
      <c r="AF403" s="2"/>
      <c r="AG403" s="2"/>
      <c r="AH403" s="2"/>
      <c r="AI403" s="2"/>
      <c r="AL403" s="2"/>
      <c r="AM403" s="2"/>
      <c r="AN403" s="2"/>
      <c r="AO403" s="2"/>
      <c r="AP403" s="2"/>
    </row>
    <row r="404" spans="2:42" x14ac:dyDescent="0.35">
      <c r="C404" s="2"/>
      <c r="D404" s="2"/>
      <c r="E404" s="2"/>
      <c r="F404" s="2"/>
      <c r="G404" s="2"/>
      <c r="J404" s="2"/>
      <c r="K404" s="2"/>
      <c r="L404" s="2"/>
      <c r="M404" s="2"/>
      <c r="N404" s="2"/>
      <c r="Q404" s="2"/>
      <c r="R404" s="2"/>
      <c r="S404" s="2"/>
      <c r="T404" s="2"/>
      <c r="U404" s="2"/>
      <c r="X404" s="2"/>
      <c r="Y404" s="2"/>
      <c r="Z404" s="2"/>
      <c r="AA404" s="2"/>
      <c r="AB404" s="2"/>
      <c r="AE404" s="2"/>
      <c r="AF404" s="2"/>
      <c r="AG404" s="2"/>
      <c r="AH404" s="2"/>
      <c r="AI404" s="2"/>
    </row>
    <row r="405" spans="2:42" x14ac:dyDescent="0.35">
      <c r="C405" s="2"/>
      <c r="D405" s="2"/>
      <c r="E405" s="2"/>
      <c r="F405" s="2"/>
      <c r="G405" s="2"/>
      <c r="J405" s="2"/>
      <c r="K405" s="2"/>
      <c r="L405" s="2"/>
      <c r="M405" s="2"/>
      <c r="N405" s="2"/>
      <c r="Q405" s="2"/>
      <c r="R405" s="2"/>
      <c r="S405" s="2"/>
      <c r="T405" s="2"/>
      <c r="U405" s="2"/>
      <c r="X405" s="2"/>
      <c r="Y405" s="2"/>
      <c r="Z405" s="2"/>
      <c r="AA405" s="2"/>
      <c r="AB405" s="2"/>
      <c r="AE405" s="2"/>
      <c r="AF405" s="2"/>
      <c r="AG405" s="2"/>
      <c r="AH405" s="2"/>
      <c r="AI405" s="2"/>
    </row>
    <row r="406" spans="2:42" x14ac:dyDescent="0.35">
      <c r="B406" t="s">
        <v>0</v>
      </c>
      <c r="C406" s="2">
        <v>0</v>
      </c>
      <c r="D406" s="2">
        <v>0</v>
      </c>
      <c r="E406" s="2">
        <v>0</v>
      </c>
      <c r="F406" s="2">
        <v>0</v>
      </c>
      <c r="G406" s="2">
        <v>0</v>
      </c>
      <c r="I406" t="s">
        <v>0</v>
      </c>
      <c r="J406" s="2">
        <v>0</v>
      </c>
      <c r="K406" s="2">
        <v>0</v>
      </c>
      <c r="L406" s="2">
        <v>0</v>
      </c>
      <c r="M406" s="2">
        <v>0</v>
      </c>
      <c r="N406" s="2">
        <v>0</v>
      </c>
      <c r="P406" t="s">
        <v>0</v>
      </c>
      <c r="Q406" s="2">
        <v>0</v>
      </c>
      <c r="R406" s="2">
        <v>0</v>
      </c>
      <c r="S406" s="2">
        <v>0</v>
      </c>
      <c r="T406" s="2">
        <v>0</v>
      </c>
      <c r="U406" s="2">
        <v>0</v>
      </c>
      <c r="W406" t="s">
        <v>0</v>
      </c>
      <c r="X406" s="2">
        <v>0</v>
      </c>
      <c r="Y406" s="2">
        <v>0</v>
      </c>
      <c r="Z406" s="2">
        <v>0</v>
      </c>
      <c r="AA406" s="2">
        <v>0</v>
      </c>
      <c r="AB406" s="2">
        <v>0</v>
      </c>
      <c r="AD406" t="s">
        <v>0</v>
      </c>
      <c r="AE406" s="2">
        <v>0</v>
      </c>
      <c r="AF406" s="2">
        <v>0</v>
      </c>
      <c r="AG406" s="2">
        <v>0</v>
      </c>
      <c r="AH406" s="2">
        <v>0</v>
      </c>
      <c r="AI406" s="2">
        <v>0</v>
      </c>
      <c r="AK406" t="s">
        <v>0</v>
      </c>
      <c r="AL406" s="2">
        <v>0</v>
      </c>
      <c r="AM406" s="2">
        <v>0</v>
      </c>
      <c r="AN406" s="2">
        <v>0</v>
      </c>
      <c r="AO406" s="2">
        <v>0</v>
      </c>
      <c r="AP406" s="2">
        <v>0</v>
      </c>
    </row>
    <row r="407" spans="2:42" x14ac:dyDescent="0.35">
      <c r="B407" t="s">
        <v>2</v>
      </c>
      <c r="C407" s="2">
        <v>-0.47</v>
      </c>
      <c r="D407" s="2">
        <v>0</v>
      </c>
      <c r="E407" s="2">
        <v>0</v>
      </c>
      <c r="F407" s="2">
        <v>0</v>
      </c>
      <c r="G407" s="2">
        <v>-0.47</v>
      </c>
      <c r="I407" t="s">
        <v>2</v>
      </c>
      <c r="J407" s="2">
        <v>-0.47</v>
      </c>
      <c r="K407" s="2">
        <v>0</v>
      </c>
      <c r="L407" s="2">
        <v>0</v>
      </c>
      <c r="M407" s="2">
        <v>0</v>
      </c>
      <c r="N407" s="2">
        <v>-0.47</v>
      </c>
      <c r="P407" t="s">
        <v>2</v>
      </c>
      <c r="Q407" s="2">
        <v>0</v>
      </c>
      <c r="R407" s="2">
        <v>0</v>
      </c>
      <c r="S407" s="2">
        <v>0</v>
      </c>
      <c r="T407" s="2">
        <v>0</v>
      </c>
      <c r="U407" s="2">
        <v>0</v>
      </c>
      <c r="W407" t="s">
        <v>2</v>
      </c>
      <c r="X407" s="2">
        <v>-0.47</v>
      </c>
      <c r="Y407" s="2">
        <v>0</v>
      </c>
      <c r="Z407" s="2">
        <v>0</v>
      </c>
      <c r="AA407" s="2">
        <v>0</v>
      </c>
      <c r="AB407" s="2">
        <v>-0.47</v>
      </c>
      <c r="AD407" t="s">
        <v>2</v>
      </c>
      <c r="AE407" s="2">
        <v>0</v>
      </c>
      <c r="AF407" s="2">
        <v>0</v>
      </c>
      <c r="AG407" s="2">
        <v>0</v>
      </c>
      <c r="AH407" s="2">
        <v>0</v>
      </c>
      <c r="AI407" s="2">
        <v>0</v>
      </c>
      <c r="AK407" t="s">
        <v>2</v>
      </c>
      <c r="AL407" s="2">
        <v>0</v>
      </c>
      <c r="AM407" s="2">
        <v>0</v>
      </c>
      <c r="AN407" s="2">
        <v>0</v>
      </c>
      <c r="AO407" s="2">
        <v>0</v>
      </c>
      <c r="AP407" s="2">
        <v>0</v>
      </c>
    </row>
    <row r="408" spans="2:42" x14ac:dyDescent="0.35">
      <c r="B408" s="19" t="s">
        <v>21</v>
      </c>
      <c r="C408" s="20">
        <v>-0.47</v>
      </c>
      <c r="D408" s="20">
        <v>0</v>
      </c>
      <c r="E408" s="20">
        <v>0</v>
      </c>
      <c r="F408" s="20">
        <v>0</v>
      </c>
      <c r="G408" s="20">
        <v>-0.47</v>
      </c>
      <c r="I408" s="19" t="s">
        <v>21</v>
      </c>
      <c r="J408" s="20">
        <v>-0.47</v>
      </c>
      <c r="K408" s="20">
        <v>0</v>
      </c>
      <c r="L408" s="20">
        <v>0</v>
      </c>
      <c r="M408" s="20">
        <v>0</v>
      </c>
      <c r="N408" s="20">
        <v>-0.47</v>
      </c>
      <c r="P408" s="19" t="s">
        <v>21</v>
      </c>
      <c r="Q408" s="20">
        <v>0</v>
      </c>
      <c r="R408" s="20">
        <v>0</v>
      </c>
      <c r="S408" s="20">
        <v>0</v>
      </c>
      <c r="T408" s="20">
        <v>0</v>
      </c>
      <c r="U408" s="20">
        <v>0</v>
      </c>
      <c r="W408" s="19" t="s">
        <v>21</v>
      </c>
      <c r="X408" s="20">
        <v>-0.47</v>
      </c>
      <c r="Y408" s="20">
        <v>0</v>
      </c>
      <c r="Z408" s="20">
        <v>0</v>
      </c>
      <c r="AA408" s="20">
        <v>0</v>
      </c>
      <c r="AB408" s="20">
        <v>-0.47</v>
      </c>
      <c r="AD408" s="19" t="s">
        <v>21</v>
      </c>
      <c r="AE408" s="20">
        <v>0</v>
      </c>
      <c r="AF408" s="20">
        <v>0</v>
      </c>
      <c r="AG408" s="20">
        <v>0</v>
      </c>
      <c r="AH408" s="20">
        <v>0</v>
      </c>
      <c r="AI408" s="20">
        <v>0</v>
      </c>
      <c r="AK408" s="19" t="s">
        <v>21</v>
      </c>
      <c r="AL408" s="20">
        <v>0</v>
      </c>
      <c r="AM408" s="20">
        <v>0</v>
      </c>
      <c r="AN408" s="20">
        <v>0</v>
      </c>
      <c r="AO408" s="20">
        <v>0</v>
      </c>
      <c r="AP408" s="20">
        <v>0</v>
      </c>
    </row>
    <row r="409" spans="2:42" x14ac:dyDescent="0.35">
      <c r="C409" s="2"/>
      <c r="D409" s="2"/>
      <c r="E409" s="2"/>
      <c r="F409" s="2"/>
      <c r="G409" s="2"/>
      <c r="J409" s="2"/>
      <c r="K409" s="2"/>
      <c r="L409" s="2"/>
      <c r="M409" s="2"/>
      <c r="N409" s="2"/>
      <c r="Q409" s="2"/>
      <c r="R409" s="2"/>
      <c r="S409" s="2"/>
      <c r="T409" s="2"/>
      <c r="U409" s="2"/>
      <c r="X409" s="2"/>
      <c r="Y409" s="2"/>
      <c r="Z409" s="2"/>
      <c r="AA409" s="2"/>
      <c r="AB409" s="2"/>
      <c r="AE409" s="2"/>
      <c r="AF409" s="2"/>
      <c r="AG409" s="2"/>
      <c r="AH409" s="2"/>
      <c r="AI409" s="2"/>
      <c r="AL409" s="2"/>
      <c r="AM409" s="2"/>
      <c r="AN409" s="2"/>
      <c r="AO409" s="2"/>
      <c r="AP409" s="2"/>
    </row>
    <row r="410" spans="2:42" x14ac:dyDescent="0.35">
      <c r="C410" s="2"/>
      <c r="D410" s="2"/>
      <c r="E410" s="2"/>
      <c r="F410" s="2"/>
      <c r="G410" s="2"/>
      <c r="J410" s="2"/>
      <c r="K410" s="2"/>
      <c r="L410" s="2"/>
      <c r="M410" s="2"/>
      <c r="N410" s="2"/>
      <c r="Q410" s="2"/>
      <c r="R410" s="2"/>
      <c r="S410" s="2"/>
      <c r="T410" s="2"/>
      <c r="U410" s="2"/>
      <c r="X410" s="2"/>
      <c r="Y410" s="2"/>
      <c r="Z410" s="2"/>
      <c r="AA410" s="2"/>
      <c r="AB410" s="2"/>
      <c r="AE410" s="2"/>
      <c r="AF410" s="2"/>
      <c r="AG410" s="2"/>
      <c r="AH410" s="2"/>
      <c r="AI410" s="2"/>
      <c r="AL410" s="2"/>
      <c r="AM410" s="2"/>
      <c r="AN410" s="2"/>
      <c r="AO410" s="2"/>
      <c r="AP410" s="2"/>
    </row>
    <row r="411" spans="2:42" x14ac:dyDescent="0.35">
      <c r="B411" t="s">
        <v>24</v>
      </c>
      <c r="C411" s="2">
        <v>0</v>
      </c>
      <c r="D411" s="2">
        <v>1491843453</v>
      </c>
      <c r="E411" s="2">
        <v>0</v>
      </c>
      <c r="F411" s="2">
        <v>0</v>
      </c>
      <c r="G411" s="2">
        <v>1491843453</v>
      </c>
      <c r="I411" t="s">
        <v>24</v>
      </c>
      <c r="J411" s="2">
        <v>0</v>
      </c>
      <c r="K411" s="2">
        <v>436966420</v>
      </c>
      <c r="L411" s="2">
        <v>0</v>
      </c>
      <c r="M411" s="2">
        <v>0</v>
      </c>
      <c r="N411" s="2">
        <v>436966420</v>
      </c>
      <c r="P411" t="s">
        <v>24</v>
      </c>
      <c r="Q411" s="2">
        <v>0</v>
      </c>
      <c r="R411" s="2">
        <v>395408134</v>
      </c>
      <c r="S411" s="2">
        <v>0</v>
      </c>
      <c r="T411" s="2">
        <v>0</v>
      </c>
      <c r="U411" s="2">
        <v>395408134</v>
      </c>
      <c r="W411" t="s">
        <v>24</v>
      </c>
      <c r="X411" s="2">
        <v>0</v>
      </c>
      <c r="Y411" s="2">
        <v>832374554</v>
      </c>
      <c r="Z411" s="2">
        <v>0</v>
      </c>
      <c r="AA411" s="2">
        <v>0</v>
      </c>
      <c r="AB411" s="2">
        <v>832374554</v>
      </c>
      <c r="AD411" t="s">
        <v>24</v>
      </c>
      <c r="AE411" s="2">
        <v>0</v>
      </c>
      <c r="AF411" s="2">
        <v>336397890</v>
      </c>
      <c r="AG411" s="2">
        <v>0</v>
      </c>
      <c r="AH411" s="2">
        <v>0</v>
      </c>
      <c r="AI411" s="2">
        <v>336397890</v>
      </c>
      <c r="AK411" t="s">
        <v>24</v>
      </c>
      <c r="AL411" s="2">
        <v>0</v>
      </c>
      <c r="AM411" s="2">
        <v>323071009</v>
      </c>
      <c r="AN411" s="2">
        <v>0</v>
      </c>
      <c r="AO411" s="2">
        <v>0</v>
      </c>
      <c r="AP411" s="2">
        <v>323071009</v>
      </c>
    </row>
    <row r="412" spans="2:42" x14ac:dyDescent="0.35">
      <c r="B412" t="s">
        <v>25</v>
      </c>
      <c r="C412" s="2">
        <v>0</v>
      </c>
      <c r="D412" s="2">
        <v>-194195128</v>
      </c>
      <c r="E412" s="2">
        <v>0</v>
      </c>
      <c r="F412" s="2">
        <v>0</v>
      </c>
      <c r="G412" s="2">
        <v>-194195128</v>
      </c>
      <c r="I412" t="s">
        <v>25</v>
      </c>
      <c r="J412" s="2">
        <v>0</v>
      </c>
      <c r="K412" s="2">
        <v>-71292737</v>
      </c>
      <c r="L412" s="2">
        <v>0</v>
      </c>
      <c r="M412" s="2">
        <v>0</v>
      </c>
      <c r="N412" s="2">
        <v>-71292737</v>
      </c>
      <c r="P412" t="s">
        <v>25</v>
      </c>
      <c r="Q412" s="2">
        <v>0</v>
      </c>
      <c r="R412" s="2">
        <v>-93045022</v>
      </c>
      <c r="S412" s="2">
        <v>0</v>
      </c>
      <c r="T412" s="2">
        <v>0</v>
      </c>
      <c r="U412" s="2">
        <v>-93045022</v>
      </c>
      <c r="W412" t="s">
        <v>25</v>
      </c>
      <c r="X412" s="2">
        <v>0</v>
      </c>
      <c r="Y412" s="2">
        <v>-164337759</v>
      </c>
      <c r="Z412" s="2">
        <v>0</v>
      </c>
      <c r="AA412" s="2">
        <v>0</v>
      </c>
      <c r="AB412" s="2">
        <v>-164337759</v>
      </c>
      <c r="AD412" t="s">
        <v>25</v>
      </c>
      <c r="AE412" s="2">
        <v>0</v>
      </c>
      <c r="AF412" s="2">
        <v>-21919277</v>
      </c>
      <c r="AG412" s="2">
        <v>0</v>
      </c>
      <c r="AH412" s="2">
        <v>0</v>
      </c>
      <c r="AI412" s="2">
        <v>-21919277</v>
      </c>
      <c r="AK412" t="s">
        <v>25</v>
      </c>
      <c r="AL412" s="2">
        <v>0</v>
      </c>
      <c r="AM412" s="2">
        <v>-7938092</v>
      </c>
      <c r="AN412" s="2">
        <v>0</v>
      </c>
      <c r="AO412" s="2">
        <v>0</v>
      </c>
      <c r="AP412" s="2">
        <v>-7938092</v>
      </c>
    </row>
    <row r="413" spans="2:42" x14ac:dyDescent="0.35">
      <c r="B413" t="s">
        <v>26</v>
      </c>
      <c r="C413" s="2">
        <v>0</v>
      </c>
      <c r="D413" s="2">
        <v>-382737887</v>
      </c>
      <c r="E413" s="2">
        <v>0</v>
      </c>
      <c r="F413" s="2">
        <v>0</v>
      </c>
      <c r="G413" s="2">
        <v>-382737887</v>
      </c>
      <c r="I413" t="s">
        <v>26</v>
      </c>
      <c r="J413" s="2">
        <v>0</v>
      </c>
      <c r="K413" s="2">
        <v>-154549647</v>
      </c>
      <c r="L413" s="2">
        <v>0</v>
      </c>
      <c r="M413" s="2">
        <v>0</v>
      </c>
      <c r="N413" s="2">
        <v>-154549647</v>
      </c>
      <c r="P413" t="s">
        <v>26</v>
      </c>
      <c r="Q413" s="2">
        <v>0</v>
      </c>
      <c r="R413" s="2">
        <v>-92679673</v>
      </c>
      <c r="S413" s="2">
        <v>0</v>
      </c>
      <c r="T413" s="2">
        <v>0</v>
      </c>
      <c r="U413" s="2">
        <v>-92679673</v>
      </c>
      <c r="W413" t="s">
        <v>26</v>
      </c>
      <c r="X413" s="2">
        <v>0</v>
      </c>
      <c r="Y413" s="2">
        <v>-247229320</v>
      </c>
      <c r="Z413" s="2">
        <v>0</v>
      </c>
      <c r="AA413" s="2">
        <v>0</v>
      </c>
      <c r="AB413" s="2">
        <v>-247229320</v>
      </c>
      <c r="AD413" t="s">
        <v>26</v>
      </c>
      <c r="AE413" s="2">
        <v>0</v>
      </c>
      <c r="AF413" s="2">
        <v>-85238845</v>
      </c>
      <c r="AG413" s="2">
        <v>0</v>
      </c>
      <c r="AH413" s="2">
        <v>0</v>
      </c>
      <c r="AI413" s="2">
        <v>-85238845</v>
      </c>
      <c r="AK413" t="s">
        <v>26</v>
      </c>
      <c r="AL413" s="2">
        <v>0</v>
      </c>
      <c r="AM413" s="2">
        <v>-50269722</v>
      </c>
      <c r="AN413" s="2">
        <v>0</v>
      </c>
      <c r="AO413" s="2">
        <v>0</v>
      </c>
      <c r="AP413" s="2">
        <v>-50269722</v>
      </c>
    </row>
    <row r="414" spans="2:42" x14ac:dyDescent="0.35">
      <c r="B414" s="19" t="s">
        <v>101</v>
      </c>
      <c r="C414" s="20">
        <v>0</v>
      </c>
      <c r="D414" s="20">
        <v>914910438</v>
      </c>
      <c r="E414" s="20">
        <v>0</v>
      </c>
      <c r="F414" s="20">
        <v>0</v>
      </c>
      <c r="G414" s="20">
        <v>914910438</v>
      </c>
      <c r="I414" s="19" t="s">
        <v>101</v>
      </c>
      <c r="J414" s="20">
        <v>0</v>
      </c>
      <c r="K414" s="20">
        <v>211124036</v>
      </c>
      <c r="L414" s="20">
        <v>0</v>
      </c>
      <c r="M414" s="20">
        <v>0</v>
      </c>
      <c r="N414" s="20">
        <v>211124036</v>
      </c>
      <c r="P414" s="19" t="s">
        <v>101</v>
      </c>
      <c r="Q414" s="20">
        <v>0</v>
      </c>
      <c r="R414" s="20">
        <v>209683439</v>
      </c>
      <c r="S414" s="20">
        <v>0</v>
      </c>
      <c r="T414" s="20">
        <v>0</v>
      </c>
      <c r="U414" s="20">
        <v>209683439</v>
      </c>
      <c r="W414" s="19" t="s">
        <v>101</v>
      </c>
      <c r="X414" s="20">
        <v>0</v>
      </c>
      <c r="Y414" s="20">
        <v>420807475</v>
      </c>
      <c r="Z414" s="20">
        <v>0</v>
      </c>
      <c r="AA414" s="20">
        <v>0</v>
      </c>
      <c r="AB414" s="20">
        <v>420807475</v>
      </c>
      <c r="AD414" s="19" t="s">
        <v>101</v>
      </c>
      <c r="AE414" s="20">
        <v>0</v>
      </c>
      <c r="AF414" s="20">
        <v>229239768</v>
      </c>
      <c r="AG414" s="20">
        <v>0</v>
      </c>
      <c r="AH414" s="20">
        <v>0</v>
      </c>
      <c r="AI414" s="20">
        <v>229239768</v>
      </c>
      <c r="AK414" s="19" t="s">
        <v>152</v>
      </c>
      <c r="AL414" s="20">
        <v>0</v>
      </c>
      <c r="AM414" s="20">
        <v>264863195</v>
      </c>
      <c r="AN414" s="20">
        <v>0</v>
      </c>
      <c r="AO414" s="20">
        <v>0</v>
      </c>
      <c r="AP414" s="20">
        <v>264863195</v>
      </c>
    </row>
    <row r="415" spans="2:42" x14ac:dyDescent="0.35">
      <c r="C415" s="2"/>
      <c r="D415" s="2"/>
      <c r="E415" s="2"/>
      <c r="F415" s="2"/>
      <c r="G415" s="2"/>
      <c r="J415" s="2"/>
      <c r="K415" s="2"/>
      <c r="L415" s="2"/>
      <c r="M415" s="2"/>
      <c r="N415" s="2"/>
      <c r="Q415" s="2"/>
      <c r="R415" s="2"/>
      <c r="S415" s="2"/>
      <c r="T415" s="2"/>
      <c r="U415" s="2"/>
      <c r="X415" s="2"/>
      <c r="Y415" s="2"/>
      <c r="Z415" s="2"/>
      <c r="AA415" s="2"/>
      <c r="AB415" s="2"/>
      <c r="AE415" s="2"/>
      <c r="AF415" s="2"/>
      <c r="AG415" s="2"/>
      <c r="AH415" s="2"/>
      <c r="AI415" s="2"/>
      <c r="AL415" s="2"/>
      <c r="AM415" s="2"/>
      <c r="AN415" s="2"/>
      <c r="AO415" s="2"/>
      <c r="AP415" s="2"/>
    </row>
    <row r="416" spans="2:42" x14ac:dyDescent="0.35">
      <c r="C416" s="2"/>
      <c r="D416" s="2"/>
      <c r="E416" s="2"/>
      <c r="F416" s="2"/>
      <c r="G416" s="2"/>
      <c r="J416" s="2"/>
      <c r="K416" s="2"/>
      <c r="L416" s="2"/>
      <c r="M416" s="2"/>
      <c r="N416" s="2"/>
      <c r="Q416" s="2"/>
      <c r="R416" s="2"/>
      <c r="S416" s="2"/>
      <c r="T416" s="2"/>
      <c r="U416" s="2"/>
      <c r="X416" s="2"/>
      <c r="Y416" s="2"/>
      <c r="Z416" s="2"/>
      <c r="AA416" s="2"/>
      <c r="AB416" s="2"/>
      <c r="AE416" s="2"/>
      <c r="AF416" s="2"/>
      <c r="AG416" s="2"/>
      <c r="AH416" s="2"/>
      <c r="AI416" s="2"/>
      <c r="AL416" s="2"/>
      <c r="AM416" s="2"/>
      <c r="AN416" s="2"/>
      <c r="AO416" s="2"/>
      <c r="AP416" s="2"/>
    </row>
    <row r="417" spans="2:42" x14ac:dyDescent="0.35">
      <c r="B417" t="s">
        <v>27</v>
      </c>
      <c r="C417" s="2">
        <v>0</v>
      </c>
      <c r="D417" s="2">
        <v>-477674853</v>
      </c>
      <c r="E417" s="2">
        <v>0</v>
      </c>
      <c r="F417" s="2">
        <v>0</v>
      </c>
      <c r="G417" s="2">
        <v>-477674853</v>
      </c>
      <c r="I417" t="s">
        <v>27</v>
      </c>
      <c r="J417" s="2">
        <v>0</v>
      </c>
      <c r="K417" s="2">
        <v>-88339467</v>
      </c>
      <c r="L417" s="2">
        <v>0</v>
      </c>
      <c r="M417" s="2">
        <v>0</v>
      </c>
      <c r="N417" s="2">
        <v>-88339467</v>
      </c>
      <c r="P417" t="s">
        <v>27</v>
      </c>
      <c r="Q417" s="2">
        <v>0</v>
      </c>
      <c r="R417" s="2">
        <v>-90720734</v>
      </c>
      <c r="S417" s="2">
        <v>0</v>
      </c>
      <c r="T417" s="2">
        <v>0</v>
      </c>
      <c r="U417" s="2">
        <v>-90720734</v>
      </c>
      <c r="W417" t="s">
        <v>27</v>
      </c>
      <c r="X417" s="2">
        <v>0</v>
      </c>
      <c r="Y417" s="2">
        <v>-179060201</v>
      </c>
      <c r="Z417" s="2">
        <v>0</v>
      </c>
      <c r="AA417" s="2">
        <v>0</v>
      </c>
      <c r="AB417" s="2">
        <v>-179060201</v>
      </c>
      <c r="AD417" t="s">
        <v>27</v>
      </c>
      <c r="AE417" s="2">
        <v>0</v>
      </c>
      <c r="AF417" s="2">
        <v>-122152325</v>
      </c>
      <c r="AG417" s="2">
        <v>0</v>
      </c>
      <c r="AH417" s="2">
        <v>0</v>
      </c>
      <c r="AI417" s="2">
        <v>-122152325</v>
      </c>
      <c r="AK417" t="s">
        <v>27</v>
      </c>
      <c r="AL417" s="2">
        <v>0</v>
      </c>
      <c r="AM417" s="2">
        <v>-176462327</v>
      </c>
      <c r="AN417" s="2">
        <v>0</v>
      </c>
      <c r="AO417" s="2">
        <v>0</v>
      </c>
      <c r="AP417" s="2">
        <v>-176462327</v>
      </c>
    </row>
    <row r="418" spans="2:42" x14ac:dyDescent="0.35">
      <c r="B418" t="s">
        <v>28</v>
      </c>
      <c r="C418" s="2">
        <v>0</v>
      </c>
      <c r="D418" s="2">
        <v>-289068811</v>
      </c>
      <c r="E418" s="2">
        <v>0</v>
      </c>
      <c r="F418" s="2">
        <v>0</v>
      </c>
      <c r="G418" s="2">
        <v>-289068811</v>
      </c>
      <c r="I418" t="s">
        <v>28</v>
      </c>
      <c r="J418" s="2">
        <v>0</v>
      </c>
      <c r="K418" s="2">
        <v>-72539530</v>
      </c>
      <c r="L418" s="2">
        <v>0</v>
      </c>
      <c r="M418" s="2">
        <v>0</v>
      </c>
      <c r="N418" s="2">
        <v>-72539530</v>
      </c>
      <c r="P418" t="s">
        <v>28</v>
      </c>
      <c r="Q418" s="2">
        <v>0</v>
      </c>
      <c r="R418" s="2">
        <v>-77112141</v>
      </c>
      <c r="S418" s="2">
        <v>0</v>
      </c>
      <c r="T418" s="2">
        <v>0</v>
      </c>
      <c r="U418" s="2">
        <v>-77112141</v>
      </c>
      <c r="W418" t="s">
        <v>28</v>
      </c>
      <c r="X418" s="2">
        <v>0</v>
      </c>
      <c r="Y418" s="2">
        <v>-149651671</v>
      </c>
      <c r="Z418" s="2">
        <v>0</v>
      </c>
      <c r="AA418" s="2">
        <v>0</v>
      </c>
      <c r="AB418" s="2">
        <v>-149651671</v>
      </c>
      <c r="AD418" t="s">
        <v>28</v>
      </c>
      <c r="AE418" s="2">
        <v>0</v>
      </c>
      <c r="AF418" s="2">
        <v>-71189804</v>
      </c>
      <c r="AG418" s="2">
        <v>0</v>
      </c>
      <c r="AH418" s="2">
        <v>0</v>
      </c>
      <c r="AI418" s="2">
        <v>-71189804</v>
      </c>
      <c r="AK418" t="s">
        <v>28</v>
      </c>
      <c r="AL418" s="2">
        <v>0</v>
      </c>
      <c r="AM418" s="2">
        <v>-68227336</v>
      </c>
      <c r="AN418" s="2">
        <v>0</v>
      </c>
      <c r="AO418" s="2">
        <v>0</v>
      </c>
      <c r="AP418" s="2">
        <v>-68227336</v>
      </c>
    </row>
    <row r="419" spans="2:42" x14ac:dyDescent="0.35">
      <c r="B419" t="s">
        <v>29</v>
      </c>
      <c r="C419" s="2">
        <v>0</v>
      </c>
      <c r="D419" s="2">
        <v>9636898</v>
      </c>
      <c r="E419" s="2">
        <v>0</v>
      </c>
      <c r="F419" s="2">
        <v>0</v>
      </c>
      <c r="G419" s="2">
        <v>9636898</v>
      </c>
      <c r="I419" t="s">
        <v>29</v>
      </c>
      <c r="J419" s="2">
        <v>0</v>
      </c>
      <c r="K419" s="2">
        <v>2496163</v>
      </c>
      <c r="L419" s="2">
        <v>0</v>
      </c>
      <c r="M419" s="2">
        <v>0</v>
      </c>
      <c r="N419" s="2">
        <v>2496163</v>
      </c>
      <c r="P419" t="s">
        <v>29</v>
      </c>
      <c r="Q419" s="2">
        <v>0</v>
      </c>
      <c r="R419" s="2">
        <v>2511314</v>
      </c>
      <c r="S419" s="2">
        <v>0</v>
      </c>
      <c r="T419" s="2">
        <v>0</v>
      </c>
      <c r="U419" s="2">
        <v>2511314</v>
      </c>
      <c r="W419" t="s">
        <v>29</v>
      </c>
      <c r="X419" s="2">
        <v>0</v>
      </c>
      <c r="Y419" s="2">
        <v>5007477</v>
      </c>
      <c r="Z419" s="2">
        <v>0</v>
      </c>
      <c r="AA419" s="2">
        <v>0</v>
      </c>
      <c r="AB419" s="2">
        <v>5007477</v>
      </c>
      <c r="AD419" t="s">
        <v>29</v>
      </c>
      <c r="AE419" s="2">
        <v>0</v>
      </c>
      <c r="AF419" s="2">
        <v>2281567</v>
      </c>
      <c r="AG419" s="2">
        <v>0</v>
      </c>
      <c r="AH419" s="2">
        <v>0</v>
      </c>
      <c r="AI419" s="2">
        <v>2281567</v>
      </c>
      <c r="AK419" t="s">
        <v>29</v>
      </c>
      <c r="AL419" s="2">
        <v>0</v>
      </c>
      <c r="AM419" s="2">
        <v>2347854</v>
      </c>
      <c r="AN419" s="2">
        <v>0</v>
      </c>
      <c r="AO419" s="2">
        <v>0</v>
      </c>
      <c r="AP419" s="2">
        <v>2347854</v>
      </c>
    </row>
    <row r="420" spans="2:42" x14ac:dyDescent="0.35">
      <c r="B420" t="s">
        <v>30</v>
      </c>
      <c r="C420" s="2">
        <v>0</v>
      </c>
      <c r="D420" s="2">
        <v>-8061267</v>
      </c>
      <c r="E420" s="2">
        <v>0</v>
      </c>
      <c r="F420" s="2">
        <v>0</v>
      </c>
      <c r="G420" s="2">
        <v>-8061267</v>
      </c>
      <c r="I420" t="s">
        <v>30</v>
      </c>
      <c r="J420" s="2">
        <v>0</v>
      </c>
      <c r="K420" s="2">
        <v>-3126461</v>
      </c>
      <c r="L420" s="2">
        <v>0</v>
      </c>
      <c r="M420" s="2">
        <v>0</v>
      </c>
      <c r="N420" s="2">
        <v>-3126461</v>
      </c>
      <c r="P420" t="s">
        <v>30</v>
      </c>
      <c r="Q420" s="2">
        <v>0</v>
      </c>
      <c r="R420" s="2">
        <v>-4734810</v>
      </c>
      <c r="S420" s="2">
        <v>0</v>
      </c>
      <c r="T420" s="2">
        <v>0</v>
      </c>
      <c r="U420" s="2">
        <v>-4734810</v>
      </c>
      <c r="W420" t="s">
        <v>30</v>
      </c>
      <c r="X420" s="2">
        <v>0</v>
      </c>
      <c r="Y420" s="2">
        <v>-7861271</v>
      </c>
      <c r="Z420" s="2">
        <v>0</v>
      </c>
      <c r="AA420" s="2">
        <v>0</v>
      </c>
      <c r="AB420" s="2">
        <v>-7861271</v>
      </c>
      <c r="AD420" t="s">
        <v>30</v>
      </c>
      <c r="AE420" s="2">
        <v>0</v>
      </c>
      <c r="AF420" s="2">
        <v>-4903635</v>
      </c>
      <c r="AG420" s="2">
        <v>0</v>
      </c>
      <c r="AH420" s="2">
        <v>0</v>
      </c>
      <c r="AI420" s="2">
        <v>-4903635</v>
      </c>
      <c r="AK420" t="s">
        <v>30</v>
      </c>
      <c r="AL420" s="2">
        <v>0</v>
      </c>
      <c r="AM420" s="2">
        <v>4703639</v>
      </c>
      <c r="AN420" s="2">
        <v>0</v>
      </c>
      <c r="AO420" s="2">
        <v>0</v>
      </c>
      <c r="AP420" s="2">
        <v>4703639</v>
      </c>
    </row>
    <row r="421" spans="2:42" x14ac:dyDescent="0.35">
      <c r="B421" s="19" t="s">
        <v>90</v>
      </c>
      <c r="C421" s="20">
        <v>0</v>
      </c>
      <c r="D421" s="20">
        <v>-765168033</v>
      </c>
      <c r="E421" s="20">
        <v>0</v>
      </c>
      <c r="F421" s="20">
        <v>0</v>
      </c>
      <c r="G421" s="20">
        <v>-765168033</v>
      </c>
      <c r="I421" s="19" t="s">
        <v>90</v>
      </c>
      <c r="J421" s="20">
        <v>0</v>
      </c>
      <c r="K421" s="20">
        <v>-161509295</v>
      </c>
      <c r="L421" s="20">
        <v>0</v>
      </c>
      <c r="M421" s="20">
        <v>0</v>
      </c>
      <c r="N421" s="20">
        <v>-161509295</v>
      </c>
      <c r="P421" s="19" t="s">
        <v>90</v>
      </c>
      <c r="Q421" s="20">
        <v>0</v>
      </c>
      <c r="R421" s="20">
        <v>-170056371</v>
      </c>
      <c r="S421" s="20">
        <v>0</v>
      </c>
      <c r="T421" s="20">
        <v>0</v>
      </c>
      <c r="U421" s="20">
        <v>-170056371</v>
      </c>
      <c r="W421" s="19" t="s">
        <v>90</v>
      </c>
      <c r="X421" s="20">
        <v>0</v>
      </c>
      <c r="Y421" s="20">
        <v>-331565666</v>
      </c>
      <c r="Z421" s="20">
        <v>0</v>
      </c>
      <c r="AA421" s="20">
        <v>0</v>
      </c>
      <c r="AB421" s="20">
        <v>-331565666</v>
      </c>
      <c r="AD421" s="19" t="s">
        <v>90</v>
      </c>
      <c r="AE421" s="20">
        <v>0</v>
      </c>
      <c r="AF421" s="20">
        <v>-195964197</v>
      </c>
      <c r="AG421" s="20">
        <v>0</v>
      </c>
      <c r="AH421" s="20">
        <v>0</v>
      </c>
      <c r="AI421" s="20">
        <v>-195964197</v>
      </c>
      <c r="AK421" s="19" t="s">
        <v>90</v>
      </c>
      <c r="AL421" s="20">
        <v>0</v>
      </c>
      <c r="AM421" s="20">
        <v>-237638170</v>
      </c>
      <c r="AN421" s="20">
        <v>0</v>
      </c>
      <c r="AO421" s="20">
        <v>0</v>
      </c>
      <c r="AP421" s="20">
        <v>-237638170</v>
      </c>
    </row>
    <row r="422" spans="2:42" x14ac:dyDescent="0.35">
      <c r="C422" s="2"/>
      <c r="D422" s="2"/>
      <c r="E422" s="2"/>
      <c r="F422" s="2"/>
      <c r="G422" s="2"/>
      <c r="J422" s="2"/>
      <c r="K422" s="2"/>
      <c r="L422" s="2"/>
      <c r="M422" s="2"/>
      <c r="N422" s="2"/>
      <c r="Q422" s="2"/>
      <c r="R422" s="2"/>
      <c r="S422" s="2"/>
      <c r="T422" s="2"/>
      <c r="U422" s="2"/>
      <c r="X422" s="2"/>
      <c r="Y422" s="2"/>
      <c r="Z422" s="2"/>
      <c r="AA422" s="2"/>
      <c r="AB422" s="2"/>
      <c r="AE422" s="2"/>
      <c r="AF422" s="2"/>
      <c r="AG422" s="2"/>
      <c r="AH422" s="2"/>
      <c r="AI422" s="2"/>
      <c r="AL422" s="2"/>
      <c r="AM422" s="2"/>
      <c r="AN422" s="2"/>
      <c r="AO422" s="2"/>
      <c r="AP422" s="2"/>
    </row>
    <row r="423" spans="2:42" x14ac:dyDescent="0.35">
      <c r="C423" s="2"/>
      <c r="D423" s="2"/>
      <c r="E423" s="2"/>
      <c r="F423" s="2"/>
      <c r="G423" s="2"/>
      <c r="J423" s="2"/>
      <c r="K423" s="2"/>
      <c r="L423" s="2"/>
      <c r="M423" s="2"/>
      <c r="N423" s="2"/>
      <c r="Q423" s="2"/>
      <c r="R423" s="2"/>
      <c r="S423" s="2"/>
      <c r="T423" s="2"/>
      <c r="U423" s="2"/>
      <c r="X423" s="2"/>
      <c r="Y423" s="2"/>
      <c r="Z423" s="2"/>
      <c r="AA423" s="2"/>
      <c r="AB423" s="2"/>
      <c r="AE423" s="2"/>
      <c r="AF423" s="2"/>
      <c r="AG423" s="2"/>
      <c r="AH423" s="2"/>
      <c r="AI423" s="2"/>
      <c r="AL423" s="2"/>
      <c r="AM423" s="2"/>
      <c r="AN423" s="2"/>
      <c r="AO423" s="2"/>
      <c r="AP423" s="2"/>
    </row>
    <row r="424" spans="2:42" x14ac:dyDescent="0.35">
      <c r="B424" s="16" t="s">
        <v>89</v>
      </c>
      <c r="C424" s="2">
        <v>0</v>
      </c>
      <c r="D424" s="2">
        <v>133005051</v>
      </c>
      <c r="E424" s="2">
        <v>1262154.43</v>
      </c>
      <c r="F424" s="2">
        <v>0</v>
      </c>
      <c r="G424" s="17">
        <v>134267205.43000001</v>
      </c>
      <c r="I424" s="6" t="s">
        <v>89</v>
      </c>
      <c r="J424" s="2">
        <v>0</v>
      </c>
      <c r="K424" s="2">
        <v>23385850</v>
      </c>
      <c r="L424" s="2">
        <v>264182.57</v>
      </c>
      <c r="M424" s="2">
        <v>0</v>
      </c>
      <c r="N424" s="7">
        <v>23650032.57</v>
      </c>
      <c r="P424" s="6" t="s">
        <v>89</v>
      </c>
      <c r="Q424" s="2">
        <v>0</v>
      </c>
      <c r="R424" s="2">
        <v>29059697</v>
      </c>
      <c r="S424" s="2">
        <v>396366.38000000006</v>
      </c>
      <c r="T424" s="2">
        <v>0</v>
      </c>
      <c r="U424" s="7">
        <v>29456063.379999999</v>
      </c>
      <c r="W424" s="6" t="s">
        <v>89</v>
      </c>
      <c r="X424" s="2">
        <v>0</v>
      </c>
      <c r="Y424" s="2">
        <v>52445547</v>
      </c>
      <c r="Z424" s="2">
        <v>660548.95000000007</v>
      </c>
      <c r="AA424" s="2">
        <v>0</v>
      </c>
      <c r="AB424" s="7">
        <v>53106095.950000003</v>
      </c>
      <c r="AD424" s="16" t="s">
        <v>89</v>
      </c>
      <c r="AE424" s="2">
        <v>0</v>
      </c>
      <c r="AF424" s="2">
        <v>37316438</v>
      </c>
      <c r="AG424" s="2">
        <v>358269.98999999987</v>
      </c>
      <c r="AH424" s="2">
        <v>0</v>
      </c>
      <c r="AI424" s="17">
        <v>37674707.990000002</v>
      </c>
      <c r="AK424" s="16" t="s">
        <v>89</v>
      </c>
      <c r="AL424" s="23">
        <v>0</v>
      </c>
      <c r="AM424" s="23">
        <v>43243066</v>
      </c>
      <c r="AN424" s="23">
        <v>243335.49</v>
      </c>
      <c r="AO424" s="23">
        <v>0</v>
      </c>
      <c r="AP424" s="23">
        <v>43486401.490000002</v>
      </c>
    </row>
    <row r="425" spans="2:42" x14ac:dyDescent="0.35">
      <c r="C425" s="2"/>
      <c r="D425" s="2"/>
      <c r="E425" s="2"/>
      <c r="F425" s="2"/>
      <c r="G425" s="2"/>
      <c r="I425" s="13"/>
      <c r="J425" s="155"/>
      <c r="K425" s="155"/>
      <c r="L425" s="155"/>
      <c r="M425" s="155"/>
      <c r="N425" s="155"/>
      <c r="P425" s="13"/>
      <c r="Q425" s="155"/>
      <c r="R425" s="155"/>
      <c r="S425" s="155"/>
      <c r="T425" s="155"/>
      <c r="U425" s="155"/>
      <c r="W425" s="13"/>
      <c r="X425" s="155"/>
      <c r="Y425" s="155"/>
      <c r="Z425" s="155"/>
      <c r="AA425" s="155"/>
      <c r="AB425" s="155"/>
      <c r="AE425" s="2"/>
      <c r="AF425" s="2"/>
      <c r="AG425" s="2"/>
      <c r="AH425" s="2"/>
      <c r="AI425" s="2"/>
      <c r="AL425" s="2"/>
      <c r="AM425" s="2"/>
      <c r="AN425" s="2"/>
      <c r="AO425" s="2"/>
      <c r="AP425" s="2"/>
    </row>
    <row r="426" spans="2:42" x14ac:dyDescent="0.35">
      <c r="C426" s="2"/>
      <c r="D426" s="2"/>
      <c r="E426" s="2"/>
      <c r="F426" s="2"/>
      <c r="G426" s="2"/>
      <c r="J426" s="2"/>
      <c r="K426" s="2"/>
      <c r="L426" s="2"/>
      <c r="M426" s="2"/>
      <c r="N426" s="2"/>
      <c r="Q426" s="2"/>
      <c r="R426" s="2"/>
      <c r="S426" s="2"/>
      <c r="T426" s="2"/>
      <c r="U426" s="2"/>
      <c r="X426" s="2"/>
      <c r="Y426" s="2"/>
      <c r="Z426" s="2"/>
      <c r="AA426" s="2"/>
      <c r="AB426" s="2"/>
      <c r="AE426" s="2"/>
      <c r="AF426" s="2"/>
      <c r="AG426" s="2"/>
      <c r="AH426" s="2"/>
      <c r="AI426" s="2"/>
    </row>
    <row r="427" spans="2:42" x14ac:dyDescent="0.35">
      <c r="C427" s="2"/>
      <c r="D427" s="2"/>
      <c r="E427" s="2"/>
      <c r="F427" s="2"/>
      <c r="G427" s="2"/>
      <c r="J427" s="2"/>
      <c r="K427" s="2"/>
      <c r="L427" s="2"/>
      <c r="M427" s="2"/>
      <c r="N427" s="2"/>
      <c r="Q427" s="2"/>
      <c r="R427" s="2"/>
      <c r="S427" s="2"/>
      <c r="T427" s="2"/>
      <c r="U427" s="2"/>
      <c r="X427" s="2"/>
      <c r="Y427" s="2"/>
      <c r="Z427" s="2"/>
      <c r="AA427" s="2"/>
      <c r="AB427" s="2"/>
      <c r="AE427" s="2"/>
      <c r="AF427" s="2"/>
      <c r="AG427" s="2"/>
      <c r="AH427" s="2"/>
      <c r="AI427" s="2"/>
    </row>
    <row r="428" spans="2:42" x14ac:dyDescent="0.35">
      <c r="B428" t="s">
        <v>31</v>
      </c>
      <c r="C428" s="2">
        <v>0</v>
      </c>
      <c r="D428" s="2">
        <v>2945160</v>
      </c>
      <c r="E428" s="2">
        <v>102227573.26000001</v>
      </c>
      <c r="F428" s="2">
        <v>0</v>
      </c>
      <c r="G428" s="2">
        <v>105172733.26000001</v>
      </c>
      <c r="I428" t="s">
        <v>31</v>
      </c>
      <c r="J428" s="2">
        <v>0</v>
      </c>
      <c r="K428" s="2">
        <v>387901</v>
      </c>
      <c r="L428" s="2">
        <v>10348135.636000002</v>
      </c>
      <c r="M428" s="2">
        <v>0</v>
      </c>
      <c r="N428" s="2">
        <v>10736036.636000002</v>
      </c>
      <c r="P428" t="s">
        <v>31</v>
      </c>
      <c r="Q428" s="2">
        <v>0</v>
      </c>
      <c r="R428" s="2">
        <v>216712</v>
      </c>
      <c r="S428" s="2">
        <v>14112594.853999989</v>
      </c>
      <c r="T428" s="2">
        <v>0</v>
      </c>
      <c r="U428" s="2">
        <v>14329306.853999989</v>
      </c>
      <c r="W428" t="s">
        <v>31</v>
      </c>
      <c r="X428" s="2">
        <v>0</v>
      </c>
      <c r="Y428" s="2">
        <v>604613</v>
      </c>
      <c r="Z428" s="2">
        <v>24460730.489999991</v>
      </c>
      <c r="AA428" s="2">
        <v>0</v>
      </c>
      <c r="AB428" s="2">
        <v>25065343.489999991</v>
      </c>
      <c r="AD428" t="s">
        <v>31</v>
      </c>
      <c r="AE428" s="2">
        <v>0</v>
      </c>
      <c r="AF428" s="2">
        <v>1282925</v>
      </c>
      <c r="AG428" s="2">
        <v>18042128.770000014</v>
      </c>
      <c r="AH428" s="2">
        <v>0</v>
      </c>
      <c r="AI428" s="2">
        <v>19325053.770000014</v>
      </c>
      <c r="AK428" t="s">
        <v>31</v>
      </c>
      <c r="AL428" s="2">
        <v>0</v>
      </c>
      <c r="AM428" s="2">
        <v>1057622</v>
      </c>
      <c r="AN428" s="2">
        <v>59724714</v>
      </c>
      <c r="AO428" s="2">
        <v>0</v>
      </c>
      <c r="AP428" s="2">
        <v>60782336</v>
      </c>
    </row>
    <row r="429" spans="2:42" x14ac:dyDescent="0.35">
      <c r="B429" t="s">
        <v>32</v>
      </c>
      <c r="C429" s="2">
        <v>0</v>
      </c>
      <c r="D429" s="2">
        <v>0</v>
      </c>
      <c r="E429" s="2">
        <v>-40531194.666999996</v>
      </c>
      <c r="F429" s="2">
        <v>0</v>
      </c>
      <c r="G429" s="2">
        <v>-40531194.666999996</v>
      </c>
      <c r="I429" t="s">
        <v>32</v>
      </c>
      <c r="J429" s="2">
        <v>0</v>
      </c>
      <c r="K429" s="2">
        <v>0</v>
      </c>
      <c r="L429" s="2">
        <v>-2744829.375</v>
      </c>
      <c r="M429" s="2">
        <v>0</v>
      </c>
      <c r="N429" s="2">
        <v>-2744829.375</v>
      </c>
      <c r="P429" t="s">
        <v>32</v>
      </c>
      <c r="Q429" s="2">
        <v>0</v>
      </c>
      <c r="R429" s="2">
        <v>0</v>
      </c>
      <c r="S429" s="2">
        <v>-10088927.992000001</v>
      </c>
      <c r="T429" s="2">
        <v>0</v>
      </c>
      <c r="U429" s="2">
        <v>-10088927.992000001</v>
      </c>
      <c r="W429" t="s">
        <v>32</v>
      </c>
      <c r="X429" s="2">
        <v>0</v>
      </c>
      <c r="Y429" s="2">
        <v>0</v>
      </c>
      <c r="Z429" s="2">
        <v>-12833757.367000001</v>
      </c>
      <c r="AA429" s="2">
        <v>0</v>
      </c>
      <c r="AB429" s="2">
        <v>-12833757.367000001</v>
      </c>
      <c r="AD429" t="s">
        <v>32</v>
      </c>
      <c r="AE429" s="2">
        <v>0</v>
      </c>
      <c r="AF429" s="2">
        <v>0</v>
      </c>
      <c r="AG429" s="2">
        <v>-7127695.3199999984</v>
      </c>
      <c r="AH429" s="2">
        <v>0</v>
      </c>
      <c r="AI429" s="2">
        <v>-7127695.3199999984</v>
      </c>
      <c r="AK429" t="s">
        <v>32</v>
      </c>
      <c r="AL429" s="2">
        <v>0</v>
      </c>
      <c r="AM429" s="2">
        <v>0</v>
      </c>
      <c r="AN429" s="2">
        <v>-20569741.979999997</v>
      </c>
      <c r="AO429" s="2">
        <v>0</v>
      </c>
      <c r="AP429" s="2">
        <v>-20569741.979999997</v>
      </c>
    </row>
    <row r="430" spans="2:42" x14ac:dyDescent="0.35">
      <c r="B430" s="19" t="s">
        <v>33</v>
      </c>
      <c r="C430" s="20">
        <v>0</v>
      </c>
      <c r="D430" s="20">
        <v>2945160</v>
      </c>
      <c r="E430" s="20">
        <v>61696378.59300001</v>
      </c>
      <c r="F430" s="20">
        <v>0</v>
      </c>
      <c r="G430" s="20">
        <v>64641538.59300001</v>
      </c>
      <c r="I430" s="19" t="s">
        <v>33</v>
      </c>
      <c r="J430" s="20">
        <v>0</v>
      </c>
      <c r="K430" s="20">
        <v>387901</v>
      </c>
      <c r="L430" s="20">
        <v>7603306.2610000018</v>
      </c>
      <c r="M430" s="20">
        <v>0</v>
      </c>
      <c r="N430" s="20">
        <v>7991207.2610000018</v>
      </c>
      <c r="P430" s="19" t="s">
        <v>33</v>
      </c>
      <c r="Q430" s="20">
        <v>0</v>
      </c>
      <c r="R430" s="20">
        <v>216712</v>
      </c>
      <c r="S430" s="20">
        <v>4023666.8619999886</v>
      </c>
      <c r="T430" s="20">
        <v>0</v>
      </c>
      <c r="U430" s="20">
        <v>4240378.8619999886</v>
      </c>
      <c r="W430" s="19" t="s">
        <v>33</v>
      </c>
      <c r="X430" s="20">
        <v>0</v>
      </c>
      <c r="Y430" s="20">
        <v>604613</v>
      </c>
      <c r="Z430" s="20">
        <v>11626973.12299999</v>
      </c>
      <c r="AA430" s="20">
        <v>0</v>
      </c>
      <c r="AB430" s="20">
        <v>12231586.12299999</v>
      </c>
      <c r="AD430" s="19" t="s">
        <v>33</v>
      </c>
      <c r="AE430" s="20">
        <v>0</v>
      </c>
      <c r="AF430" s="20">
        <v>1282925</v>
      </c>
      <c r="AG430" s="20">
        <v>10914433.450000016</v>
      </c>
      <c r="AH430" s="20">
        <v>0</v>
      </c>
      <c r="AI430" s="20">
        <v>12197358.450000016</v>
      </c>
      <c r="AK430" s="25" t="s">
        <v>33</v>
      </c>
      <c r="AL430" s="20">
        <v>0</v>
      </c>
      <c r="AM430" s="20">
        <v>1057622</v>
      </c>
      <c r="AN430" s="20">
        <v>39154972.020000003</v>
      </c>
      <c r="AO430" s="20">
        <v>0</v>
      </c>
      <c r="AP430" s="20">
        <v>40212594.020000003</v>
      </c>
    </row>
    <row r="431" spans="2:42" x14ac:dyDescent="0.35">
      <c r="C431" s="2"/>
      <c r="D431" s="2"/>
      <c r="E431" s="2"/>
      <c r="F431" s="2"/>
      <c r="G431" s="2"/>
      <c r="J431" s="2"/>
      <c r="K431" s="2"/>
      <c r="L431" s="2"/>
      <c r="M431" s="2"/>
      <c r="N431" s="2"/>
      <c r="Q431" s="2"/>
      <c r="R431" s="2"/>
      <c r="S431" s="2"/>
      <c r="T431" s="2"/>
      <c r="U431" s="2"/>
      <c r="X431" s="2"/>
      <c r="Y431" s="2"/>
      <c r="Z431" s="2"/>
      <c r="AA431" s="2"/>
      <c r="AB431" s="2"/>
      <c r="AE431" s="2"/>
      <c r="AF431" s="2"/>
      <c r="AG431" s="2"/>
      <c r="AH431" s="2"/>
      <c r="AI431" s="2"/>
      <c r="AL431" s="2"/>
      <c r="AM431" s="2"/>
      <c r="AN431" s="2"/>
      <c r="AO431" s="2"/>
      <c r="AP431" s="2"/>
    </row>
    <row r="432" spans="2:42" x14ac:dyDescent="0.35">
      <c r="C432" s="2"/>
      <c r="D432" s="2"/>
      <c r="E432" s="2"/>
      <c r="F432" s="2"/>
      <c r="G432" s="2"/>
      <c r="J432" s="2"/>
      <c r="K432" s="2"/>
      <c r="L432" s="2"/>
      <c r="M432" s="2"/>
      <c r="N432" s="2"/>
      <c r="Q432" s="2"/>
      <c r="R432" s="2"/>
      <c r="S432" s="2"/>
      <c r="T432" s="2"/>
      <c r="U432" s="2"/>
      <c r="X432" s="2"/>
      <c r="Y432" s="2"/>
      <c r="Z432" s="2"/>
      <c r="AA432" s="2"/>
      <c r="AB432" s="2"/>
      <c r="AE432" s="2"/>
      <c r="AF432" s="2"/>
      <c r="AG432" s="2"/>
      <c r="AH432" s="2"/>
      <c r="AI432" s="2"/>
      <c r="AL432" s="2"/>
      <c r="AM432" s="2"/>
      <c r="AN432" s="2"/>
      <c r="AO432" s="2"/>
      <c r="AP432" s="2"/>
    </row>
    <row r="433" spans="2:42" x14ac:dyDescent="0.35">
      <c r="B433" t="s">
        <v>35</v>
      </c>
      <c r="C433" s="2">
        <v>25416308.090000004</v>
      </c>
      <c r="D433" s="2">
        <v>1049692</v>
      </c>
      <c r="E433" s="2">
        <v>0</v>
      </c>
      <c r="F433" s="2">
        <v>7801645.0799999991</v>
      </c>
      <c r="G433" s="2">
        <v>34267645.170000002</v>
      </c>
      <c r="I433" t="s">
        <v>35</v>
      </c>
      <c r="J433" s="2">
        <v>8771490.6799999997</v>
      </c>
      <c r="K433" s="2">
        <v>945801</v>
      </c>
      <c r="L433" s="2">
        <v>0</v>
      </c>
      <c r="M433" s="2">
        <v>1087489.22</v>
      </c>
      <c r="N433" s="2">
        <v>10804780.9</v>
      </c>
      <c r="P433" t="s">
        <v>35</v>
      </c>
      <c r="Q433" s="2">
        <v>5628805.9199999999</v>
      </c>
      <c r="R433" s="2">
        <v>218339</v>
      </c>
      <c r="S433" s="2">
        <v>0</v>
      </c>
      <c r="T433" s="2">
        <v>1271718.4200000002</v>
      </c>
      <c r="U433" s="2">
        <v>7118863.3399999999</v>
      </c>
      <c r="W433" t="s">
        <v>35</v>
      </c>
      <c r="X433" s="2">
        <v>14400296.6</v>
      </c>
      <c r="Y433" s="2">
        <v>1164140</v>
      </c>
      <c r="Z433" s="2">
        <v>0</v>
      </c>
      <c r="AA433" s="2">
        <v>2359207.64</v>
      </c>
      <c r="AB433" s="2">
        <v>17923644.239999998</v>
      </c>
      <c r="AD433" t="s">
        <v>35</v>
      </c>
      <c r="AE433" s="2">
        <v>5282982.9600000028</v>
      </c>
      <c r="AF433" s="2">
        <v>327899</v>
      </c>
      <c r="AG433" s="2">
        <v>0</v>
      </c>
      <c r="AH433" s="2">
        <v>2989734.2999999993</v>
      </c>
      <c r="AI433" s="2">
        <v>8600616.2600000016</v>
      </c>
      <c r="AK433" t="s">
        <v>35</v>
      </c>
      <c r="AL433" s="2">
        <v>5733028.5300000031</v>
      </c>
      <c r="AM433" s="2">
        <v>-442347</v>
      </c>
      <c r="AN433" s="2">
        <v>0</v>
      </c>
      <c r="AO433" s="2">
        <v>2452703.1399999992</v>
      </c>
      <c r="AP433" s="2">
        <v>7743384.6700000018</v>
      </c>
    </row>
    <row r="434" spans="2:42" x14ac:dyDescent="0.35">
      <c r="B434" t="s">
        <v>36</v>
      </c>
      <c r="C434" s="2">
        <v>-36567902.020000003</v>
      </c>
      <c r="D434" s="2">
        <v>0</v>
      </c>
      <c r="E434" s="2">
        <v>0</v>
      </c>
      <c r="F434" s="2">
        <v>-3170028.15</v>
      </c>
      <c r="G434" s="2">
        <v>-39737930.170000002</v>
      </c>
      <c r="I434" t="s">
        <v>36</v>
      </c>
      <c r="J434" s="2">
        <v>-6329687.2999999998</v>
      </c>
      <c r="K434" s="2">
        <v>0</v>
      </c>
      <c r="L434" s="2">
        <v>0</v>
      </c>
      <c r="M434" s="2">
        <v>-548060.58000000007</v>
      </c>
      <c r="N434" s="2">
        <v>-6877747.8799999999</v>
      </c>
      <c r="P434" t="s">
        <v>36</v>
      </c>
      <c r="Q434" s="2">
        <v>-6867816.8000000017</v>
      </c>
      <c r="R434" s="2">
        <v>0</v>
      </c>
      <c r="S434" s="2">
        <v>0</v>
      </c>
      <c r="T434" s="2">
        <v>-1107400.5099999998</v>
      </c>
      <c r="U434" s="2">
        <v>-7975217.3100000015</v>
      </c>
      <c r="W434" t="s">
        <v>36</v>
      </c>
      <c r="X434" s="2">
        <v>-13197504.100000001</v>
      </c>
      <c r="Y434" s="2">
        <v>0</v>
      </c>
      <c r="Z434" s="2">
        <v>0</v>
      </c>
      <c r="AA434" s="2">
        <v>-1655461.0899999999</v>
      </c>
      <c r="AB434" s="2">
        <v>-14852965.190000001</v>
      </c>
      <c r="AD434" t="s">
        <v>36</v>
      </c>
      <c r="AE434" s="2">
        <v>-10485032.93</v>
      </c>
      <c r="AF434" s="2">
        <v>0</v>
      </c>
      <c r="AG434" s="2">
        <v>0</v>
      </c>
      <c r="AH434" s="2">
        <v>-1249328.3799999999</v>
      </c>
      <c r="AI434" s="2">
        <v>-11734361.309999999</v>
      </c>
      <c r="AK434" t="s">
        <v>36</v>
      </c>
      <c r="AL434" s="2">
        <v>-12885364.990000002</v>
      </c>
      <c r="AM434" s="2">
        <v>0</v>
      </c>
      <c r="AN434" s="2">
        <v>0</v>
      </c>
      <c r="AO434" s="2">
        <v>-265238.68000000017</v>
      </c>
      <c r="AP434" s="2">
        <v>-13150603.670000002</v>
      </c>
    </row>
    <row r="435" spans="2:42" x14ac:dyDescent="0.35">
      <c r="B435" s="19" t="s">
        <v>37</v>
      </c>
      <c r="C435" s="20">
        <v>-11151593.93</v>
      </c>
      <c r="D435" s="20">
        <v>1049692</v>
      </c>
      <c r="E435" s="20">
        <v>0</v>
      </c>
      <c r="F435" s="20">
        <v>4631616.93</v>
      </c>
      <c r="G435" s="20">
        <v>-5470285</v>
      </c>
      <c r="I435" s="19" t="s">
        <v>37</v>
      </c>
      <c r="J435" s="20">
        <v>2441803.38</v>
      </c>
      <c r="K435" s="20">
        <v>945801</v>
      </c>
      <c r="L435" s="20">
        <v>0</v>
      </c>
      <c r="M435" s="20">
        <v>539428.6399999999</v>
      </c>
      <c r="N435" s="20">
        <v>3927033.0200000005</v>
      </c>
      <c r="P435" s="19" t="s">
        <v>37</v>
      </c>
      <c r="Q435" s="20">
        <v>-1239010.8800000018</v>
      </c>
      <c r="R435" s="20">
        <v>218339</v>
      </c>
      <c r="S435" s="20">
        <v>0</v>
      </c>
      <c r="T435" s="20">
        <v>164317.91000000038</v>
      </c>
      <c r="U435" s="20">
        <v>-856353.9700000016</v>
      </c>
      <c r="W435" s="19" t="s">
        <v>37</v>
      </c>
      <c r="X435" s="20">
        <v>1202792.4999999981</v>
      </c>
      <c r="Y435" s="20">
        <v>1164140</v>
      </c>
      <c r="Z435" s="20">
        <v>0</v>
      </c>
      <c r="AA435" s="20">
        <v>703746.55000000028</v>
      </c>
      <c r="AB435" s="20">
        <v>3070679.049999997</v>
      </c>
      <c r="AD435" s="19" t="s">
        <v>37</v>
      </c>
      <c r="AE435" s="20">
        <v>-5202049.9699999969</v>
      </c>
      <c r="AF435" s="20">
        <v>327899</v>
      </c>
      <c r="AG435" s="20">
        <v>0</v>
      </c>
      <c r="AH435" s="20">
        <v>1740405.9199999995</v>
      </c>
      <c r="AI435" s="20">
        <v>-3133745.049999997</v>
      </c>
      <c r="AK435" s="25" t="s">
        <v>37</v>
      </c>
      <c r="AL435" s="20">
        <v>-7152336.459999999</v>
      </c>
      <c r="AM435" s="20">
        <v>-442347</v>
      </c>
      <c r="AN435" s="20">
        <v>0</v>
      </c>
      <c r="AO435" s="20">
        <v>2187464.459999999</v>
      </c>
      <c r="AP435" s="20">
        <v>-5407219</v>
      </c>
    </row>
    <row r="436" spans="2:42" x14ac:dyDescent="0.35">
      <c r="C436" s="2"/>
      <c r="D436" s="2"/>
      <c r="E436" s="2"/>
      <c r="F436" s="2"/>
      <c r="G436" s="2"/>
      <c r="J436" s="2"/>
      <c r="K436" s="2"/>
      <c r="L436" s="2"/>
      <c r="M436" s="2"/>
      <c r="N436" s="2"/>
      <c r="Q436" s="2"/>
      <c r="R436" s="2"/>
      <c r="S436" s="2"/>
      <c r="T436" s="2"/>
      <c r="U436" s="2"/>
      <c r="X436" s="2"/>
      <c r="Y436" s="2"/>
      <c r="Z436" s="2"/>
      <c r="AA436" s="2"/>
      <c r="AB436" s="2"/>
      <c r="AE436" s="2"/>
      <c r="AF436" s="2"/>
      <c r="AG436" s="2"/>
      <c r="AH436" s="2"/>
      <c r="AI436" s="2"/>
      <c r="AL436" s="2"/>
      <c r="AM436" s="2"/>
      <c r="AN436" s="2"/>
      <c r="AO436" s="2"/>
      <c r="AP436" s="2"/>
    </row>
    <row r="437" spans="2:42" x14ac:dyDescent="0.35">
      <c r="B437" t="s">
        <v>212</v>
      </c>
      <c r="C437" s="2">
        <v>194676581.13999999</v>
      </c>
      <c r="D437" s="2">
        <v>0</v>
      </c>
      <c r="E437" s="2">
        <v>0</v>
      </c>
      <c r="F437" s="2">
        <v>0</v>
      </c>
      <c r="G437" s="2">
        <v>194676581.13999999</v>
      </c>
      <c r="I437" t="s">
        <v>212</v>
      </c>
      <c r="J437" s="2">
        <v>0</v>
      </c>
      <c r="K437" s="2">
        <v>0</v>
      </c>
      <c r="L437" s="2">
        <v>0</v>
      </c>
      <c r="M437" s="2">
        <v>0</v>
      </c>
      <c r="N437" s="2">
        <v>0</v>
      </c>
      <c r="P437" t="s">
        <v>212</v>
      </c>
      <c r="Q437" s="2">
        <v>0</v>
      </c>
      <c r="R437" s="2">
        <v>0</v>
      </c>
      <c r="S437" s="2">
        <v>0</v>
      </c>
      <c r="T437" s="2">
        <v>0</v>
      </c>
      <c r="U437" s="2">
        <v>0</v>
      </c>
      <c r="W437" t="s">
        <v>212</v>
      </c>
      <c r="X437" s="2">
        <v>0</v>
      </c>
      <c r="Y437" s="2">
        <v>0</v>
      </c>
      <c r="Z437" s="2">
        <v>0</v>
      </c>
      <c r="AA437" s="2">
        <v>0</v>
      </c>
      <c r="AB437" s="2">
        <v>0</v>
      </c>
      <c r="AD437" t="s">
        <v>212</v>
      </c>
      <c r="AE437" s="2">
        <v>0</v>
      </c>
      <c r="AF437" s="2">
        <v>0</v>
      </c>
      <c r="AG437" s="2">
        <v>0</v>
      </c>
      <c r="AH437" s="2">
        <v>0</v>
      </c>
      <c r="AI437" s="2">
        <v>0</v>
      </c>
      <c r="AK437" t="s">
        <v>212</v>
      </c>
      <c r="AL437" s="2">
        <v>194676581.13999999</v>
      </c>
      <c r="AM437" s="2">
        <v>0</v>
      </c>
      <c r="AN437" s="2">
        <v>0</v>
      </c>
      <c r="AO437" s="2">
        <v>0</v>
      </c>
      <c r="AP437" s="2">
        <v>194676581.13999999</v>
      </c>
    </row>
    <row r="438" spans="2:42" x14ac:dyDescent="0.35">
      <c r="B438" t="s">
        <v>38</v>
      </c>
      <c r="C438" s="2">
        <v>-103415558.14999998</v>
      </c>
      <c r="D438" s="2">
        <v>-12108061</v>
      </c>
      <c r="E438" s="2">
        <v>-1861657.2909999997</v>
      </c>
      <c r="F438" s="2">
        <v>-1466012.98</v>
      </c>
      <c r="G438" s="2">
        <v>-118851289.42099997</v>
      </c>
      <c r="I438" t="s">
        <v>38</v>
      </c>
      <c r="J438" s="2">
        <v>-23780565.520000007</v>
      </c>
      <c r="K438" s="2">
        <v>-3350758</v>
      </c>
      <c r="L438" s="2">
        <v>-485922.82</v>
      </c>
      <c r="M438" s="2">
        <v>-188719.24</v>
      </c>
      <c r="N438" s="2">
        <v>-27805965.580000006</v>
      </c>
      <c r="P438" t="s">
        <v>38</v>
      </c>
      <c r="Q438" s="2">
        <v>-25775837.729999993</v>
      </c>
      <c r="R438" s="2">
        <v>-2435909</v>
      </c>
      <c r="S438" s="2">
        <v>-422903.00000000006</v>
      </c>
      <c r="T438" s="2">
        <v>-210230.71000000002</v>
      </c>
      <c r="U438" s="2">
        <v>-28844880.439999994</v>
      </c>
      <c r="W438" t="s">
        <v>38</v>
      </c>
      <c r="X438" s="2">
        <v>-49556403.25</v>
      </c>
      <c r="Y438" s="2">
        <v>-5786667</v>
      </c>
      <c r="Z438" s="2">
        <v>-908825.82000000007</v>
      </c>
      <c r="AA438" s="2">
        <v>-398949.95</v>
      </c>
      <c r="AB438" s="2">
        <v>-56650846.020000003</v>
      </c>
      <c r="AD438" t="s">
        <v>38</v>
      </c>
      <c r="AE438" s="2">
        <v>-27118784.499999985</v>
      </c>
      <c r="AF438" s="2">
        <v>-3068751</v>
      </c>
      <c r="AG438" s="2">
        <v>-468604.67099999986</v>
      </c>
      <c r="AH438" s="2">
        <v>-464409.74999999994</v>
      </c>
      <c r="AI438" s="2">
        <v>-31120549.920999985</v>
      </c>
      <c r="AK438" t="s">
        <v>38</v>
      </c>
      <c r="AL438" s="2">
        <v>-26740370.399999991</v>
      </c>
      <c r="AM438" s="2">
        <v>-3252643</v>
      </c>
      <c r="AN438" s="2">
        <v>-484226.79999999981</v>
      </c>
      <c r="AO438" s="2">
        <v>-602653.28</v>
      </c>
      <c r="AP438" s="2">
        <v>-31079893.479999993</v>
      </c>
    </row>
    <row r="439" spans="2:42" x14ac:dyDescent="0.35">
      <c r="B439" t="s">
        <v>78</v>
      </c>
      <c r="C439" s="2">
        <v>-492968507.57999998</v>
      </c>
      <c r="D439" s="2">
        <v>-74670451</v>
      </c>
      <c r="E439" s="2">
        <v>-18973617.330000002</v>
      </c>
      <c r="F439" s="2">
        <v>-16638476.360000001</v>
      </c>
      <c r="G439" s="2">
        <v>-603251052.26999998</v>
      </c>
      <c r="I439" t="s">
        <v>78</v>
      </c>
      <c r="J439" s="2">
        <v>-117728796.45000002</v>
      </c>
      <c r="K439" s="2">
        <v>-21484366</v>
      </c>
      <c r="L439" s="2">
        <v>-4573911</v>
      </c>
      <c r="M439" s="2">
        <v>-5860293.6400000006</v>
      </c>
      <c r="N439" s="2">
        <v>-149647367.09000003</v>
      </c>
      <c r="P439" t="s">
        <v>78</v>
      </c>
      <c r="Q439" s="2">
        <v>-123066976.21000001</v>
      </c>
      <c r="R439" s="2">
        <v>-17712617</v>
      </c>
      <c r="S439" s="2">
        <v>-4715053.040000001</v>
      </c>
      <c r="T439" s="2">
        <v>-3919207.74</v>
      </c>
      <c r="U439" s="2">
        <v>-149413853.99000001</v>
      </c>
      <c r="W439" t="s">
        <v>78</v>
      </c>
      <c r="X439" s="2">
        <v>-240795772.66000003</v>
      </c>
      <c r="Y439" s="2">
        <v>-39196983</v>
      </c>
      <c r="Z439" s="2">
        <v>-9288964.040000001</v>
      </c>
      <c r="AA439" s="2">
        <v>-9779501.3800000008</v>
      </c>
      <c r="AB439" s="2">
        <v>-299061221.08000004</v>
      </c>
      <c r="AD439" t="s">
        <v>78</v>
      </c>
      <c r="AE439" s="2">
        <v>-119334720.21999997</v>
      </c>
      <c r="AF439" s="2">
        <v>-17361725</v>
      </c>
      <c r="AG439" s="2">
        <v>-4746130.9599999972</v>
      </c>
      <c r="AH439" s="2">
        <v>-3798976.7299999986</v>
      </c>
      <c r="AI439" s="2">
        <v>-145241552.90999997</v>
      </c>
      <c r="AK439" t="s">
        <v>78</v>
      </c>
      <c r="AL439" s="2">
        <v>-132838014.69999999</v>
      </c>
      <c r="AM439" s="2">
        <v>-18111743</v>
      </c>
      <c r="AN439" s="2">
        <v>-4938522.3300000038</v>
      </c>
      <c r="AO439" s="2">
        <v>-3059998.2500000019</v>
      </c>
      <c r="AP439" s="2">
        <v>-158948278.28</v>
      </c>
    </row>
    <row r="440" spans="2:42" x14ac:dyDescent="0.35">
      <c r="B440" t="s">
        <v>39</v>
      </c>
      <c r="C440" s="2">
        <v>-139488505.50999993</v>
      </c>
      <c r="D440" s="2">
        <v>-29663754</v>
      </c>
      <c r="E440" s="2">
        <v>-5336815.6009999998</v>
      </c>
      <c r="F440" s="2">
        <v>-8290281.0799999991</v>
      </c>
      <c r="G440" s="2">
        <v>-182779356.19099995</v>
      </c>
      <c r="I440" t="s">
        <v>39</v>
      </c>
      <c r="J440" s="2">
        <v>-33225384.369999997</v>
      </c>
      <c r="K440" s="2">
        <v>-5879630</v>
      </c>
      <c r="L440" s="2">
        <v>-1633339.57</v>
      </c>
      <c r="M440" s="2">
        <v>-2319134.09</v>
      </c>
      <c r="N440" s="2">
        <v>-43057488.030000001</v>
      </c>
      <c r="P440" t="s">
        <v>39</v>
      </c>
      <c r="Q440" s="2">
        <v>-29545302.50000003</v>
      </c>
      <c r="R440" s="2">
        <v>-5845838</v>
      </c>
      <c r="S440" s="2">
        <v>-1387259.2510000004</v>
      </c>
      <c r="T440" s="2">
        <v>-2057045.7600000007</v>
      </c>
      <c r="U440" s="2">
        <v>-38835445.51100003</v>
      </c>
      <c r="W440" t="s">
        <v>39</v>
      </c>
      <c r="X440" s="2">
        <v>-62770686.870000027</v>
      </c>
      <c r="Y440" s="2">
        <v>-11725468</v>
      </c>
      <c r="Z440" s="2">
        <v>-3020598.8210000005</v>
      </c>
      <c r="AA440" s="2">
        <v>-4376179.8500000006</v>
      </c>
      <c r="AB440" s="2">
        <v>-81892933.541000023</v>
      </c>
      <c r="AD440" t="s">
        <v>39</v>
      </c>
      <c r="AE440" s="2">
        <v>-30944909.229999952</v>
      </c>
      <c r="AF440" s="2">
        <v>-7709057</v>
      </c>
      <c r="AG440" s="2">
        <v>-1189319.17</v>
      </c>
      <c r="AH440" s="2">
        <v>-2157616.83</v>
      </c>
      <c r="AI440" s="2">
        <v>-42000902.229999952</v>
      </c>
      <c r="AK440" t="s">
        <v>39</v>
      </c>
      <c r="AL440" s="2">
        <v>-45772909.409999944</v>
      </c>
      <c r="AM440" s="2">
        <v>-10229229</v>
      </c>
      <c r="AN440" s="2">
        <v>-1126897.6099999994</v>
      </c>
      <c r="AO440" s="2">
        <v>-1756484.3999999985</v>
      </c>
      <c r="AP440" s="2">
        <v>-58885520.419999942</v>
      </c>
    </row>
    <row r="441" spans="2:42" x14ac:dyDescent="0.35">
      <c r="B441" t="s">
        <v>40</v>
      </c>
      <c r="C441" s="2">
        <v>-48302102.320000008</v>
      </c>
      <c r="D441" s="2">
        <v>-14372730</v>
      </c>
      <c r="E441" s="2">
        <v>-1265516.69</v>
      </c>
      <c r="F441" s="2">
        <v>-5664344.3399999999</v>
      </c>
      <c r="G441" s="2">
        <v>-69604693.350000009</v>
      </c>
      <c r="I441" t="s">
        <v>40</v>
      </c>
      <c r="J441" s="2">
        <v>-17857764.079999998</v>
      </c>
      <c r="K441" s="2">
        <v>-1520737</v>
      </c>
      <c r="L441" s="2">
        <v>-974171</v>
      </c>
      <c r="M441" s="2">
        <v>-1785612.22</v>
      </c>
      <c r="N441" s="2">
        <v>-22138284.299999997</v>
      </c>
      <c r="P441" t="s">
        <v>40</v>
      </c>
      <c r="Q441" s="2">
        <v>-7451570.2100000046</v>
      </c>
      <c r="R441" s="2">
        <v>-5677109</v>
      </c>
      <c r="S441" s="2">
        <v>-40000</v>
      </c>
      <c r="T441" s="2">
        <v>-1484121.59</v>
      </c>
      <c r="U441" s="2">
        <v>-14652800.800000004</v>
      </c>
      <c r="W441" t="s">
        <v>40</v>
      </c>
      <c r="X441" s="2">
        <v>-25309334.290000003</v>
      </c>
      <c r="Y441" s="2">
        <v>-7197846</v>
      </c>
      <c r="Z441" s="2">
        <v>-1014171</v>
      </c>
      <c r="AA441" s="2">
        <v>-3269733.81</v>
      </c>
      <c r="AB441" s="2">
        <v>-36791085.100000001</v>
      </c>
      <c r="AD441" t="s">
        <v>40</v>
      </c>
      <c r="AE441" s="2">
        <v>-8334247.5400000028</v>
      </c>
      <c r="AF441" s="2">
        <v>-2799460</v>
      </c>
      <c r="AG441" s="2">
        <v>-27075</v>
      </c>
      <c r="AH441" s="2">
        <v>-1218985.9099999997</v>
      </c>
      <c r="AI441" s="2">
        <v>-12379768.450000003</v>
      </c>
      <c r="AK441" t="s">
        <v>40</v>
      </c>
      <c r="AL441" s="2">
        <v>-14658520.489999998</v>
      </c>
      <c r="AM441" s="2">
        <v>-4375424</v>
      </c>
      <c r="AN441" s="2">
        <v>-224270.68999999994</v>
      </c>
      <c r="AO441" s="2">
        <v>-1175624.6199999996</v>
      </c>
      <c r="AP441" s="2">
        <v>-20433839.800000001</v>
      </c>
    </row>
    <row r="442" spans="2:42" x14ac:dyDescent="0.35">
      <c r="B442" t="s">
        <v>41</v>
      </c>
      <c r="C442" s="2">
        <v>-15000000</v>
      </c>
      <c r="D442" s="2">
        <v>-300000</v>
      </c>
      <c r="E442" s="2">
        <v>0</v>
      </c>
      <c r="F442" s="2">
        <v>0</v>
      </c>
      <c r="G442" s="2">
        <v>-15300000</v>
      </c>
      <c r="I442" t="s">
        <v>41</v>
      </c>
      <c r="J442" s="2">
        <v>0</v>
      </c>
      <c r="K442" s="2">
        <v>0</v>
      </c>
      <c r="L442" s="2">
        <v>0</v>
      </c>
      <c r="M442" s="2">
        <v>0</v>
      </c>
      <c r="N442" s="2">
        <v>0</v>
      </c>
      <c r="P442" t="s">
        <v>41</v>
      </c>
      <c r="Q442" s="2">
        <v>0</v>
      </c>
      <c r="R442" s="2">
        <v>0</v>
      </c>
      <c r="S442" s="2">
        <v>0</v>
      </c>
      <c r="T442" s="2">
        <v>0</v>
      </c>
      <c r="U442" s="2">
        <v>0</v>
      </c>
      <c r="W442" t="s">
        <v>41</v>
      </c>
      <c r="X442" s="2">
        <v>0</v>
      </c>
      <c r="Y442" s="2">
        <v>0</v>
      </c>
      <c r="Z442" s="2">
        <v>0</v>
      </c>
      <c r="AA442" s="2">
        <v>0</v>
      </c>
      <c r="AB442" s="2">
        <v>0</v>
      </c>
      <c r="AD442" t="s">
        <v>41</v>
      </c>
      <c r="AE442" s="2">
        <v>0</v>
      </c>
      <c r="AF442" s="2">
        <v>-300000</v>
      </c>
      <c r="AG442" s="2">
        <v>0</v>
      </c>
      <c r="AH442" s="2">
        <v>0</v>
      </c>
      <c r="AI442" s="2">
        <v>-300000</v>
      </c>
      <c r="AK442" t="s">
        <v>41</v>
      </c>
      <c r="AL442" s="2">
        <v>-15000000</v>
      </c>
      <c r="AM442" s="2">
        <v>0</v>
      </c>
      <c r="AN442" s="2">
        <v>0</v>
      </c>
      <c r="AO442" s="2">
        <v>0</v>
      </c>
      <c r="AP442" s="2">
        <v>-15000000</v>
      </c>
    </row>
    <row r="443" spans="2:42" x14ac:dyDescent="0.35">
      <c r="B443" t="s">
        <v>42</v>
      </c>
      <c r="C443" s="2">
        <v>-36844509.590000004</v>
      </c>
      <c r="D443" s="2">
        <v>-14849449.200000001</v>
      </c>
      <c r="E443" s="2">
        <v>-2624865.64</v>
      </c>
      <c r="F443" s="2">
        <v>-25999.01</v>
      </c>
      <c r="G443" s="2">
        <v>-54344823.440000005</v>
      </c>
      <c r="I443" t="s">
        <v>42</v>
      </c>
      <c r="J443" s="2">
        <v>-10659498.050000001</v>
      </c>
      <c r="K443" s="2">
        <v>-377913</v>
      </c>
      <c r="L443" s="2">
        <v>0</v>
      </c>
      <c r="M443" s="2">
        <v>0</v>
      </c>
      <c r="N443" s="2">
        <v>-11037411.050000001</v>
      </c>
      <c r="P443" t="s">
        <v>42</v>
      </c>
      <c r="Q443" s="2">
        <v>-7157602.3800000027</v>
      </c>
      <c r="R443" s="2">
        <v>-6113502.1600000001</v>
      </c>
      <c r="S443" s="2">
        <v>-1130502.3999999999</v>
      </c>
      <c r="T443" s="2">
        <v>0</v>
      </c>
      <c r="U443" s="2">
        <v>-14401606.940000003</v>
      </c>
      <c r="W443" t="s">
        <v>42</v>
      </c>
      <c r="X443" s="2">
        <v>-17817100.430000003</v>
      </c>
      <c r="Y443" s="2">
        <v>-6491415.1600000001</v>
      </c>
      <c r="Z443" s="2">
        <v>-1130502.3999999999</v>
      </c>
      <c r="AA443" s="2">
        <v>0</v>
      </c>
      <c r="AB443" s="2">
        <v>-25439017.990000002</v>
      </c>
      <c r="AD443" t="s">
        <v>42</v>
      </c>
      <c r="AE443" s="2">
        <v>-9958982.0399999917</v>
      </c>
      <c r="AF443" s="2">
        <v>-4119783.1199999992</v>
      </c>
      <c r="AG443" s="2">
        <v>-734622.98</v>
      </c>
      <c r="AH443" s="2">
        <v>-2681</v>
      </c>
      <c r="AI443" s="2">
        <v>-14816069.139999991</v>
      </c>
      <c r="AK443" t="s">
        <v>42</v>
      </c>
      <c r="AL443" s="2">
        <v>-9068427.1200000085</v>
      </c>
      <c r="AM443" s="2">
        <v>-4238250.9200000018</v>
      </c>
      <c r="AN443" s="2">
        <v>-759740.26000000024</v>
      </c>
      <c r="AO443" s="2">
        <v>-23318.01</v>
      </c>
      <c r="AP443" s="2">
        <v>-14089736.31000001</v>
      </c>
    </row>
    <row r="444" spans="2:42" x14ac:dyDescent="0.35">
      <c r="B444" t="s">
        <v>4</v>
      </c>
      <c r="C444" s="2">
        <v>0</v>
      </c>
      <c r="D444" s="2">
        <v>2</v>
      </c>
      <c r="E444" s="2">
        <v>0</v>
      </c>
      <c r="F444" s="2">
        <v>0</v>
      </c>
      <c r="G444" s="2">
        <v>2</v>
      </c>
      <c r="I444" t="s">
        <v>4</v>
      </c>
      <c r="J444" s="2">
        <v>0</v>
      </c>
      <c r="K444" s="2">
        <v>0</v>
      </c>
      <c r="L444" s="2">
        <v>0</v>
      </c>
      <c r="M444" s="2">
        <v>0</v>
      </c>
      <c r="N444" s="2">
        <v>0</v>
      </c>
      <c r="P444" t="s">
        <v>4</v>
      </c>
      <c r="Q444" s="2">
        <v>0</v>
      </c>
      <c r="R444" s="2">
        <v>0</v>
      </c>
      <c r="S444" s="2">
        <v>0</v>
      </c>
      <c r="T444" s="2">
        <v>0</v>
      </c>
      <c r="U444" s="2">
        <v>0</v>
      </c>
      <c r="W444" t="s">
        <v>4</v>
      </c>
      <c r="X444" s="2">
        <v>0</v>
      </c>
      <c r="Y444" s="2">
        <v>0</v>
      </c>
      <c r="Z444" s="2">
        <v>0</v>
      </c>
      <c r="AA444" s="2">
        <v>0</v>
      </c>
      <c r="AB444" s="2">
        <v>0</v>
      </c>
      <c r="AD444" t="s">
        <v>4</v>
      </c>
      <c r="AE444" s="2">
        <v>0</v>
      </c>
      <c r="AF444" s="2">
        <v>-1</v>
      </c>
      <c r="AG444" s="2">
        <v>0</v>
      </c>
      <c r="AH444" s="2">
        <v>0</v>
      </c>
      <c r="AI444" s="2">
        <v>-1</v>
      </c>
      <c r="AK444" t="s">
        <v>4</v>
      </c>
      <c r="AL444" s="2">
        <v>0</v>
      </c>
      <c r="AM444" s="2">
        <v>3</v>
      </c>
      <c r="AN444" s="2">
        <v>0</v>
      </c>
      <c r="AO444" s="2">
        <v>0</v>
      </c>
      <c r="AP444" s="2">
        <v>3</v>
      </c>
    </row>
    <row r="445" spans="2:42" x14ac:dyDescent="0.35">
      <c r="B445" t="s">
        <v>5</v>
      </c>
      <c r="C445" s="2">
        <v>-1814000</v>
      </c>
      <c r="D445" s="2">
        <v>0</v>
      </c>
      <c r="E445" s="2">
        <v>0</v>
      </c>
      <c r="F445" s="2">
        <v>0</v>
      </c>
      <c r="G445" s="2">
        <v>-1814000</v>
      </c>
      <c r="I445" t="s">
        <v>5</v>
      </c>
      <c r="J445" s="2">
        <v>-370000</v>
      </c>
      <c r="K445" s="2">
        <v>0</v>
      </c>
      <c r="L445" s="2">
        <v>0</v>
      </c>
      <c r="M445" s="2">
        <v>0</v>
      </c>
      <c r="N445" s="2">
        <v>-370000</v>
      </c>
      <c r="P445" t="s">
        <v>5</v>
      </c>
      <c r="Q445" s="2">
        <v>-696000</v>
      </c>
      <c r="R445" s="2">
        <v>0</v>
      </c>
      <c r="S445" s="2">
        <v>0</v>
      </c>
      <c r="T445" s="2">
        <v>0</v>
      </c>
      <c r="U445" s="2">
        <v>-696000</v>
      </c>
      <c r="W445" t="s">
        <v>5</v>
      </c>
      <c r="X445" s="2">
        <v>-1066000</v>
      </c>
      <c r="Y445" s="2">
        <v>0</v>
      </c>
      <c r="Z445" s="2">
        <v>0</v>
      </c>
      <c r="AA445" s="2">
        <v>0</v>
      </c>
      <c r="AB445" s="2">
        <v>-1066000</v>
      </c>
      <c r="AD445" t="s">
        <v>5</v>
      </c>
      <c r="AE445" s="2">
        <v>-377000</v>
      </c>
      <c r="AF445" s="2">
        <v>0</v>
      </c>
      <c r="AG445" s="2">
        <v>0</v>
      </c>
      <c r="AH445" s="2">
        <v>0</v>
      </c>
      <c r="AI445" s="2">
        <v>-377000</v>
      </c>
      <c r="AK445" t="s">
        <v>5</v>
      </c>
      <c r="AL445" s="2">
        <v>-371000</v>
      </c>
      <c r="AM445" s="2">
        <v>0</v>
      </c>
      <c r="AN445" s="2">
        <v>0</v>
      </c>
      <c r="AO445" s="2">
        <v>0</v>
      </c>
      <c r="AP445" s="2">
        <v>-371000</v>
      </c>
    </row>
    <row r="446" spans="2:42" x14ac:dyDescent="0.35">
      <c r="B446" t="s">
        <v>182</v>
      </c>
      <c r="C446" s="2">
        <v>-207343305.78999993</v>
      </c>
      <c r="D446" s="2">
        <v>-5784590.2069466999</v>
      </c>
      <c r="E446" s="2">
        <v>-2030741.6350000002</v>
      </c>
      <c r="F446" s="2">
        <v>35368.51</v>
      </c>
      <c r="G446" s="2">
        <v>-215123269.12194663</v>
      </c>
      <c r="I446" t="s">
        <v>182</v>
      </c>
      <c r="J446" s="2">
        <v>-76769622.410000011</v>
      </c>
      <c r="K446" s="2">
        <v>-2993690.2103815</v>
      </c>
      <c r="L446" s="2">
        <v>120100.342</v>
      </c>
      <c r="M446" s="2">
        <v>-7550.95</v>
      </c>
      <c r="N446" s="2">
        <v>-79650763.228381515</v>
      </c>
      <c r="P446" t="s">
        <v>182</v>
      </c>
      <c r="Q446" s="2">
        <v>-47019690.219999969</v>
      </c>
      <c r="R446" s="2">
        <v>-2293841.0910221995</v>
      </c>
      <c r="S446" s="2">
        <v>1917.6430000000109</v>
      </c>
      <c r="T446" s="2">
        <v>-16614.16</v>
      </c>
      <c r="U446" s="2">
        <v>-49328227.828022167</v>
      </c>
      <c r="W446" t="s">
        <v>182</v>
      </c>
      <c r="X446" s="2">
        <v>-123789312.62999998</v>
      </c>
      <c r="Y446" s="2">
        <v>-5287531.3014036994</v>
      </c>
      <c r="Z446" s="2">
        <v>122017.98500000002</v>
      </c>
      <c r="AA446" s="2">
        <v>-24165.11</v>
      </c>
      <c r="AB446" s="2">
        <v>-128978991.05640368</v>
      </c>
      <c r="AD446" t="s">
        <v>182</v>
      </c>
      <c r="AE446" s="2">
        <v>-54364720.930000082</v>
      </c>
      <c r="AF446" s="2">
        <v>-6434503.9235757012</v>
      </c>
      <c r="AG446" s="2">
        <v>507831.07999999996</v>
      </c>
      <c r="AH446" s="2">
        <v>8730</v>
      </c>
      <c r="AI446" s="2">
        <v>-60282663.773575783</v>
      </c>
      <c r="AK446" t="s">
        <v>182</v>
      </c>
      <c r="AL446" s="2">
        <v>-29189272.229999855</v>
      </c>
      <c r="AM446" s="2">
        <v>5937445.0180327008</v>
      </c>
      <c r="AN446" s="2">
        <v>-2660590.7000000002</v>
      </c>
      <c r="AO446" s="2">
        <v>50803.62</v>
      </c>
      <c r="AP446" s="2">
        <v>-25861614.291967154</v>
      </c>
    </row>
    <row r="447" spans="2:42" x14ac:dyDescent="0.35">
      <c r="B447" s="19" t="s">
        <v>11</v>
      </c>
      <c r="C447" s="20">
        <v>-850499907.79999995</v>
      </c>
      <c r="D447" s="20">
        <v>-151749033.40694669</v>
      </c>
      <c r="E447" s="20">
        <v>-32093214.187000006</v>
      </c>
      <c r="F447" s="20">
        <v>-32049745.259999998</v>
      </c>
      <c r="G447" s="20">
        <v>-1066391900.6539466</v>
      </c>
      <c r="I447" s="19" t="s">
        <v>11</v>
      </c>
      <c r="J447" s="20">
        <v>-280391630.88000005</v>
      </c>
      <c r="K447" s="20">
        <v>-35607094.2103815</v>
      </c>
      <c r="L447" s="20">
        <v>-7547244.0480000004</v>
      </c>
      <c r="M447" s="20">
        <v>-10161310.140000001</v>
      </c>
      <c r="N447" s="20">
        <v>-333707279.27838159</v>
      </c>
      <c r="P447" s="19" t="s">
        <v>11</v>
      </c>
      <c r="Q447" s="20">
        <v>-240712979.25</v>
      </c>
      <c r="R447" s="20">
        <v>-40078816.251022197</v>
      </c>
      <c r="S447" s="20">
        <v>-7693800.0480000013</v>
      </c>
      <c r="T447" s="20">
        <v>-7687219.9600000009</v>
      </c>
      <c r="U447" s="20">
        <v>-296172815.50902224</v>
      </c>
      <c r="W447" s="19" t="s">
        <v>11</v>
      </c>
      <c r="X447" s="20">
        <v>-521104610.13000005</v>
      </c>
      <c r="Y447" s="20">
        <v>-75685910.461403698</v>
      </c>
      <c r="Z447" s="20">
        <v>-15241044.096000003</v>
      </c>
      <c r="AA447" s="20">
        <v>-17848530.099999998</v>
      </c>
      <c r="AB447" s="20">
        <v>-629880094.7874037</v>
      </c>
      <c r="AD447" s="19" t="s">
        <v>11</v>
      </c>
      <c r="AE447" s="20">
        <v>-250433364.45999998</v>
      </c>
      <c r="AF447" s="20">
        <v>-41793281.043575697</v>
      </c>
      <c r="AG447" s="20">
        <v>-6657921.7009999976</v>
      </c>
      <c r="AH447" s="20">
        <v>-7633940.2199999988</v>
      </c>
      <c r="AI447" s="20">
        <v>-306518507.42457569</v>
      </c>
      <c r="AK447" s="19" t="s">
        <v>11</v>
      </c>
      <c r="AL447" s="20">
        <v>-78961933.209999785</v>
      </c>
      <c r="AM447" s="20">
        <v>-34269841.901967302</v>
      </c>
      <c r="AN447" s="20">
        <v>-10194248.390000004</v>
      </c>
      <c r="AO447" s="20">
        <v>-6567274.9400000004</v>
      </c>
      <c r="AP447" s="20">
        <v>-129993298.4419671</v>
      </c>
    </row>
    <row r="448" spans="2:42" x14ac:dyDescent="0.35">
      <c r="C448" s="2"/>
      <c r="D448" s="2"/>
      <c r="E448" s="2"/>
      <c r="F448" s="2"/>
      <c r="G448" s="2"/>
      <c r="J448" s="2"/>
      <c r="K448" s="2"/>
      <c r="L448" s="2"/>
      <c r="M448" s="2"/>
      <c r="N448" s="2"/>
      <c r="Q448" s="2"/>
      <c r="R448" s="2"/>
      <c r="S448" s="2"/>
      <c r="T448" s="2"/>
      <c r="U448" s="2"/>
      <c r="X448" s="2"/>
      <c r="Y448" s="2"/>
      <c r="Z448" s="2"/>
      <c r="AA448" s="2"/>
      <c r="AB448" s="2"/>
      <c r="AE448" s="2"/>
      <c r="AF448" s="2"/>
      <c r="AG448" s="2"/>
      <c r="AH448" s="2"/>
      <c r="AI448" s="2"/>
      <c r="AL448" s="2"/>
      <c r="AM448" s="2"/>
      <c r="AN448" s="2"/>
      <c r="AO448" s="2"/>
      <c r="AP448" s="2"/>
    </row>
    <row r="449" spans="2:42" x14ac:dyDescent="0.35">
      <c r="C449" s="2"/>
      <c r="D449" s="2"/>
      <c r="E449" s="2"/>
      <c r="F449" s="2"/>
      <c r="G449" s="2"/>
      <c r="J449" s="2"/>
      <c r="K449" s="2"/>
      <c r="L449" s="2"/>
      <c r="M449" s="2"/>
      <c r="N449" s="2"/>
      <c r="Q449" s="2"/>
      <c r="R449" s="2"/>
      <c r="S449" s="2"/>
      <c r="T449" s="2"/>
      <c r="U449" s="2"/>
      <c r="X449" s="2"/>
      <c r="Y449" s="2"/>
      <c r="Z449" s="2"/>
      <c r="AA449" s="2"/>
      <c r="AB449" s="2"/>
      <c r="AE449" s="2"/>
      <c r="AF449" s="2"/>
      <c r="AG449" s="2"/>
      <c r="AH449" s="2"/>
      <c r="AI449" s="2"/>
      <c r="AL449" s="2"/>
      <c r="AM449" s="2"/>
      <c r="AN449" s="2"/>
      <c r="AO449" s="2"/>
      <c r="AP449" s="2"/>
    </row>
    <row r="450" spans="2:42" x14ac:dyDescent="0.35">
      <c r="B450" s="11" t="s">
        <v>43</v>
      </c>
      <c r="C450" s="4">
        <v>879527882.10885477</v>
      </c>
      <c r="D450" s="4">
        <v>134993274.59305331</v>
      </c>
      <c r="E450" s="4">
        <v>30865318.836000003</v>
      </c>
      <c r="F450" s="4">
        <v>-27944480.176058739</v>
      </c>
      <c r="G450" s="4">
        <v>1017441995.3618493</v>
      </c>
      <c r="I450" s="11" t="s">
        <v>43</v>
      </c>
      <c r="J450" s="4">
        <v>184183576.5403161</v>
      </c>
      <c r="K450" s="4">
        <v>38727198.7896185</v>
      </c>
      <c r="L450" s="4">
        <v>320244.78300000168</v>
      </c>
      <c r="M450" s="4">
        <v>-8871985.6552192848</v>
      </c>
      <c r="N450" s="4">
        <v>214359034.4577153</v>
      </c>
      <c r="P450" s="11" t="s">
        <v>43</v>
      </c>
      <c r="Q450" s="4">
        <v>228278797.41940558</v>
      </c>
      <c r="R450" s="4">
        <v>29042999.748977803</v>
      </c>
      <c r="S450" s="4">
        <v>-3273766.8060000129</v>
      </c>
      <c r="T450" s="4">
        <v>-6543797.0840586852</v>
      </c>
      <c r="U450" s="4">
        <v>247504233.27832469</v>
      </c>
      <c r="W450" s="11" t="s">
        <v>43</v>
      </c>
      <c r="X450" s="4">
        <v>412462373.95972162</v>
      </c>
      <c r="Y450" s="4">
        <v>67770198.538596302</v>
      </c>
      <c r="Z450" s="4">
        <v>-2953522.0230000131</v>
      </c>
      <c r="AA450" s="4">
        <v>-15415782.739277966</v>
      </c>
      <c r="AB450" s="4">
        <v>461863267.73604</v>
      </c>
      <c r="AD450" s="11" t="s">
        <v>43</v>
      </c>
      <c r="AE450" s="4">
        <v>174994354.45914769</v>
      </c>
      <c r="AF450" s="4">
        <v>30409551.956424303</v>
      </c>
      <c r="AG450" s="4">
        <v>4614781.7390000187</v>
      </c>
      <c r="AH450" s="4">
        <v>-7889447.2058912441</v>
      </c>
      <c r="AI450" s="4">
        <v>202129240.94868076</v>
      </c>
      <c r="AK450" s="11" t="s">
        <v>43</v>
      </c>
      <c r="AL450" s="4">
        <v>292071153.68998587</v>
      </c>
      <c r="AM450" s="4">
        <v>36813524.098032698</v>
      </c>
      <c r="AN450" s="4">
        <v>29204059.120000001</v>
      </c>
      <c r="AO450" s="4">
        <v>-4639250.230889529</v>
      </c>
      <c r="AP450" s="4">
        <v>353449486.67712903</v>
      </c>
    </row>
    <row r="451" spans="2:42" x14ac:dyDescent="0.35">
      <c r="B451" t="s">
        <v>6</v>
      </c>
      <c r="C451" s="2">
        <v>-241714661.55000004</v>
      </c>
      <c r="D451" s="2">
        <v>-37109046</v>
      </c>
      <c r="E451" s="2">
        <v>-7223761.2700000005</v>
      </c>
      <c r="F451" s="2">
        <v>-3326200.0500000003</v>
      </c>
      <c r="G451" s="2">
        <v>-289373668.87000006</v>
      </c>
      <c r="I451" t="s">
        <v>6</v>
      </c>
      <c r="J451" s="2">
        <v>-60838738.399999991</v>
      </c>
      <c r="K451" s="2">
        <v>-8294551</v>
      </c>
      <c r="L451" s="2">
        <v>-3536.5399999999991</v>
      </c>
      <c r="M451" s="2">
        <v>-879036.09</v>
      </c>
      <c r="N451" s="2">
        <v>-70015862.030000001</v>
      </c>
      <c r="P451" t="s">
        <v>6</v>
      </c>
      <c r="Q451" s="2">
        <v>-60342029.160000026</v>
      </c>
      <c r="R451" s="2">
        <v>-8392612</v>
      </c>
      <c r="S451" s="2">
        <v>-11115.100000000002</v>
      </c>
      <c r="T451" s="2">
        <v>-793047.21000000008</v>
      </c>
      <c r="U451" s="2">
        <v>-69538803.470000014</v>
      </c>
      <c r="W451" t="s">
        <v>6</v>
      </c>
      <c r="X451" s="2">
        <v>-121180767.56000002</v>
      </c>
      <c r="Y451" s="2">
        <v>-16687163</v>
      </c>
      <c r="Z451" s="2">
        <v>-14651.640000000001</v>
      </c>
      <c r="AA451" s="2">
        <v>-1672083.3</v>
      </c>
      <c r="AB451" s="2">
        <v>-139554665.5</v>
      </c>
      <c r="AD451" t="s">
        <v>6</v>
      </c>
      <c r="AE451" s="2">
        <v>-50455607.020000026</v>
      </c>
      <c r="AF451" s="2">
        <v>-9730724</v>
      </c>
      <c r="AG451" s="2">
        <v>-114616.48000000003</v>
      </c>
      <c r="AH451" s="2">
        <v>-828192.22</v>
      </c>
      <c r="AI451" s="2">
        <v>-61129139.720000021</v>
      </c>
      <c r="AK451" t="s">
        <v>6</v>
      </c>
      <c r="AL451" s="2">
        <v>-70078286.970000014</v>
      </c>
      <c r="AM451" s="2">
        <v>-10691159</v>
      </c>
      <c r="AN451" s="2">
        <v>-7094493.1500000004</v>
      </c>
      <c r="AO451" s="2">
        <v>-825924.53</v>
      </c>
      <c r="AP451" s="2">
        <v>-88689863.650000021</v>
      </c>
    </row>
    <row r="452" spans="2:42" x14ac:dyDescent="0.35">
      <c r="B452" s="11" t="s">
        <v>7</v>
      </c>
      <c r="C452" s="4">
        <v>637813220.5588547</v>
      </c>
      <c r="D452" s="4">
        <v>97884228.593053311</v>
      </c>
      <c r="E452" s="4">
        <v>23641557.566000003</v>
      </c>
      <c r="F452" s="4">
        <v>-31270680.22605874</v>
      </c>
      <c r="G452" s="4">
        <v>728068326.4918493</v>
      </c>
      <c r="I452" s="11" t="s">
        <v>7</v>
      </c>
      <c r="J452" s="4">
        <v>123344838.14031611</v>
      </c>
      <c r="K452" s="4">
        <v>30432647.7896185</v>
      </c>
      <c r="L452" s="4">
        <v>316708.2430000017</v>
      </c>
      <c r="M452" s="4">
        <v>-9751021.7452192847</v>
      </c>
      <c r="N452" s="4">
        <v>144343172.42771533</v>
      </c>
      <c r="P452" s="11" t="s">
        <v>7</v>
      </c>
      <c r="Q452" s="4">
        <v>167936768.25940555</v>
      </c>
      <c r="R452" s="4">
        <v>20650387.748977803</v>
      </c>
      <c r="S452" s="4">
        <v>-3284881.906000013</v>
      </c>
      <c r="T452" s="4">
        <v>-7336844.2940586852</v>
      </c>
      <c r="U452" s="4">
        <v>177965429.80832466</v>
      </c>
      <c r="W452" s="11" t="s">
        <v>7</v>
      </c>
      <c r="X452" s="4">
        <v>291281606.39972162</v>
      </c>
      <c r="Y452" s="4">
        <v>51083035.538596302</v>
      </c>
      <c r="Z452" s="4">
        <v>-2968173.6630000132</v>
      </c>
      <c r="AA452" s="4">
        <v>-17087866.039277967</v>
      </c>
      <c r="AB452" s="4">
        <v>322308602.23603994</v>
      </c>
      <c r="AD452" s="11" t="s">
        <v>7</v>
      </c>
      <c r="AE452" s="4">
        <v>124538747.43914767</v>
      </c>
      <c r="AF452" s="4">
        <v>20678827.956424303</v>
      </c>
      <c r="AG452" s="4">
        <v>4500165.2590000182</v>
      </c>
      <c r="AH452" s="4">
        <v>-8717639.4258912448</v>
      </c>
      <c r="AI452" s="4">
        <v>141000101.22868076</v>
      </c>
      <c r="AK452" s="11" t="s">
        <v>7</v>
      </c>
      <c r="AL452" s="4">
        <v>221992866.71998584</v>
      </c>
      <c r="AM452" s="4">
        <v>26122365.098032698</v>
      </c>
      <c r="AN452" s="4">
        <v>22109565.969999999</v>
      </c>
      <c r="AO452" s="4">
        <v>-5465174.7608895293</v>
      </c>
      <c r="AP452" s="4">
        <v>264759623.02712905</v>
      </c>
    </row>
    <row r="453" spans="2:42" x14ac:dyDescent="0.35">
      <c r="B453" t="s">
        <v>8</v>
      </c>
      <c r="C453" s="2">
        <v>-12893216.692769637</v>
      </c>
      <c r="D453" s="2">
        <v>-17969454.787</v>
      </c>
      <c r="E453" s="2">
        <v>-4994015.1372000007</v>
      </c>
      <c r="F453" s="2">
        <v>-3559.0395039996079</v>
      </c>
      <c r="G453" s="2">
        <v>-35860245.656473637</v>
      </c>
      <c r="I453" t="s">
        <v>8</v>
      </c>
      <c r="J453" s="2">
        <v>-2391136.8732643016</v>
      </c>
      <c r="K453" s="2">
        <v>-6063208.1864</v>
      </c>
      <c r="L453" s="2">
        <v>23779.001400000016</v>
      </c>
      <c r="M453" s="2">
        <v>-908.12419199990052</v>
      </c>
      <c r="N453" s="2">
        <v>-8431474.1824563015</v>
      </c>
      <c r="P453" t="s">
        <v>8</v>
      </c>
      <c r="Q453" s="2">
        <v>-2220638.2803867357</v>
      </c>
      <c r="R453" s="2">
        <v>-4435155.0647999998</v>
      </c>
      <c r="S453" s="2">
        <v>569855.73120000202</v>
      </c>
      <c r="T453" s="2">
        <v>-838.07167999990668</v>
      </c>
      <c r="U453" s="2">
        <v>-6086775.6856667334</v>
      </c>
      <c r="W453" t="s">
        <v>8</v>
      </c>
      <c r="X453" s="2">
        <v>-4611775.1536510373</v>
      </c>
      <c r="Y453" s="2">
        <v>-10498363.2512</v>
      </c>
      <c r="Z453" s="2">
        <v>593634.73260000208</v>
      </c>
      <c r="AA453" s="2">
        <v>-1746.1958719998072</v>
      </c>
      <c r="AB453" s="2">
        <v>-14518249.868123036</v>
      </c>
      <c r="AD453" t="s">
        <v>8</v>
      </c>
      <c r="AE453" s="2">
        <v>-6150176.6241967743</v>
      </c>
      <c r="AF453" s="2">
        <v>-3616472.6043999996</v>
      </c>
      <c r="AG453" s="2">
        <v>-979298.83580000419</v>
      </c>
      <c r="AH453" s="2">
        <v>-859.08875999990664</v>
      </c>
      <c r="AI453" s="2">
        <v>-10746807.153156776</v>
      </c>
      <c r="AK453" t="s">
        <v>8</v>
      </c>
      <c r="AL453" s="2">
        <v>-2131264.9149218258</v>
      </c>
      <c r="AM453" s="2">
        <v>-3854618.931400001</v>
      </c>
      <c r="AN453" s="2">
        <v>-4608351.0339999981</v>
      </c>
      <c r="AO453" s="2">
        <v>-953.75487199989425</v>
      </c>
      <c r="AP453" s="2">
        <v>-10595188.635193825</v>
      </c>
    </row>
    <row r="454" spans="2:42" x14ac:dyDescent="0.35">
      <c r="B454" s="11" t="s">
        <v>161</v>
      </c>
      <c r="C454" s="4">
        <v>624920003.86608505</v>
      </c>
      <c r="D454" s="4">
        <v>79914773.806053311</v>
      </c>
      <c r="E454" s="4">
        <v>18647542.428800002</v>
      </c>
      <c r="F454" s="4">
        <v>-31274239.265562739</v>
      </c>
      <c r="G454" s="4">
        <v>692208080.83537555</v>
      </c>
      <c r="I454" s="11" t="s">
        <v>161</v>
      </c>
      <c r="J454" s="4">
        <v>120953701.26705182</v>
      </c>
      <c r="K454" s="4">
        <v>24369439.6032185</v>
      </c>
      <c r="L454" s="4">
        <v>340487.24440000171</v>
      </c>
      <c r="M454" s="4">
        <v>-9751929.8694112841</v>
      </c>
      <c r="N454" s="4">
        <v>135911698.24525902</v>
      </c>
      <c r="P454" s="11" t="s">
        <v>161</v>
      </c>
      <c r="Q454" s="4">
        <v>165716129.97901881</v>
      </c>
      <c r="R454" s="4">
        <v>16215232.684177803</v>
      </c>
      <c r="S454" s="4">
        <v>-2715026.1748000109</v>
      </c>
      <c r="T454" s="4">
        <v>-7337682.3657386852</v>
      </c>
      <c r="U454" s="4">
        <v>171878654.12265792</v>
      </c>
      <c r="W454" s="11" t="s">
        <v>161</v>
      </c>
      <c r="X454" s="4">
        <v>286669831.24607056</v>
      </c>
      <c r="Y454" s="4">
        <v>40584672.287396304</v>
      </c>
      <c r="Z454" s="4">
        <v>-2374538.9304000111</v>
      </c>
      <c r="AA454" s="4">
        <v>-17089612.235149968</v>
      </c>
      <c r="AB454" s="4">
        <v>307790352.36791688</v>
      </c>
      <c r="AD454" s="11" t="s">
        <v>161</v>
      </c>
      <c r="AE454" s="4">
        <v>118388570.8149509</v>
      </c>
      <c r="AF454" s="4">
        <v>17062355.352024302</v>
      </c>
      <c r="AG454" s="4">
        <v>3520866.423200014</v>
      </c>
      <c r="AH454" s="4">
        <v>-8718498.5146512445</v>
      </c>
      <c r="AI454" s="4">
        <v>130253294.07552397</v>
      </c>
      <c r="AK454" s="11" t="s">
        <v>9</v>
      </c>
      <c r="AL454" s="4">
        <v>219861601.80506402</v>
      </c>
      <c r="AM454" s="4">
        <v>22267746.166632697</v>
      </c>
      <c r="AN454" s="4">
        <v>17501214.936000001</v>
      </c>
      <c r="AO454" s="4">
        <v>-5466128.5157615291</v>
      </c>
      <c r="AP454" s="4">
        <v>254164434.3919352</v>
      </c>
    </row>
    <row r="455" spans="2:42" x14ac:dyDescent="0.35">
      <c r="C455" s="3">
        <v>0</v>
      </c>
      <c r="D455" s="3">
        <v>0</v>
      </c>
      <c r="E455" s="3">
        <v>0</v>
      </c>
      <c r="F455" s="3">
        <v>0</v>
      </c>
      <c r="G455" s="3">
        <v>0</v>
      </c>
      <c r="Q455" s="3">
        <v>0</v>
      </c>
      <c r="R455" s="3">
        <v>0</v>
      </c>
      <c r="S455" s="3">
        <v>0</v>
      </c>
      <c r="T455" s="3">
        <v>0</v>
      </c>
      <c r="U455" s="3">
        <v>0</v>
      </c>
      <c r="AI455" s="2"/>
      <c r="AL455" s="3">
        <v>0</v>
      </c>
      <c r="AM455" s="3">
        <v>0</v>
      </c>
      <c r="AN455" s="3">
        <v>0</v>
      </c>
      <c r="AO455" s="3">
        <v>0</v>
      </c>
      <c r="AP455" s="3">
        <v>-5.3644180297851563E-7</v>
      </c>
    </row>
    <row r="457" spans="2:42" x14ac:dyDescent="0.35">
      <c r="G457" s="3"/>
    </row>
    <row r="458" spans="2:42" ht="18.5" x14ac:dyDescent="0.35">
      <c r="B458" s="303" t="s">
        <v>225</v>
      </c>
      <c r="C458" s="303"/>
      <c r="D458" s="303"/>
      <c r="E458" s="303"/>
      <c r="F458" s="303"/>
      <c r="G458" s="303"/>
      <c r="I458" s="303" t="s">
        <v>214</v>
      </c>
      <c r="J458" s="303"/>
      <c r="K458" s="303"/>
      <c r="L458" s="303"/>
      <c r="M458" s="303"/>
      <c r="N458" s="303"/>
      <c r="P458" s="303" t="s">
        <v>216</v>
      </c>
      <c r="Q458" s="303"/>
      <c r="R458" s="303"/>
      <c r="S458" s="303"/>
      <c r="T458" s="303"/>
      <c r="U458" s="303"/>
      <c r="W458" s="303" t="s">
        <v>217</v>
      </c>
      <c r="X458" s="303"/>
      <c r="Y458" s="303"/>
      <c r="Z458" s="303"/>
      <c r="AA458" s="303"/>
      <c r="AB458" s="303"/>
      <c r="AD458" s="303" t="s">
        <v>220</v>
      </c>
      <c r="AE458" s="303"/>
      <c r="AF458" s="303"/>
      <c r="AG458" s="303"/>
      <c r="AH458" s="303"/>
      <c r="AI458" s="303"/>
      <c r="AK458" s="22" t="s">
        <v>227</v>
      </c>
      <c r="AL458" s="22"/>
      <c r="AM458" s="22"/>
      <c r="AN458" s="22"/>
      <c r="AO458" s="22"/>
      <c r="AP458" s="22"/>
    </row>
    <row r="459" spans="2:42" ht="15.5" x14ac:dyDescent="0.35">
      <c r="B459" s="8"/>
      <c r="C459" s="8" t="s">
        <v>10</v>
      </c>
      <c r="D459" s="8" t="s">
        <v>69</v>
      </c>
      <c r="E459" s="8" t="s">
        <v>70</v>
      </c>
      <c r="F459" s="8" t="s">
        <v>44</v>
      </c>
      <c r="G459" s="9" t="s">
        <v>45</v>
      </c>
      <c r="I459" s="8"/>
      <c r="J459" s="8" t="s">
        <v>10</v>
      </c>
      <c r="K459" s="8" t="s">
        <v>69</v>
      </c>
      <c r="L459" s="8" t="s">
        <v>70</v>
      </c>
      <c r="M459" s="8" t="s">
        <v>44</v>
      </c>
      <c r="N459" s="9" t="s">
        <v>45</v>
      </c>
      <c r="P459" s="8"/>
      <c r="Q459" s="8" t="s">
        <v>10</v>
      </c>
      <c r="R459" s="8" t="s">
        <v>69</v>
      </c>
      <c r="S459" s="8" t="s">
        <v>70</v>
      </c>
      <c r="T459" s="8" t="s">
        <v>44</v>
      </c>
      <c r="U459" s="9" t="s">
        <v>45</v>
      </c>
      <c r="W459" s="8"/>
      <c r="X459" s="8" t="s">
        <v>10</v>
      </c>
      <c r="Y459" s="8" t="s">
        <v>69</v>
      </c>
      <c r="Z459" s="8" t="s">
        <v>70</v>
      </c>
      <c r="AA459" s="8" t="s">
        <v>44</v>
      </c>
      <c r="AB459" s="9" t="s">
        <v>45</v>
      </c>
      <c r="AD459" s="8"/>
      <c r="AE459" s="8" t="s">
        <v>10</v>
      </c>
      <c r="AF459" s="8" t="s">
        <v>69</v>
      </c>
      <c r="AG459" s="8" t="s">
        <v>70</v>
      </c>
      <c r="AH459" s="8" t="s">
        <v>44</v>
      </c>
      <c r="AI459" s="9" t="s">
        <v>45</v>
      </c>
      <c r="AK459" s="24"/>
      <c r="AL459" s="24" t="s">
        <v>10</v>
      </c>
      <c r="AM459" s="24" t="s">
        <v>69</v>
      </c>
      <c r="AN459" s="24" t="s">
        <v>70</v>
      </c>
      <c r="AO459" s="24" t="s">
        <v>44</v>
      </c>
      <c r="AP459" s="9" t="s">
        <v>45</v>
      </c>
    </row>
    <row r="460" spans="2:42" x14ac:dyDescent="0.35">
      <c r="B460" t="s">
        <v>85</v>
      </c>
      <c r="C460" s="2">
        <v>839977154.00999999</v>
      </c>
      <c r="D460" s="2">
        <v>0</v>
      </c>
      <c r="E460" s="2">
        <v>0</v>
      </c>
      <c r="F460" s="2">
        <v>0</v>
      </c>
      <c r="G460" s="2">
        <v>839977154.00999999</v>
      </c>
      <c r="I460" t="s">
        <v>85</v>
      </c>
      <c r="J460" s="2">
        <v>95904931.390000001</v>
      </c>
      <c r="K460" s="2">
        <v>0</v>
      </c>
      <c r="L460" s="2">
        <v>0</v>
      </c>
      <c r="M460" s="2">
        <v>0</v>
      </c>
      <c r="N460" s="2">
        <v>95904931.390000001</v>
      </c>
      <c r="P460" t="s">
        <v>85</v>
      </c>
      <c r="Q460" s="2">
        <v>177848849.31999999</v>
      </c>
      <c r="R460" s="2">
        <v>0</v>
      </c>
      <c r="S460" s="2">
        <v>0</v>
      </c>
      <c r="T460" s="2">
        <v>0</v>
      </c>
      <c r="U460" s="2">
        <v>177848849.31999999</v>
      </c>
      <c r="W460" t="s">
        <v>85</v>
      </c>
      <c r="X460" s="2">
        <v>273753780.70999998</v>
      </c>
      <c r="Y460" s="2">
        <v>0</v>
      </c>
      <c r="Z460" s="2">
        <v>0</v>
      </c>
      <c r="AA460" s="2">
        <v>0</v>
      </c>
      <c r="AB460" s="2">
        <v>273753780.70999998</v>
      </c>
      <c r="AD460" t="s">
        <v>85</v>
      </c>
      <c r="AE460" s="2">
        <v>263591166.57999998</v>
      </c>
      <c r="AF460" s="2">
        <v>0</v>
      </c>
      <c r="AG460" s="2">
        <v>0</v>
      </c>
      <c r="AH460" s="2">
        <v>0</v>
      </c>
      <c r="AI460" s="2">
        <v>263591166.57999998</v>
      </c>
      <c r="AK460" t="s">
        <v>85</v>
      </c>
      <c r="AL460" s="2">
        <v>302632206.71999997</v>
      </c>
      <c r="AM460" s="2">
        <v>0</v>
      </c>
      <c r="AN460" s="2">
        <v>0</v>
      </c>
      <c r="AO460" s="2">
        <v>0</v>
      </c>
      <c r="AP460" s="2">
        <v>302632206.71999997</v>
      </c>
    </row>
    <row r="461" spans="2:42" x14ac:dyDescent="0.35">
      <c r="B461" t="s">
        <v>19</v>
      </c>
      <c r="C461" s="2">
        <v>394751813.96303993</v>
      </c>
      <c r="D461" s="2">
        <v>0</v>
      </c>
      <c r="E461" s="2">
        <v>0</v>
      </c>
      <c r="F461" s="2">
        <v>0</v>
      </c>
      <c r="G461" s="2">
        <v>394751813.96303993</v>
      </c>
      <c r="I461" t="s">
        <v>19</v>
      </c>
      <c r="J461" s="2">
        <v>94648665.723919988</v>
      </c>
      <c r="K461" s="2">
        <v>0</v>
      </c>
      <c r="L461" s="2">
        <v>0</v>
      </c>
      <c r="M461" s="2">
        <v>0</v>
      </c>
      <c r="N461" s="2">
        <v>94648665.723919988</v>
      </c>
      <c r="P461" t="s">
        <v>19</v>
      </c>
      <c r="Q461" s="2">
        <v>88721404.23120001</v>
      </c>
      <c r="R461" s="2">
        <v>0</v>
      </c>
      <c r="S461" s="2">
        <v>0</v>
      </c>
      <c r="T461" s="2">
        <v>0</v>
      </c>
      <c r="U461" s="2">
        <v>88721404.23120001</v>
      </c>
      <c r="W461" t="s">
        <v>19</v>
      </c>
      <c r="X461" s="2">
        <v>183370069.95512</v>
      </c>
      <c r="Y461" s="2">
        <v>0</v>
      </c>
      <c r="Z461" s="2">
        <v>0</v>
      </c>
      <c r="AA461" s="2">
        <v>0</v>
      </c>
      <c r="AB461" s="2">
        <v>183370069.95512</v>
      </c>
      <c r="AD461" t="s">
        <v>19</v>
      </c>
      <c r="AE461" s="2">
        <v>103760262.67525998</v>
      </c>
      <c r="AF461" s="2">
        <v>0</v>
      </c>
      <c r="AG461" s="2">
        <v>0</v>
      </c>
      <c r="AH461" s="2">
        <v>0</v>
      </c>
      <c r="AI461" s="2">
        <v>103760262.67525998</v>
      </c>
      <c r="AK461" t="s">
        <v>19</v>
      </c>
      <c r="AL461" s="2">
        <v>107621481.33265996</v>
      </c>
      <c r="AM461" s="2">
        <v>0</v>
      </c>
      <c r="AN461" s="2">
        <v>0</v>
      </c>
      <c r="AO461" s="2">
        <v>0</v>
      </c>
      <c r="AP461" s="2">
        <v>107621481.33265996</v>
      </c>
    </row>
    <row r="462" spans="2:42" x14ac:dyDescent="0.35">
      <c r="B462" t="s">
        <v>86</v>
      </c>
      <c r="C462" s="2">
        <v>17789960.580000006</v>
      </c>
      <c r="D462" s="2">
        <v>0</v>
      </c>
      <c r="E462" s="2">
        <v>0</v>
      </c>
      <c r="F462" s="2">
        <v>0</v>
      </c>
      <c r="G462" s="2">
        <v>17789960.580000006</v>
      </c>
      <c r="I462" t="s">
        <v>86</v>
      </c>
      <c r="J462" s="2">
        <v>4275590.8099999987</v>
      </c>
      <c r="K462" s="2">
        <v>0</v>
      </c>
      <c r="L462" s="2">
        <v>0</v>
      </c>
      <c r="M462" s="2">
        <v>0</v>
      </c>
      <c r="N462" s="2">
        <v>4275590.8099999987</v>
      </c>
      <c r="P462" t="s">
        <v>86</v>
      </c>
      <c r="Q462" s="2">
        <v>3906528.6899999958</v>
      </c>
      <c r="R462" s="2">
        <v>0</v>
      </c>
      <c r="S462" s="2">
        <v>0</v>
      </c>
      <c r="T462" s="2">
        <v>0</v>
      </c>
      <c r="U462" s="2">
        <v>3906528.6899999958</v>
      </c>
      <c r="W462" t="s">
        <v>86</v>
      </c>
      <c r="X462" s="2">
        <v>8182119.4999999944</v>
      </c>
      <c r="Y462" s="2">
        <v>0</v>
      </c>
      <c r="Z462" s="2">
        <v>0</v>
      </c>
      <c r="AA462" s="2">
        <v>0</v>
      </c>
      <c r="AB462" s="2">
        <v>8182119.4999999944</v>
      </c>
      <c r="AD462" t="s">
        <v>86</v>
      </c>
      <c r="AE462" s="2">
        <v>4002524.9999999981</v>
      </c>
      <c r="AF462" s="2">
        <v>0</v>
      </c>
      <c r="AG462" s="2">
        <v>0</v>
      </c>
      <c r="AH462" s="2">
        <v>0</v>
      </c>
      <c r="AI462" s="2">
        <v>4002524.9999999981</v>
      </c>
      <c r="AK462" t="s">
        <v>86</v>
      </c>
      <c r="AL462" s="2">
        <v>5605316.0800000131</v>
      </c>
      <c r="AM462" s="2">
        <v>0</v>
      </c>
      <c r="AN462" s="2">
        <v>0</v>
      </c>
      <c r="AO462" s="2">
        <v>0</v>
      </c>
      <c r="AP462" s="2">
        <v>5605316.0800000131</v>
      </c>
    </row>
    <row r="463" spans="2:42" x14ac:dyDescent="0.35">
      <c r="B463" t="s">
        <v>87</v>
      </c>
      <c r="C463" s="2">
        <v>-261669263.26999998</v>
      </c>
      <c r="D463" s="2">
        <v>0</v>
      </c>
      <c r="E463" s="2">
        <v>0</v>
      </c>
      <c r="F463" s="2">
        <v>0</v>
      </c>
      <c r="G463" s="2">
        <v>-261669263.26999998</v>
      </c>
      <c r="I463" t="s">
        <v>87</v>
      </c>
      <c r="J463" s="2">
        <v>-101021879.2</v>
      </c>
      <c r="K463" s="2">
        <v>0</v>
      </c>
      <c r="L463" s="2">
        <v>0</v>
      </c>
      <c r="M463" s="2">
        <v>0</v>
      </c>
      <c r="N463" s="2">
        <v>-101021879.2</v>
      </c>
      <c r="P463" t="s">
        <v>87</v>
      </c>
      <c r="Q463" s="2">
        <v>-37646264.359999999</v>
      </c>
      <c r="R463" s="2">
        <v>0</v>
      </c>
      <c r="S463" s="2">
        <v>0</v>
      </c>
      <c r="T463" s="2">
        <v>0</v>
      </c>
      <c r="U463" s="2">
        <v>-37646264.359999999</v>
      </c>
      <c r="W463" t="s">
        <v>87</v>
      </c>
      <c r="X463" s="2">
        <v>-138668143.56</v>
      </c>
      <c r="Y463" s="2">
        <v>0</v>
      </c>
      <c r="Z463" s="2">
        <v>0</v>
      </c>
      <c r="AA463" s="2">
        <v>0</v>
      </c>
      <c r="AB463" s="2">
        <v>-138668143.56</v>
      </c>
      <c r="AD463" t="s">
        <v>87</v>
      </c>
      <c r="AE463" s="2">
        <v>-63198925.979999989</v>
      </c>
      <c r="AF463" s="2">
        <v>0</v>
      </c>
      <c r="AG463" s="2">
        <v>0</v>
      </c>
      <c r="AH463" s="2">
        <v>0</v>
      </c>
      <c r="AI463" s="2">
        <v>-63198925.979999989</v>
      </c>
      <c r="AK463" t="s">
        <v>87</v>
      </c>
      <c r="AL463" s="2">
        <v>-59802193.729999989</v>
      </c>
      <c r="AM463" s="2">
        <v>0</v>
      </c>
      <c r="AN463" s="2">
        <v>0</v>
      </c>
      <c r="AO463" s="2">
        <v>0</v>
      </c>
      <c r="AP463" s="2">
        <v>-59802193.729999989</v>
      </c>
    </row>
    <row r="464" spans="2:42" x14ac:dyDescent="0.35">
      <c r="B464" s="19" t="s">
        <v>18</v>
      </c>
      <c r="C464" s="20">
        <v>990849665.28303981</v>
      </c>
      <c r="D464" s="20">
        <v>0</v>
      </c>
      <c r="E464" s="20">
        <v>0</v>
      </c>
      <c r="F464" s="20">
        <v>0</v>
      </c>
      <c r="G464" s="20">
        <v>990849665.28303981</v>
      </c>
      <c r="I464" s="19" t="s">
        <v>18</v>
      </c>
      <c r="J464" s="20">
        <v>93807308.723919973</v>
      </c>
      <c r="K464" s="20">
        <v>0</v>
      </c>
      <c r="L464" s="20">
        <v>0</v>
      </c>
      <c r="M464" s="20">
        <v>0</v>
      </c>
      <c r="N464" s="20">
        <v>93807308.723919973</v>
      </c>
      <c r="P464" s="19" t="s">
        <v>18</v>
      </c>
      <c r="Q464" s="20">
        <v>232830517.88119996</v>
      </c>
      <c r="R464" s="20">
        <v>0</v>
      </c>
      <c r="S464" s="20">
        <v>0</v>
      </c>
      <c r="T464" s="20">
        <v>0</v>
      </c>
      <c r="U464" s="20">
        <v>232830517.88119996</v>
      </c>
      <c r="W464" s="19" t="s">
        <v>18</v>
      </c>
      <c r="X464" s="20">
        <v>326637826.60512</v>
      </c>
      <c r="Y464" s="20">
        <v>0</v>
      </c>
      <c r="Z464" s="20">
        <v>0</v>
      </c>
      <c r="AA464" s="20">
        <v>0</v>
      </c>
      <c r="AB464" s="20">
        <v>326637826.60512</v>
      </c>
      <c r="AD464" s="19" t="s">
        <v>18</v>
      </c>
      <c r="AE464" s="20">
        <v>308155028.27525997</v>
      </c>
      <c r="AF464" s="20">
        <v>0</v>
      </c>
      <c r="AG464" s="20">
        <v>0</v>
      </c>
      <c r="AH464" s="20">
        <v>0</v>
      </c>
      <c r="AI464" s="20">
        <v>308155028.27525997</v>
      </c>
      <c r="AK464" s="19" t="s">
        <v>18</v>
      </c>
      <c r="AL464" s="20">
        <v>356056810.40265989</v>
      </c>
      <c r="AM464" s="20">
        <v>0</v>
      </c>
      <c r="AN464" s="20">
        <v>0</v>
      </c>
      <c r="AO464" s="20">
        <v>0</v>
      </c>
      <c r="AP464" s="20">
        <v>356056810.40265989</v>
      </c>
    </row>
    <row r="465" spans="2:42" x14ac:dyDescent="0.35">
      <c r="C465" s="2"/>
      <c r="D465" s="2"/>
      <c r="E465" s="2"/>
      <c r="F465" s="2"/>
      <c r="G465" s="2"/>
      <c r="J465" s="2"/>
      <c r="K465" s="2"/>
      <c r="L465" s="2"/>
      <c r="M465" s="2"/>
      <c r="N465" s="2"/>
      <c r="Q465" s="2"/>
      <c r="R465" s="2"/>
      <c r="S465" s="2"/>
      <c r="T465" s="2"/>
      <c r="U465" s="2"/>
      <c r="X465" s="2"/>
      <c r="Y465" s="2"/>
      <c r="Z465" s="2"/>
      <c r="AA465" s="2"/>
      <c r="AB465" s="2"/>
      <c r="AE465" s="2"/>
      <c r="AF465" s="2"/>
      <c r="AG465" s="2"/>
      <c r="AH465" s="2"/>
      <c r="AI465" s="2"/>
      <c r="AL465" s="2"/>
      <c r="AM465" s="2"/>
      <c r="AN465" s="2"/>
      <c r="AO465" s="2"/>
      <c r="AP465" s="2"/>
    </row>
    <row r="466" spans="2:42" x14ac:dyDescent="0.35">
      <c r="C466" s="2"/>
      <c r="D466" s="2"/>
      <c r="E466" s="2"/>
      <c r="F466" s="2"/>
      <c r="G466" s="2"/>
      <c r="J466" s="2"/>
      <c r="K466" s="2"/>
      <c r="L466" s="2"/>
      <c r="M466" s="2"/>
      <c r="N466" s="2"/>
      <c r="Q466" s="2"/>
      <c r="R466" s="2"/>
      <c r="S466" s="2"/>
      <c r="T466" s="2"/>
      <c r="U466" s="2"/>
      <c r="X466" s="2"/>
      <c r="Y466" s="2"/>
      <c r="Z466" s="2"/>
      <c r="AA466" s="2"/>
      <c r="AB466" s="2"/>
      <c r="AE466" s="2"/>
      <c r="AF466" s="2"/>
      <c r="AG466" s="2"/>
      <c r="AH466" s="2"/>
      <c r="AI466" s="2"/>
      <c r="AL466" s="2"/>
      <c r="AM466" s="2"/>
      <c r="AN466" s="2"/>
      <c r="AO466" s="2"/>
      <c r="AP466" s="2"/>
    </row>
    <row r="467" spans="2:42" x14ac:dyDescent="0.35">
      <c r="B467" t="s">
        <v>12</v>
      </c>
      <c r="C467" s="2">
        <v>2302151112.1499996</v>
      </c>
      <c r="D467" s="2">
        <v>0</v>
      </c>
      <c r="E467" s="2">
        <v>0</v>
      </c>
      <c r="F467" s="2">
        <v>0</v>
      </c>
      <c r="G467" s="2">
        <v>2302151112.1499996</v>
      </c>
      <c r="I467" t="s">
        <v>12</v>
      </c>
      <c r="J467" s="2">
        <v>551374930.46999979</v>
      </c>
      <c r="K467" s="2">
        <v>0</v>
      </c>
      <c r="L467" s="2">
        <v>0</v>
      </c>
      <c r="M467" s="2">
        <v>0</v>
      </c>
      <c r="N467" s="2">
        <v>551374930.46999979</v>
      </c>
      <c r="P467" t="s">
        <v>12</v>
      </c>
      <c r="Q467" s="2">
        <v>499426155.69000053</v>
      </c>
      <c r="R467" s="2">
        <v>0</v>
      </c>
      <c r="S467" s="2">
        <v>0</v>
      </c>
      <c r="T467" s="2">
        <v>0</v>
      </c>
      <c r="U467" s="2">
        <v>499426155.69000053</v>
      </c>
      <c r="W467" t="s">
        <v>12</v>
      </c>
      <c r="X467" s="2">
        <v>1050801086.1600003</v>
      </c>
      <c r="Y467" s="2">
        <v>0</v>
      </c>
      <c r="Z467" s="2">
        <v>0</v>
      </c>
      <c r="AA467" s="2">
        <v>0</v>
      </c>
      <c r="AB467" s="2">
        <v>1050801086.1600003</v>
      </c>
      <c r="AD467" t="s">
        <v>12</v>
      </c>
      <c r="AE467" s="2">
        <v>579226357.17999959</v>
      </c>
      <c r="AF467" s="2">
        <v>0</v>
      </c>
      <c r="AG467" s="2">
        <v>0</v>
      </c>
      <c r="AH467" s="2">
        <v>0</v>
      </c>
      <c r="AI467" s="2">
        <v>579226357.17999959</v>
      </c>
      <c r="AK467" t="s">
        <v>12</v>
      </c>
      <c r="AL467" s="2">
        <v>672123668.8099997</v>
      </c>
      <c r="AM467" s="2">
        <v>0</v>
      </c>
      <c r="AN467" s="2">
        <v>0</v>
      </c>
      <c r="AO467" s="2">
        <v>0</v>
      </c>
      <c r="AP467" s="2">
        <v>672123668.8099997</v>
      </c>
    </row>
    <row r="468" spans="2:42" x14ac:dyDescent="0.35">
      <c r="B468" t="s">
        <v>3</v>
      </c>
      <c r="C468" s="2">
        <v>-1490234397.5959725</v>
      </c>
      <c r="D468" s="2">
        <v>0</v>
      </c>
      <c r="E468" s="2">
        <v>0</v>
      </c>
      <c r="F468" s="2">
        <v>-79605.289999999994</v>
      </c>
      <c r="G468" s="2">
        <v>-1490314002.8859725</v>
      </c>
      <c r="I468" t="s">
        <v>3</v>
      </c>
      <c r="J468" s="2">
        <v>-334025953.89999998</v>
      </c>
      <c r="K468" s="2">
        <v>0</v>
      </c>
      <c r="L468" s="2">
        <v>0</v>
      </c>
      <c r="M468" s="2">
        <v>-12782.29</v>
      </c>
      <c r="N468" s="2">
        <v>-334038736.19</v>
      </c>
      <c r="P468" t="s">
        <v>3</v>
      </c>
      <c r="Q468" s="2">
        <v>-344555779.24999988</v>
      </c>
      <c r="R468" s="2">
        <v>0</v>
      </c>
      <c r="S468" s="2">
        <v>0</v>
      </c>
      <c r="T468" s="2">
        <v>-14572.29</v>
      </c>
      <c r="U468" s="2">
        <v>-344570351.5399999</v>
      </c>
      <c r="W468" t="s">
        <v>3</v>
      </c>
      <c r="X468" s="2">
        <v>-678581733.14999986</v>
      </c>
      <c r="Y468" s="2">
        <v>0</v>
      </c>
      <c r="Z468" s="2">
        <v>0</v>
      </c>
      <c r="AA468" s="2">
        <v>-27354.58</v>
      </c>
      <c r="AB468" s="2">
        <v>-678609087.7299999</v>
      </c>
      <c r="AD468" t="s">
        <v>3</v>
      </c>
      <c r="AE468" s="2">
        <v>-357926409.3824389</v>
      </c>
      <c r="AF468" s="2">
        <v>0</v>
      </c>
      <c r="AG468" s="2">
        <v>0</v>
      </c>
      <c r="AH468" s="2">
        <v>-21141.149999999994</v>
      </c>
      <c r="AI468" s="2">
        <v>-357947550.53243887</v>
      </c>
      <c r="AK468" t="s">
        <v>3</v>
      </c>
      <c r="AL468" s="2">
        <v>-453726255.06353378</v>
      </c>
      <c r="AM468" s="2">
        <v>0</v>
      </c>
      <c r="AN468" s="2">
        <v>0</v>
      </c>
      <c r="AO468" s="2">
        <v>-31109.559999999998</v>
      </c>
      <c r="AP468" s="2">
        <v>-453757364.62353373</v>
      </c>
    </row>
    <row r="469" spans="2:42" x14ac:dyDescent="0.35">
      <c r="B469" t="s">
        <v>88</v>
      </c>
      <c r="C469" s="2">
        <v>121227682.31037955</v>
      </c>
      <c r="D469" s="2">
        <v>0</v>
      </c>
      <c r="E469" s="2">
        <v>0</v>
      </c>
      <c r="F469" s="2">
        <v>3134590.04</v>
      </c>
      <c r="G469" s="2">
        <v>124362272.35037956</v>
      </c>
      <c r="I469" t="s">
        <v>88</v>
      </c>
      <c r="J469" s="2">
        <v>25139838.959999993</v>
      </c>
      <c r="K469" s="2">
        <v>0</v>
      </c>
      <c r="L469" s="2">
        <v>0</v>
      </c>
      <c r="M469" s="2">
        <v>4701.6900000000005</v>
      </c>
      <c r="N469" s="2">
        <v>25144540.649999995</v>
      </c>
      <c r="P469" t="s">
        <v>88</v>
      </c>
      <c r="Q469" s="2">
        <v>28850742.710000001</v>
      </c>
      <c r="R469" s="2">
        <v>0</v>
      </c>
      <c r="S469" s="2">
        <v>0</v>
      </c>
      <c r="T469" s="2">
        <v>532344.09</v>
      </c>
      <c r="U469" s="2">
        <v>29383086.800000001</v>
      </c>
      <c r="W469" t="s">
        <v>88</v>
      </c>
      <c r="X469" s="2">
        <v>53990581.669999994</v>
      </c>
      <c r="Y469" s="2">
        <v>0</v>
      </c>
      <c r="Z469" s="2">
        <v>0</v>
      </c>
      <c r="AA469" s="2">
        <v>537045.77999999991</v>
      </c>
      <c r="AB469" s="2">
        <v>54527627.449999996</v>
      </c>
      <c r="AD469" t="s">
        <v>88</v>
      </c>
      <c r="AE469" s="2">
        <v>31450205.118402325</v>
      </c>
      <c r="AF469" s="2">
        <v>0</v>
      </c>
      <c r="AG469" s="2">
        <v>0</v>
      </c>
      <c r="AH469" s="2">
        <v>1058973.48</v>
      </c>
      <c r="AI469" s="2">
        <v>32509178.598402325</v>
      </c>
      <c r="AK469" t="s">
        <v>88</v>
      </c>
      <c r="AL469" s="2">
        <v>35786895.521977223</v>
      </c>
      <c r="AM469" s="2">
        <v>0</v>
      </c>
      <c r="AN469" s="2">
        <v>0</v>
      </c>
      <c r="AO469" s="2">
        <v>1538570.7800000003</v>
      </c>
      <c r="AP469" s="2">
        <v>37325466.301977247</v>
      </c>
    </row>
    <row r="470" spans="2:42" x14ac:dyDescent="0.35">
      <c r="B470" t="s">
        <v>13</v>
      </c>
      <c r="C470" s="2">
        <v>-15913556.360000001</v>
      </c>
      <c r="D470" s="2">
        <v>0</v>
      </c>
      <c r="E470" s="2">
        <v>0</v>
      </c>
      <c r="F470" s="2">
        <v>0</v>
      </c>
      <c r="G470" s="2">
        <v>-15913556.360000001</v>
      </c>
      <c r="I470" t="s">
        <v>13</v>
      </c>
      <c r="J470" s="2">
        <v>-3302528.7699999996</v>
      </c>
      <c r="K470" s="2">
        <v>0</v>
      </c>
      <c r="L470" s="2">
        <v>0</v>
      </c>
      <c r="M470" s="2">
        <v>0</v>
      </c>
      <c r="N470" s="2">
        <v>-3302528.7699999996</v>
      </c>
      <c r="P470" t="s">
        <v>13</v>
      </c>
      <c r="Q470" s="2">
        <v>-3492705.4700000007</v>
      </c>
      <c r="R470" s="2">
        <v>0</v>
      </c>
      <c r="S470" s="2">
        <v>0</v>
      </c>
      <c r="T470" s="2">
        <v>0</v>
      </c>
      <c r="U470" s="2">
        <v>-3492705.4700000007</v>
      </c>
      <c r="W470" t="s">
        <v>13</v>
      </c>
      <c r="X470" s="2">
        <v>-6795234.2400000002</v>
      </c>
      <c r="Y470" s="2">
        <v>0</v>
      </c>
      <c r="Z470" s="2">
        <v>0</v>
      </c>
      <c r="AA470" s="2">
        <v>0</v>
      </c>
      <c r="AB470" s="2">
        <v>-6795234.2400000002</v>
      </c>
      <c r="AD470" t="s">
        <v>13</v>
      </c>
      <c r="AE470" s="2">
        <v>-3996794.0299999993</v>
      </c>
      <c r="AF470" s="2">
        <v>0</v>
      </c>
      <c r="AG470" s="2">
        <v>0</v>
      </c>
      <c r="AH470" s="2">
        <v>0</v>
      </c>
      <c r="AI470" s="2">
        <v>-3996794.0299999993</v>
      </c>
      <c r="AK470" t="s">
        <v>13</v>
      </c>
      <c r="AL470" s="2">
        <v>-5121528.0900000017</v>
      </c>
      <c r="AM470" s="2">
        <v>0</v>
      </c>
      <c r="AN470" s="2">
        <v>0</v>
      </c>
      <c r="AO470" s="2">
        <v>0</v>
      </c>
      <c r="AP470" s="2">
        <v>-5121528.0900000017</v>
      </c>
    </row>
    <row r="471" spans="2:42" x14ac:dyDescent="0.35">
      <c r="B471" s="19" t="s">
        <v>14</v>
      </c>
      <c r="C471" s="20">
        <v>917230840.50440657</v>
      </c>
      <c r="D471" s="20">
        <v>0</v>
      </c>
      <c r="E471" s="20">
        <v>0</v>
      </c>
      <c r="F471" s="20">
        <v>3054984.75</v>
      </c>
      <c r="G471" s="20">
        <v>920285825.25440669</v>
      </c>
      <c r="I471" s="19" t="s">
        <v>14</v>
      </c>
      <c r="J471" s="20">
        <v>239186286.75999978</v>
      </c>
      <c r="K471" s="20">
        <v>0</v>
      </c>
      <c r="L471" s="20">
        <v>0</v>
      </c>
      <c r="M471" s="20">
        <v>-8080.6</v>
      </c>
      <c r="N471" s="20">
        <v>239178206.15999979</v>
      </c>
      <c r="P471" s="19" t="s">
        <v>14</v>
      </c>
      <c r="Q471" s="20">
        <v>180228413.68000066</v>
      </c>
      <c r="R471" s="20">
        <v>0</v>
      </c>
      <c r="S471" s="20">
        <v>0</v>
      </c>
      <c r="T471" s="20">
        <v>517771.8</v>
      </c>
      <c r="U471" s="20">
        <v>180746185.48000064</v>
      </c>
      <c r="W471" s="19" t="s">
        <v>14</v>
      </c>
      <c r="X471" s="20">
        <v>419414700.44000047</v>
      </c>
      <c r="Y471" s="20">
        <v>0</v>
      </c>
      <c r="Z471" s="20">
        <v>0</v>
      </c>
      <c r="AA471" s="20">
        <v>509691.1999999999</v>
      </c>
      <c r="AB471" s="20">
        <v>419924391.6400004</v>
      </c>
      <c r="AD471" s="19" t="s">
        <v>14</v>
      </c>
      <c r="AE471" s="20">
        <v>248753358.88596302</v>
      </c>
      <c r="AF471" s="20">
        <v>0</v>
      </c>
      <c r="AG471" s="20">
        <v>0</v>
      </c>
      <c r="AH471" s="20">
        <v>1037832.33</v>
      </c>
      <c r="AI471" s="20">
        <v>249791191.21596304</v>
      </c>
      <c r="AK471" s="19" t="s">
        <v>14</v>
      </c>
      <c r="AL471" s="20">
        <v>249062781.17844307</v>
      </c>
      <c r="AM471" s="20">
        <v>0</v>
      </c>
      <c r="AN471" s="20">
        <v>0</v>
      </c>
      <c r="AO471" s="20">
        <v>1507461.2200000002</v>
      </c>
      <c r="AP471" s="20">
        <v>250570242.39844325</v>
      </c>
    </row>
    <row r="472" spans="2:42" x14ac:dyDescent="0.35">
      <c r="C472" s="2"/>
      <c r="D472" s="2"/>
      <c r="E472" s="2"/>
      <c r="F472" s="2"/>
      <c r="G472" s="2"/>
      <c r="J472" s="2"/>
      <c r="K472" s="2"/>
      <c r="L472" s="2"/>
      <c r="M472" s="2"/>
      <c r="N472" s="2"/>
      <c r="Q472" s="2"/>
      <c r="R472" s="2"/>
      <c r="S472" s="2"/>
      <c r="T472" s="2"/>
      <c r="U472" s="2"/>
      <c r="X472" s="2"/>
      <c r="Y472" s="2"/>
      <c r="Z472" s="2"/>
      <c r="AA472" s="2"/>
      <c r="AB472" s="2"/>
      <c r="AE472" s="2"/>
      <c r="AF472" s="2"/>
      <c r="AG472" s="2"/>
      <c r="AH472" s="2"/>
      <c r="AI472" s="2"/>
      <c r="AL472" s="2"/>
      <c r="AM472" s="2"/>
      <c r="AN472" s="2"/>
      <c r="AO472" s="2"/>
      <c r="AP472" s="2"/>
    </row>
    <row r="473" spans="2:42" x14ac:dyDescent="0.35">
      <c r="C473" s="2"/>
      <c r="D473" s="2"/>
      <c r="E473" s="2"/>
      <c r="F473" s="2"/>
      <c r="G473" s="2"/>
      <c r="J473" s="2"/>
      <c r="K473" s="2"/>
      <c r="L473" s="2"/>
      <c r="M473" s="2"/>
      <c r="N473" s="2"/>
      <c r="Q473" s="2"/>
      <c r="R473" s="2"/>
      <c r="S473" s="2"/>
      <c r="T473" s="2"/>
      <c r="U473" s="2"/>
      <c r="X473" s="2"/>
      <c r="Y473" s="2"/>
      <c r="Z473" s="2"/>
      <c r="AA473" s="2"/>
      <c r="AB473" s="2"/>
      <c r="AE473" s="2"/>
      <c r="AF473" s="2"/>
      <c r="AG473" s="2"/>
      <c r="AH473" s="2"/>
      <c r="AI473" s="2"/>
      <c r="AL473" s="2"/>
      <c r="AM473" s="2"/>
      <c r="AN473" s="2"/>
      <c r="AO473" s="2"/>
      <c r="AP473" s="2"/>
    </row>
    <row r="474" spans="2:42" x14ac:dyDescent="0.35">
      <c r="B474" t="s">
        <v>15</v>
      </c>
      <c r="C474" s="2">
        <v>203864514.70330817</v>
      </c>
      <c r="D474" s="2">
        <v>0</v>
      </c>
      <c r="E474" s="2">
        <v>0</v>
      </c>
      <c r="F474" s="2">
        <v>14790164.949999999</v>
      </c>
      <c r="G474" s="2">
        <v>218654679.65330815</v>
      </c>
      <c r="I474" t="s">
        <v>15</v>
      </c>
      <c r="J474" s="2">
        <v>38616692.690000005</v>
      </c>
      <c r="K474" s="2">
        <v>0</v>
      </c>
      <c r="L474" s="2">
        <v>0</v>
      </c>
      <c r="M474" s="2">
        <v>3895700.91</v>
      </c>
      <c r="N474" s="2">
        <v>42512393.600000009</v>
      </c>
      <c r="P474" t="s">
        <v>15</v>
      </c>
      <c r="Q474" s="2">
        <v>46472287.779999964</v>
      </c>
      <c r="R474" s="2">
        <v>0</v>
      </c>
      <c r="S474" s="2">
        <v>0</v>
      </c>
      <c r="T474" s="2">
        <v>3737486.1599999992</v>
      </c>
      <c r="U474" s="2">
        <v>50209773.93999996</v>
      </c>
      <c r="W474" t="s">
        <v>15</v>
      </c>
      <c r="X474" s="2">
        <v>85088980.469999969</v>
      </c>
      <c r="Y474" s="2">
        <v>0</v>
      </c>
      <c r="Z474" s="2">
        <v>0</v>
      </c>
      <c r="AA474" s="2">
        <v>7633187.0699999994</v>
      </c>
      <c r="AB474" s="2">
        <v>92722167.539999962</v>
      </c>
      <c r="AD474" t="s">
        <v>15</v>
      </c>
      <c r="AE474" s="2">
        <v>55282285.01000005</v>
      </c>
      <c r="AF474" s="2">
        <v>0</v>
      </c>
      <c r="AG474" s="2">
        <v>0</v>
      </c>
      <c r="AH474" s="2">
        <v>3817387.63</v>
      </c>
      <c r="AI474" s="2">
        <v>59099672.640000053</v>
      </c>
      <c r="AK474" t="s">
        <v>15</v>
      </c>
      <c r="AL474" s="2">
        <v>63493249.223308146</v>
      </c>
      <c r="AM474" s="2">
        <v>0</v>
      </c>
      <c r="AN474" s="2">
        <v>0</v>
      </c>
      <c r="AO474" s="2">
        <v>3339590.25</v>
      </c>
      <c r="AP474" s="2">
        <v>66832839.473308139</v>
      </c>
    </row>
    <row r="475" spans="2:42" x14ac:dyDescent="0.35">
      <c r="B475" t="s">
        <v>16</v>
      </c>
      <c r="C475" s="2">
        <v>-110908275.07647723</v>
      </c>
      <c r="D475" s="2">
        <v>0</v>
      </c>
      <c r="E475" s="2">
        <v>0</v>
      </c>
      <c r="F475" s="2">
        <v>0</v>
      </c>
      <c r="G475" s="2">
        <v>-110908275.07647723</v>
      </c>
      <c r="I475" t="s">
        <v>16</v>
      </c>
      <c r="J475" s="2">
        <v>-32166196.959999997</v>
      </c>
      <c r="K475" s="2">
        <v>0</v>
      </c>
      <c r="L475" s="2">
        <v>0</v>
      </c>
      <c r="M475" s="2">
        <v>0</v>
      </c>
      <c r="N475" s="2">
        <v>-32166196.959999997</v>
      </c>
      <c r="P475" t="s">
        <v>16</v>
      </c>
      <c r="Q475" s="2">
        <v>-26666022.469999995</v>
      </c>
      <c r="R475" s="2">
        <v>0</v>
      </c>
      <c r="S475" s="2">
        <v>0</v>
      </c>
      <c r="T475" s="2">
        <v>0</v>
      </c>
      <c r="U475" s="2">
        <v>-26666022.469999995</v>
      </c>
      <c r="W475" t="s">
        <v>16</v>
      </c>
      <c r="X475" s="2">
        <v>-58832219.429999992</v>
      </c>
      <c r="Y475" s="2">
        <v>0</v>
      </c>
      <c r="Z475" s="2">
        <v>0</v>
      </c>
      <c r="AA475" s="2">
        <v>0</v>
      </c>
      <c r="AB475" s="2">
        <v>-58832219.429999992</v>
      </c>
      <c r="AD475" t="s">
        <v>16</v>
      </c>
      <c r="AE475" s="2">
        <v>-25693452.228474572</v>
      </c>
      <c r="AF475" s="2">
        <v>0</v>
      </c>
      <c r="AG475" s="2">
        <v>0</v>
      </c>
      <c r="AH475" s="2">
        <v>0</v>
      </c>
      <c r="AI475" s="2">
        <v>-25693452.228474572</v>
      </c>
      <c r="AK475" t="s">
        <v>16</v>
      </c>
      <c r="AL475" s="2">
        <v>-26382603.418002665</v>
      </c>
      <c r="AM475" s="2">
        <v>0</v>
      </c>
      <c r="AN475" s="2">
        <v>0</v>
      </c>
      <c r="AO475" s="2">
        <v>0</v>
      </c>
      <c r="AP475" s="2">
        <v>-26382603.418002665</v>
      </c>
    </row>
    <row r="476" spans="2:42" x14ac:dyDescent="0.35">
      <c r="B476" s="19" t="s">
        <v>17</v>
      </c>
      <c r="C476" s="20">
        <v>92956239.626830935</v>
      </c>
      <c r="D476" s="20">
        <v>0</v>
      </c>
      <c r="E476" s="20">
        <v>0</v>
      </c>
      <c r="F476" s="20">
        <v>14790164.949999999</v>
      </c>
      <c r="G476" s="20">
        <v>107746404.57683092</v>
      </c>
      <c r="I476" s="19" t="s">
        <v>17</v>
      </c>
      <c r="J476" s="20">
        <v>6450495.7300000079</v>
      </c>
      <c r="K476" s="20">
        <v>0</v>
      </c>
      <c r="L476" s="20">
        <v>0</v>
      </c>
      <c r="M476" s="20">
        <v>3895700.91</v>
      </c>
      <c r="N476" s="20">
        <v>10346196.640000012</v>
      </c>
      <c r="P476" s="19" t="s">
        <v>17</v>
      </c>
      <c r="Q476" s="20">
        <v>19806265.309999969</v>
      </c>
      <c r="R476" s="20">
        <v>0</v>
      </c>
      <c r="S476" s="20">
        <v>0</v>
      </c>
      <c r="T476" s="20">
        <v>3737486.1599999992</v>
      </c>
      <c r="U476" s="20">
        <v>23543751.469999965</v>
      </c>
      <c r="W476" s="19" t="s">
        <v>17</v>
      </c>
      <c r="X476" s="20">
        <v>26256761.039999977</v>
      </c>
      <c r="Y476" s="20">
        <v>0</v>
      </c>
      <c r="Z476" s="20">
        <v>0</v>
      </c>
      <c r="AA476" s="20">
        <v>7633187.0699999994</v>
      </c>
      <c r="AB476" s="20">
        <v>33889948.10999997</v>
      </c>
      <c r="AD476" s="19" t="s">
        <v>17</v>
      </c>
      <c r="AE476" s="20">
        <v>29588832.781525478</v>
      </c>
      <c r="AF476" s="20">
        <v>0</v>
      </c>
      <c r="AG476" s="20">
        <v>0</v>
      </c>
      <c r="AH476" s="20">
        <v>3817387.63</v>
      </c>
      <c r="AI476" s="20">
        <v>33406220.41152548</v>
      </c>
      <c r="AK476" s="19" t="s">
        <v>17</v>
      </c>
      <c r="AL476" s="20">
        <v>37110645.805305481</v>
      </c>
      <c r="AM476" s="20">
        <v>0</v>
      </c>
      <c r="AN476" s="20">
        <v>0</v>
      </c>
      <c r="AO476" s="20">
        <v>3339590.25</v>
      </c>
      <c r="AP476" s="20">
        <v>40450236.055305474</v>
      </c>
    </row>
    <row r="477" spans="2:42" x14ac:dyDescent="0.35">
      <c r="C477" s="2"/>
      <c r="D477" s="2"/>
      <c r="E477" s="2"/>
      <c r="F477" s="2"/>
      <c r="G477" s="2"/>
      <c r="J477" s="2"/>
      <c r="K477" s="2"/>
      <c r="L477" s="2"/>
      <c r="M477" s="2"/>
      <c r="N477" s="2"/>
      <c r="Q477" s="2"/>
      <c r="R477" s="2"/>
      <c r="S477" s="2"/>
      <c r="T477" s="2"/>
      <c r="U477" s="2"/>
      <c r="X477" s="2"/>
      <c r="Y477" s="2"/>
      <c r="Z477" s="2"/>
      <c r="AA477" s="2"/>
      <c r="AB477" s="2"/>
      <c r="AE477" s="2"/>
      <c r="AF477" s="2"/>
      <c r="AG477" s="2"/>
      <c r="AH477" s="2"/>
      <c r="AI477" s="2"/>
      <c r="AL477" s="2"/>
      <c r="AM477" s="2"/>
      <c r="AN477" s="2"/>
      <c r="AO477" s="2"/>
      <c r="AP477" s="2"/>
    </row>
    <row r="478" spans="2:42" x14ac:dyDescent="0.35">
      <c r="C478" s="2"/>
      <c r="D478" s="2"/>
      <c r="E478" s="2"/>
      <c r="F478" s="2"/>
      <c r="G478" s="2"/>
      <c r="J478" s="2"/>
      <c r="K478" s="2"/>
      <c r="L478" s="2"/>
      <c r="M478" s="2"/>
      <c r="N478" s="2"/>
      <c r="Q478" s="2"/>
      <c r="R478" s="2"/>
      <c r="S478" s="2"/>
      <c r="T478" s="2"/>
      <c r="U478" s="2"/>
      <c r="X478" s="2"/>
      <c r="Y478" s="2"/>
      <c r="Z478" s="2"/>
      <c r="AA478" s="2"/>
      <c r="AB478" s="2"/>
      <c r="AE478" s="2"/>
      <c r="AF478" s="2"/>
      <c r="AG478" s="2"/>
      <c r="AH478" s="2"/>
      <c r="AI478" s="2"/>
      <c r="AL478" s="2"/>
      <c r="AM478" s="2"/>
      <c r="AN478" s="2"/>
      <c r="AO478" s="2"/>
      <c r="AP478" s="2"/>
    </row>
    <row r="479" spans="2:42" x14ac:dyDescent="0.35">
      <c r="B479" s="6" t="s">
        <v>20</v>
      </c>
      <c r="C479" s="2">
        <v>-14226626.895275222</v>
      </c>
      <c r="D479" s="2">
        <v>0</v>
      </c>
      <c r="E479" s="2">
        <v>0</v>
      </c>
      <c r="F479" s="2">
        <v>-25376904.196012277</v>
      </c>
      <c r="G479" s="7">
        <v>-39603531.091287501</v>
      </c>
      <c r="I479" s="6" t="s">
        <v>20</v>
      </c>
      <c r="J479" s="2">
        <v>-14365308.31833226</v>
      </c>
      <c r="K479" s="2">
        <v>0</v>
      </c>
      <c r="L479" s="2">
        <v>0</v>
      </c>
      <c r="M479" s="2">
        <v>-5277730.6695887204</v>
      </c>
      <c r="N479" s="7">
        <v>-19643038.987920981</v>
      </c>
      <c r="P479" s="6" t="s">
        <v>20</v>
      </c>
      <c r="Q479" s="2">
        <v>-7482887.1104817595</v>
      </c>
      <c r="R479" s="2">
        <v>0</v>
      </c>
      <c r="S479" s="2">
        <v>0</v>
      </c>
      <c r="T479" s="2">
        <v>-7796456.7577062529</v>
      </c>
      <c r="U479" s="7">
        <v>-15279343.868188012</v>
      </c>
      <c r="W479" s="6" t="s">
        <v>20</v>
      </c>
      <c r="X479" s="2">
        <v>-21848195.42881402</v>
      </c>
      <c r="Y479" s="2">
        <v>0</v>
      </c>
      <c r="Z479" s="2">
        <v>0</v>
      </c>
      <c r="AA479" s="2">
        <v>-13074187.427294973</v>
      </c>
      <c r="AB479" s="7">
        <v>-34922382.856108993</v>
      </c>
      <c r="AD479" s="6" t="s">
        <v>20</v>
      </c>
      <c r="AE479" s="2">
        <v>2914776.6106280684</v>
      </c>
      <c r="AF479" s="2">
        <v>0</v>
      </c>
      <c r="AG479" s="2">
        <v>0</v>
      </c>
      <c r="AH479" s="2">
        <v>-5001572.1525477022</v>
      </c>
      <c r="AI479" s="7">
        <v>-2086795.5419196337</v>
      </c>
      <c r="AK479" s="16" t="s">
        <v>20</v>
      </c>
      <c r="AL479" s="23">
        <v>4706791.9229107294</v>
      </c>
      <c r="AM479" s="23">
        <v>0</v>
      </c>
      <c r="AN479" s="23">
        <v>0</v>
      </c>
      <c r="AO479" s="23">
        <v>-7301144.6161696017</v>
      </c>
      <c r="AP479" s="23">
        <v>-2594352.6932588741</v>
      </c>
    </row>
    <row r="480" spans="2:42" x14ac:dyDescent="0.35">
      <c r="B480" s="13"/>
      <c r="C480" s="155"/>
      <c r="D480" s="155"/>
      <c r="E480" s="155"/>
      <c r="F480" s="155"/>
      <c r="G480" s="155"/>
      <c r="I480" s="13"/>
      <c r="J480" s="155"/>
      <c r="K480" s="155"/>
      <c r="L480" s="155"/>
      <c r="M480" s="155"/>
      <c r="N480" s="155"/>
      <c r="P480" s="13"/>
      <c r="Q480" s="155"/>
      <c r="R480" s="155"/>
      <c r="S480" s="155"/>
      <c r="T480" s="155"/>
      <c r="U480" s="155"/>
      <c r="W480" s="13"/>
      <c r="X480" s="155"/>
      <c r="Y480" s="155"/>
      <c r="Z480" s="155"/>
      <c r="AA480" s="155"/>
      <c r="AB480" s="155"/>
      <c r="AD480" s="13"/>
      <c r="AE480" s="155"/>
      <c r="AF480" s="155"/>
      <c r="AG480" s="155"/>
      <c r="AH480" s="155"/>
      <c r="AI480" s="155"/>
      <c r="AL480" s="2"/>
      <c r="AM480" s="2"/>
      <c r="AN480" s="2"/>
      <c r="AO480" s="2"/>
      <c r="AP480" s="2"/>
    </row>
    <row r="481" spans="2:42" x14ac:dyDescent="0.35">
      <c r="C481" s="2"/>
      <c r="D481" s="2"/>
      <c r="E481" s="2"/>
      <c r="F481" s="2"/>
      <c r="G481" s="2"/>
      <c r="J481" s="2"/>
      <c r="K481" s="2"/>
      <c r="L481" s="2"/>
      <c r="M481" s="2"/>
      <c r="N481" s="2"/>
      <c r="Q481" s="2"/>
      <c r="R481" s="2"/>
      <c r="S481" s="2"/>
      <c r="T481" s="2"/>
      <c r="U481" s="2"/>
      <c r="X481" s="2"/>
      <c r="Y481" s="2"/>
      <c r="Z481" s="2"/>
      <c r="AA481" s="2"/>
      <c r="AB481" s="2"/>
      <c r="AE481" s="2"/>
      <c r="AF481" s="2"/>
      <c r="AG481" s="2"/>
      <c r="AH481" s="2"/>
      <c r="AI481" s="2"/>
    </row>
    <row r="482" spans="2:42" x14ac:dyDescent="0.35">
      <c r="C482" s="2"/>
      <c r="D482" s="2"/>
      <c r="E482" s="2"/>
      <c r="F482" s="2"/>
      <c r="G482" s="2"/>
      <c r="J482" s="2"/>
      <c r="K482" s="2"/>
      <c r="L482" s="2"/>
      <c r="M482" s="2"/>
      <c r="N482" s="2"/>
      <c r="Q482" s="2"/>
      <c r="R482" s="2"/>
      <c r="S482" s="2"/>
      <c r="T482" s="2"/>
      <c r="U482" s="2"/>
      <c r="X482" s="2"/>
      <c r="Y482" s="2"/>
      <c r="Z482" s="2"/>
      <c r="AA482" s="2"/>
      <c r="AB482" s="2"/>
      <c r="AE482" s="2"/>
      <c r="AF482" s="2"/>
      <c r="AG482" s="2"/>
      <c r="AH482" s="2"/>
      <c r="AI482" s="2"/>
    </row>
    <row r="483" spans="2:42" x14ac:dyDescent="0.35">
      <c r="B483" t="s">
        <v>0</v>
      </c>
      <c r="C483" s="2">
        <v>0.05</v>
      </c>
      <c r="D483" s="2">
        <v>0</v>
      </c>
      <c r="E483" s="2">
        <v>0</v>
      </c>
      <c r="F483" s="2">
        <v>0</v>
      </c>
      <c r="G483" s="2">
        <v>0.05</v>
      </c>
      <c r="I483" t="s">
        <v>0</v>
      </c>
      <c r="J483" s="2">
        <v>0</v>
      </c>
      <c r="K483" s="2">
        <v>0</v>
      </c>
      <c r="L483" s="2">
        <v>0</v>
      </c>
      <c r="M483" s="2">
        <v>0</v>
      </c>
      <c r="N483" s="2">
        <v>0</v>
      </c>
      <c r="P483" t="s">
        <v>0</v>
      </c>
      <c r="Q483" s="2">
        <v>0</v>
      </c>
      <c r="R483" s="2">
        <v>0</v>
      </c>
      <c r="S483" s="2">
        <v>0</v>
      </c>
      <c r="T483" s="2">
        <v>0</v>
      </c>
      <c r="U483" s="2">
        <v>0</v>
      </c>
      <c r="W483" t="s">
        <v>0</v>
      </c>
      <c r="X483" s="2">
        <v>0</v>
      </c>
      <c r="Y483" s="2">
        <v>0</v>
      </c>
      <c r="Z483" s="2">
        <v>0</v>
      </c>
      <c r="AA483" s="2">
        <v>0</v>
      </c>
      <c r="AB483" s="2">
        <v>0</v>
      </c>
      <c r="AD483" t="s">
        <v>0</v>
      </c>
      <c r="AE483" s="2">
        <v>0</v>
      </c>
      <c r="AF483" s="2">
        <v>0</v>
      </c>
      <c r="AG483" s="2">
        <v>0</v>
      </c>
      <c r="AH483" s="2">
        <v>0</v>
      </c>
      <c r="AI483" s="2">
        <v>0</v>
      </c>
      <c r="AK483" t="s">
        <v>0</v>
      </c>
      <c r="AL483" s="2">
        <v>0.05</v>
      </c>
      <c r="AM483" s="2">
        <v>0</v>
      </c>
      <c r="AN483" s="2">
        <v>0</v>
      </c>
      <c r="AO483" s="2">
        <v>0</v>
      </c>
      <c r="AP483" s="2">
        <v>0.05</v>
      </c>
    </row>
    <row r="484" spans="2:42" x14ac:dyDescent="0.35">
      <c r="B484" t="s">
        <v>2</v>
      </c>
      <c r="C484" s="2">
        <v>-0.52</v>
      </c>
      <c r="D484" s="2">
        <v>0</v>
      </c>
      <c r="E484" s="2">
        <v>0</v>
      </c>
      <c r="F484" s="2">
        <v>0</v>
      </c>
      <c r="G484" s="2">
        <v>-0.52</v>
      </c>
      <c r="I484" t="s">
        <v>2</v>
      </c>
      <c r="J484" s="2">
        <v>-0.47</v>
      </c>
      <c r="K484" s="2">
        <v>0</v>
      </c>
      <c r="L484" s="2">
        <v>0</v>
      </c>
      <c r="M484" s="2">
        <v>0</v>
      </c>
      <c r="N484" s="2">
        <v>-0.47</v>
      </c>
      <c r="P484" t="s">
        <v>2</v>
      </c>
      <c r="Q484" s="2">
        <v>0</v>
      </c>
      <c r="R484" s="2">
        <v>0</v>
      </c>
      <c r="S484" s="2">
        <v>0</v>
      </c>
      <c r="T484" s="2">
        <v>0</v>
      </c>
      <c r="U484" s="2">
        <v>0</v>
      </c>
      <c r="W484" t="s">
        <v>2</v>
      </c>
      <c r="X484" s="2">
        <v>-0.47</v>
      </c>
      <c r="Y484" s="2">
        <v>0</v>
      </c>
      <c r="Z484" s="2">
        <v>0</v>
      </c>
      <c r="AA484" s="2">
        <v>0</v>
      </c>
      <c r="AB484" s="2">
        <v>-0.47</v>
      </c>
      <c r="AD484" t="s">
        <v>2</v>
      </c>
      <c r="AE484" s="2">
        <v>0</v>
      </c>
      <c r="AF484" s="2">
        <v>0</v>
      </c>
      <c r="AG484" s="2">
        <v>0</v>
      </c>
      <c r="AH484" s="2">
        <v>0</v>
      </c>
      <c r="AI484" s="2">
        <v>0</v>
      </c>
      <c r="AK484" t="s">
        <v>2</v>
      </c>
      <c r="AL484" s="2">
        <v>-5.0000000000000044E-2</v>
      </c>
      <c r="AM484" s="2">
        <v>0</v>
      </c>
      <c r="AN484" s="2">
        <v>0</v>
      </c>
      <c r="AO484" s="2">
        <v>0</v>
      </c>
      <c r="AP484" s="2">
        <v>-5.0000000000000044E-2</v>
      </c>
    </row>
    <row r="485" spans="2:42" x14ac:dyDescent="0.35">
      <c r="B485" s="19" t="s">
        <v>21</v>
      </c>
      <c r="C485" s="20">
        <v>-0.47000000000000003</v>
      </c>
      <c r="D485" s="20">
        <v>0</v>
      </c>
      <c r="E485" s="20">
        <v>0</v>
      </c>
      <c r="F485" s="20">
        <v>0</v>
      </c>
      <c r="G485" s="20">
        <v>-0.47000000000000003</v>
      </c>
      <c r="I485" s="19" t="s">
        <v>21</v>
      </c>
      <c r="J485" s="20">
        <v>-0.47</v>
      </c>
      <c r="K485" s="20">
        <v>0</v>
      </c>
      <c r="L485" s="20">
        <v>0</v>
      </c>
      <c r="M485" s="20">
        <v>0</v>
      </c>
      <c r="N485" s="20">
        <v>-0.47</v>
      </c>
      <c r="P485" s="19" t="s">
        <v>21</v>
      </c>
      <c r="Q485" s="20">
        <v>0</v>
      </c>
      <c r="R485" s="20">
        <v>0</v>
      </c>
      <c r="S485" s="20">
        <v>0</v>
      </c>
      <c r="T485" s="20">
        <v>0</v>
      </c>
      <c r="U485" s="20">
        <v>0</v>
      </c>
      <c r="W485" s="19" t="s">
        <v>21</v>
      </c>
      <c r="X485" s="20">
        <v>-0.47</v>
      </c>
      <c r="Y485" s="20">
        <v>0</v>
      </c>
      <c r="Z485" s="20">
        <v>0</v>
      </c>
      <c r="AA485" s="20">
        <v>0</v>
      </c>
      <c r="AB485" s="20">
        <v>-0.47</v>
      </c>
      <c r="AD485" s="19" t="s">
        <v>21</v>
      </c>
      <c r="AE485" s="20">
        <v>0</v>
      </c>
      <c r="AF485" s="20">
        <v>0</v>
      </c>
      <c r="AG485" s="20">
        <v>0</v>
      </c>
      <c r="AH485" s="20">
        <v>0</v>
      </c>
      <c r="AI485" s="20">
        <v>0</v>
      </c>
      <c r="AK485" s="19" t="s">
        <v>21</v>
      </c>
      <c r="AL485" s="20">
        <v>-5.5511151231257827E-17</v>
      </c>
      <c r="AM485" s="20">
        <v>0</v>
      </c>
      <c r="AN485" s="20">
        <v>0</v>
      </c>
      <c r="AO485" s="20">
        <v>0</v>
      </c>
      <c r="AP485" s="20">
        <v>-5.5511151231257827E-17</v>
      </c>
    </row>
    <row r="486" spans="2:42" x14ac:dyDescent="0.35">
      <c r="C486" s="2"/>
      <c r="D486" s="2"/>
      <c r="E486" s="2"/>
      <c r="F486" s="2"/>
      <c r="G486" s="2"/>
      <c r="J486" s="2"/>
      <c r="K486" s="2"/>
      <c r="L486" s="2"/>
      <c r="M486" s="2"/>
      <c r="N486" s="2"/>
      <c r="Q486" s="2"/>
      <c r="R486" s="2"/>
      <c r="S486" s="2"/>
      <c r="T486" s="2"/>
      <c r="U486" s="2"/>
      <c r="X486" s="2"/>
      <c r="Y486" s="2"/>
      <c r="Z486" s="2"/>
      <c r="AA486" s="2"/>
      <c r="AB486" s="2"/>
      <c r="AE486" s="2"/>
      <c r="AF486" s="2"/>
      <c r="AG486" s="2"/>
      <c r="AH486" s="2"/>
      <c r="AI486" s="2"/>
      <c r="AL486" s="2"/>
      <c r="AM486" s="2"/>
      <c r="AN486" s="2"/>
      <c r="AO486" s="2"/>
      <c r="AP486" s="2"/>
    </row>
    <row r="487" spans="2:42" x14ac:dyDescent="0.35">
      <c r="C487" s="2"/>
      <c r="D487" s="2"/>
      <c r="E487" s="2"/>
      <c r="F487" s="2"/>
      <c r="G487" s="2"/>
      <c r="J487" s="2"/>
      <c r="K487" s="2"/>
      <c r="L487" s="2"/>
      <c r="M487" s="2"/>
      <c r="N487" s="2"/>
      <c r="Q487" s="2"/>
      <c r="R487" s="2"/>
      <c r="S487" s="2"/>
      <c r="T487" s="2"/>
      <c r="U487" s="2"/>
      <c r="X487" s="2"/>
      <c r="Y487" s="2"/>
      <c r="Z487" s="2"/>
      <c r="AA487" s="2"/>
      <c r="AB487" s="2"/>
      <c r="AE487" s="2"/>
      <c r="AF487" s="2"/>
      <c r="AG487" s="2"/>
      <c r="AH487" s="2"/>
      <c r="AI487" s="2"/>
      <c r="AL487" s="2"/>
      <c r="AM487" s="2"/>
      <c r="AN487" s="2"/>
      <c r="AO487" s="2"/>
      <c r="AP487" s="2"/>
    </row>
    <row r="488" spans="2:42" x14ac:dyDescent="0.35">
      <c r="B488" t="s">
        <v>24</v>
      </c>
      <c r="C488" s="2">
        <v>0</v>
      </c>
      <c r="D488" s="2">
        <v>2282730071</v>
      </c>
      <c r="E488" s="2">
        <v>0</v>
      </c>
      <c r="F488" s="2">
        <v>0</v>
      </c>
      <c r="G488" s="2">
        <v>2282730071</v>
      </c>
      <c r="I488" t="s">
        <v>24</v>
      </c>
      <c r="J488" s="2">
        <v>0</v>
      </c>
      <c r="K488" s="2">
        <v>695604692</v>
      </c>
      <c r="L488" s="2">
        <v>0</v>
      </c>
      <c r="M488" s="2">
        <v>0</v>
      </c>
      <c r="N488" s="2">
        <v>695604692</v>
      </c>
      <c r="P488" t="s">
        <v>24</v>
      </c>
      <c r="Q488" s="2">
        <v>0</v>
      </c>
      <c r="R488" s="2">
        <v>520402078</v>
      </c>
      <c r="S488" s="2">
        <v>0</v>
      </c>
      <c r="T488" s="2">
        <v>0</v>
      </c>
      <c r="U488" s="2">
        <v>520402078</v>
      </c>
      <c r="W488" t="s">
        <v>24</v>
      </c>
      <c r="X488" s="2">
        <v>0</v>
      </c>
      <c r="Y488" s="2">
        <v>1216006770</v>
      </c>
      <c r="Z488" s="2">
        <v>0</v>
      </c>
      <c r="AA488" s="2">
        <v>0</v>
      </c>
      <c r="AB488" s="2">
        <v>1216006770</v>
      </c>
      <c r="AD488" t="s">
        <v>24</v>
      </c>
      <c r="AE488" s="2">
        <v>0</v>
      </c>
      <c r="AF488" s="2">
        <v>540572140</v>
      </c>
      <c r="AG488" s="2">
        <v>0</v>
      </c>
      <c r="AH488" s="2">
        <v>0</v>
      </c>
      <c r="AI488" s="2">
        <v>540572140</v>
      </c>
      <c r="AK488" t="s">
        <v>24</v>
      </c>
      <c r="AL488" s="2">
        <v>0</v>
      </c>
      <c r="AM488" s="2">
        <v>526151161</v>
      </c>
      <c r="AN488" s="2">
        <v>0</v>
      </c>
      <c r="AO488" s="2">
        <v>0</v>
      </c>
      <c r="AP488" s="2">
        <v>526151161</v>
      </c>
    </row>
    <row r="489" spans="2:42" x14ac:dyDescent="0.35">
      <c r="B489" t="s">
        <v>25</v>
      </c>
      <c r="C489" s="2">
        <v>0</v>
      </c>
      <c r="D489" s="2">
        <v>-255954314</v>
      </c>
      <c r="E489" s="2">
        <v>0</v>
      </c>
      <c r="F489" s="2">
        <v>0</v>
      </c>
      <c r="G489" s="2">
        <v>-255954314</v>
      </c>
      <c r="I489" t="s">
        <v>25</v>
      </c>
      <c r="J489" s="2">
        <v>0</v>
      </c>
      <c r="K489" s="2">
        <v>-134088282</v>
      </c>
      <c r="L489" s="2">
        <v>0</v>
      </c>
      <c r="M489" s="2">
        <v>0</v>
      </c>
      <c r="N489" s="2">
        <v>-134088282</v>
      </c>
      <c r="P489" t="s">
        <v>25</v>
      </c>
      <c r="Q489" s="2">
        <v>0</v>
      </c>
      <c r="R489" s="2">
        <v>-17167328</v>
      </c>
      <c r="S489" s="2">
        <v>0</v>
      </c>
      <c r="T489" s="2">
        <v>0</v>
      </c>
      <c r="U489" s="2">
        <v>-17167328</v>
      </c>
      <c r="W489" t="s">
        <v>25</v>
      </c>
      <c r="X489" s="2">
        <v>0</v>
      </c>
      <c r="Y489" s="2">
        <v>-151255610</v>
      </c>
      <c r="Z489" s="2">
        <v>0</v>
      </c>
      <c r="AA489" s="2">
        <v>0</v>
      </c>
      <c r="AB489" s="2">
        <v>-151255610</v>
      </c>
      <c r="AD489" t="s">
        <v>25</v>
      </c>
      <c r="AE489" s="2">
        <v>0</v>
      </c>
      <c r="AF489" s="2">
        <v>-62511806</v>
      </c>
      <c r="AG489" s="2">
        <v>0</v>
      </c>
      <c r="AH489" s="2">
        <v>0</v>
      </c>
      <c r="AI489" s="2">
        <v>-62511806</v>
      </c>
      <c r="AK489" t="s">
        <v>25</v>
      </c>
      <c r="AL489" s="2">
        <v>0</v>
      </c>
      <c r="AM489" s="2">
        <v>-42186898</v>
      </c>
      <c r="AN489" s="2">
        <v>0</v>
      </c>
      <c r="AO489" s="2">
        <v>0</v>
      </c>
      <c r="AP489" s="2">
        <v>-42186898</v>
      </c>
    </row>
    <row r="490" spans="2:42" x14ac:dyDescent="0.35">
      <c r="B490" t="s">
        <v>26</v>
      </c>
      <c r="C490" s="2">
        <v>0</v>
      </c>
      <c r="D490" s="2">
        <v>-676442161</v>
      </c>
      <c r="E490" s="2">
        <v>0</v>
      </c>
      <c r="F490" s="2">
        <v>0</v>
      </c>
      <c r="G490" s="2">
        <v>-676442161</v>
      </c>
      <c r="I490" t="s">
        <v>26</v>
      </c>
      <c r="J490" s="2">
        <v>0</v>
      </c>
      <c r="K490" s="2">
        <v>-195443817</v>
      </c>
      <c r="L490" s="2">
        <v>0</v>
      </c>
      <c r="M490" s="2">
        <v>0</v>
      </c>
      <c r="N490" s="2">
        <v>-195443817</v>
      </c>
      <c r="P490" t="s">
        <v>26</v>
      </c>
      <c r="Q490" s="2">
        <v>0</v>
      </c>
      <c r="R490" s="2">
        <v>-168430771</v>
      </c>
      <c r="S490" s="2">
        <v>0</v>
      </c>
      <c r="T490" s="2">
        <v>0</v>
      </c>
      <c r="U490" s="2">
        <v>-168430771</v>
      </c>
      <c r="W490" t="s">
        <v>26</v>
      </c>
      <c r="X490" s="2">
        <v>0</v>
      </c>
      <c r="Y490" s="2">
        <v>-363874588</v>
      </c>
      <c r="Z490" s="2">
        <v>0</v>
      </c>
      <c r="AA490" s="2">
        <v>0</v>
      </c>
      <c r="AB490" s="2">
        <v>-363874588</v>
      </c>
      <c r="AD490" t="s">
        <v>26</v>
      </c>
      <c r="AE490" s="2">
        <v>0</v>
      </c>
      <c r="AF490" s="2">
        <v>-147553403</v>
      </c>
      <c r="AG490" s="2">
        <v>0</v>
      </c>
      <c r="AH490" s="2">
        <v>0</v>
      </c>
      <c r="AI490" s="2">
        <v>-147553403</v>
      </c>
      <c r="AK490" t="s">
        <v>26</v>
      </c>
      <c r="AL490" s="2">
        <v>0</v>
      </c>
      <c r="AM490" s="2">
        <v>-165014170</v>
      </c>
      <c r="AN490" s="2">
        <v>0</v>
      </c>
      <c r="AO490" s="2">
        <v>0</v>
      </c>
      <c r="AP490" s="2">
        <v>-165014170</v>
      </c>
    </row>
    <row r="491" spans="2:42" x14ac:dyDescent="0.35">
      <c r="B491" s="19" t="s">
        <v>101</v>
      </c>
      <c r="C491" s="20">
        <v>0</v>
      </c>
      <c r="D491" s="20">
        <v>1350333596</v>
      </c>
      <c r="E491" s="20">
        <v>0</v>
      </c>
      <c r="F491" s="20">
        <v>0</v>
      </c>
      <c r="G491" s="20">
        <v>1350333596</v>
      </c>
      <c r="I491" s="19" t="s">
        <v>101</v>
      </c>
      <c r="J491" s="20">
        <v>0</v>
      </c>
      <c r="K491" s="20">
        <v>366072593</v>
      </c>
      <c r="L491" s="20">
        <v>0</v>
      </c>
      <c r="M491" s="20">
        <v>0</v>
      </c>
      <c r="N491" s="20">
        <v>366072593</v>
      </c>
      <c r="P491" s="19" t="s">
        <v>101</v>
      </c>
      <c r="Q491" s="20">
        <v>0</v>
      </c>
      <c r="R491" s="20">
        <v>334803979</v>
      </c>
      <c r="S491" s="20">
        <v>0</v>
      </c>
      <c r="T491" s="20">
        <v>0</v>
      </c>
      <c r="U491" s="20">
        <v>334803979</v>
      </c>
      <c r="W491" s="19" t="s">
        <v>101</v>
      </c>
      <c r="X491" s="20">
        <v>0</v>
      </c>
      <c r="Y491" s="20">
        <v>700876572</v>
      </c>
      <c r="Z491" s="20">
        <v>0</v>
      </c>
      <c r="AA491" s="20">
        <v>0</v>
      </c>
      <c r="AB491" s="20">
        <v>700876572</v>
      </c>
      <c r="AD491" s="19" t="s">
        <v>101</v>
      </c>
      <c r="AE491" s="20">
        <v>0</v>
      </c>
      <c r="AF491" s="20">
        <v>330506931</v>
      </c>
      <c r="AG491" s="20">
        <v>0</v>
      </c>
      <c r="AH491" s="20">
        <v>0</v>
      </c>
      <c r="AI491" s="20">
        <v>330506931</v>
      </c>
      <c r="AK491" s="19" t="s">
        <v>152</v>
      </c>
      <c r="AL491" s="20">
        <v>0</v>
      </c>
      <c r="AM491" s="20">
        <v>318950093</v>
      </c>
      <c r="AN491" s="20">
        <v>0</v>
      </c>
      <c r="AO491" s="20">
        <v>0</v>
      </c>
      <c r="AP491" s="20">
        <v>318950093</v>
      </c>
    </row>
    <row r="492" spans="2:42" x14ac:dyDescent="0.35">
      <c r="C492" s="2"/>
      <c r="D492" s="2"/>
      <c r="E492" s="2"/>
      <c r="F492" s="2"/>
      <c r="G492" s="2"/>
      <c r="J492" s="2"/>
      <c r="K492" s="2"/>
      <c r="L492" s="2"/>
      <c r="M492" s="2"/>
      <c r="N492" s="2"/>
      <c r="Q492" s="2"/>
      <c r="R492" s="2"/>
      <c r="S492" s="2"/>
      <c r="T492" s="2"/>
      <c r="U492" s="2"/>
      <c r="X492" s="2"/>
      <c r="Y492" s="2"/>
      <c r="Z492" s="2"/>
      <c r="AA492" s="2"/>
      <c r="AB492" s="2"/>
      <c r="AE492" s="2"/>
      <c r="AF492" s="2"/>
      <c r="AG492" s="2"/>
      <c r="AH492" s="2"/>
      <c r="AI492" s="2"/>
      <c r="AL492" s="2"/>
      <c r="AM492" s="2"/>
      <c r="AN492" s="2"/>
      <c r="AO492" s="2"/>
      <c r="AP492" s="2"/>
    </row>
    <row r="493" spans="2:42" x14ac:dyDescent="0.35">
      <c r="C493" s="2"/>
      <c r="D493" s="2"/>
      <c r="E493" s="2"/>
      <c r="F493" s="2"/>
      <c r="G493" s="2"/>
      <c r="J493" s="2"/>
      <c r="K493" s="2"/>
      <c r="L493" s="2"/>
      <c r="M493" s="2"/>
      <c r="N493" s="2"/>
      <c r="Q493" s="2"/>
      <c r="R493" s="2"/>
      <c r="S493" s="2"/>
      <c r="T493" s="2"/>
      <c r="U493" s="2"/>
      <c r="X493" s="2"/>
      <c r="Y493" s="2"/>
      <c r="Z493" s="2"/>
      <c r="AA493" s="2"/>
      <c r="AB493" s="2"/>
      <c r="AE493" s="2"/>
      <c r="AF493" s="2"/>
      <c r="AG493" s="2"/>
      <c r="AH493" s="2"/>
      <c r="AI493" s="2"/>
      <c r="AL493" s="2"/>
      <c r="AM493" s="2"/>
      <c r="AN493" s="2"/>
      <c r="AO493" s="2"/>
      <c r="AP493" s="2"/>
    </row>
    <row r="494" spans="2:42" x14ac:dyDescent="0.35">
      <c r="B494" t="s">
        <v>27</v>
      </c>
      <c r="C494" s="2">
        <v>0</v>
      </c>
      <c r="D494" s="2">
        <v>-708639995</v>
      </c>
      <c r="E494" s="2">
        <v>0</v>
      </c>
      <c r="F494" s="2">
        <v>0</v>
      </c>
      <c r="G494" s="2">
        <v>-708639995</v>
      </c>
      <c r="I494" t="s">
        <v>27</v>
      </c>
      <c r="J494" s="2">
        <v>0</v>
      </c>
      <c r="K494" s="2">
        <v>-174254168</v>
      </c>
      <c r="L494" s="2">
        <v>0</v>
      </c>
      <c r="M494" s="2">
        <v>0</v>
      </c>
      <c r="N494" s="2">
        <v>-174254168</v>
      </c>
      <c r="P494" t="s">
        <v>27</v>
      </c>
      <c r="Q494" s="2">
        <v>0</v>
      </c>
      <c r="R494" s="2">
        <v>-163218680</v>
      </c>
      <c r="S494" s="2">
        <v>0</v>
      </c>
      <c r="T494" s="2">
        <v>0</v>
      </c>
      <c r="U494" s="2">
        <v>-163218680</v>
      </c>
      <c r="W494" t="s">
        <v>27</v>
      </c>
      <c r="X494" s="2">
        <v>0</v>
      </c>
      <c r="Y494" s="2">
        <v>-337472848</v>
      </c>
      <c r="Z494" s="2">
        <v>0</v>
      </c>
      <c r="AA494" s="2">
        <v>0</v>
      </c>
      <c r="AB494" s="2">
        <v>-337472848</v>
      </c>
      <c r="AD494" t="s">
        <v>27</v>
      </c>
      <c r="AE494" s="2">
        <v>0</v>
      </c>
      <c r="AF494" s="2">
        <v>-188263139</v>
      </c>
      <c r="AG494" s="2">
        <v>0</v>
      </c>
      <c r="AH494" s="2">
        <v>0</v>
      </c>
      <c r="AI494" s="2">
        <v>-188263139</v>
      </c>
      <c r="AK494" t="s">
        <v>27</v>
      </c>
      <c r="AL494" s="2">
        <v>0</v>
      </c>
      <c r="AM494" s="2">
        <v>-182904008</v>
      </c>
      <c r="AN494" s="2">
        <v>0</v>
      </c>
      <c r="AO494" s="2">
        <v>0</v>
      </c>
      <c r="AP494" s="2">
        <v>-182904008</v>
      </c>
    </row>
    <row r="495" spans="2:42" x14ac:dyDescent="0.35">
      <c r="B495" t="s">
        <v>28</v>
      </c>
      <c r="C495" s="2">
        <v>0</v>
      </c>
      <c r="D495" s="2">
        <v>-465015430</v>
      </c>
      <c r="E495" s="2">
        <v>0</v>
      </c>
      <c r="F495" s="2">
        <v>0</v>
      </c>
      <c r="G495" s="2">
        <v>-465015430</v>
      </c>
      <c r="I495" t="s">
        <v>28</v>
      </c>
      <c r="J495" s="2">
        <v>0</v>
      </c>
      <c r="K495" s="2">
        <v>-140529923</v>
      </c>
      <c r="L495" s="2">
        <v>0</v>
      </c>
      <c r="M495" s="2">
        <v>0</v>
      </c>
      <c r="N495" s="2">
        <v>-140529923</v>
      </c>
      <c r="P495" t="s">
        <v>28</v>
      </c>
      <c r="Q495" s="2">
        <v>0</v>
      </c>
      <c r="R495" s="2">
        <v>-94518827</v>
      </c>
      <c r="S495" s="2">
        <v>0</v>
      </c>
      <c r="T495" s="2">
        <v>0</v>
      </c>
      <c r="U495" s="2">
        <v>-94518827</v>
      </c>
      <c r="W495" t="s">
        <v>28</v>
      </c>
      <c r="X495" s="2">
        <v>0</v>
      </c>
      <c r="Y495" s="2">
        <v>-235048750</v>
      </c>
      <c r="Z495" s="2">
        <v>0</v>
      </c>
      <c r="AA495" s="2">
        <v>0</v>
      </c>
      <c r="AB495" s="2">
        <v>-235048750</v>
      </c>
      <c r="AD495" t="s">
        <v>28</v>
      </c>
      <c r="AE495" s="2">
        <v>0</v>
      </c>
      <c r="AF495" s="2">
        <v>-127154738</v>
      </c>
      <c r="AG495" s="2">
        <v>0</v>
      </c>
      <c r="AH495" s="2">
        <v>0</v>
      </c>
      <c r="AI495" s="2">
        <v>-127154738</v>
      </c>
      <c r="AK495" t="s">
        <v>28</v>
      </c>
      <c r="AL495" s="2">
        <v>0</v>
      </c>
      <c r="AM495" s="2">
        <v>-102811942</v>
      </c>
      <c r="AN495" s="2">
        <v>0</v>
      </c>
      <c r="AO495" s="2">
        <v>0</v>
      </c>
      <c r="AP495" s="2">
        <v>-102811942</v>
      </c>
    </row>
    <row r="496" spans="2:42" x14ac:dyDescent="0.35">
      <c r="B496" t="s">
        <v>29</v>
      </c>
      <c r="C496" s="2">
        <v>0</v>
      </c>
      <c r="D496" s="2">
        <v>11865681</v>
      </c>
      <c r="E496" s="2">
        <v>0</v>
      </c>
      <c r="F496" s="2">
        <v>0</v>
      </c>
      <c r="G496" s="2">
        <v>11865681</v>
      </c>
      <c r="I496" t="s">
        <v>29</v>
      </c>
      <c r="J496" s="2">
        <v>0</v>
      </c>
      <c r="K496" s="2">
        <v>2334988</v>
      </c>
      <c r="L496" s="2">
        <v>0</v>
      </c>
      <c r="M496" s="2">
        <v>0</v>
      </c>
      <c r="N496" s="2">
        <v>2334988</v>
      </c>
      <c r="P496" t="s">
        <v>29</v>
      </c>
      <c r="Q496" s="2">
        <v>0</v>
      </c>
      <c r="R496" s="2">
        <v>3029239</v>
      </c>
      <c r="S496" s="2">
        <v>0</v>
      </c>
      <c r="T496" s="2">
        <v>0</v>
      </c>
      <c r="U496" s="2">
        <v>3029239</v>
      </c>
      <c r="W496" t="s">
        <v>29</v>
      </c>
      <c r="X496" s="2">
        <v>0</v>
      </c>
      <c r="Y496" s="2">
        <v>5364227</v>
      </c>
      <c r="Z496" s="2">
        <v>0</v>
      </c>
      <c r="AA496" s="2">
        <v>0</v>
      </c>
      <c r="AB496" s="2">
        <v>5364227</v>
      </c>
      <c r="AD496" t="s">
        <v>29</v>
      </c>
      <c r="AE496" s="2">
        <v>0</v>
      </c>
      <c r="AF496" s="2">
        <v>3377304</v>
      </c>
      <c r="AG496" s="2">
        <v>0</v>
      </c>
      <c r="AH496" s="2">
        <v>0</v>
      </c>
      <c r="AI496" s="2">
        <v>3377304</v>
      </c>
      <c r="AK496" t="s">
        <v>29</v>
      </c>
      <c r="AL496" s="2">
        <v>0</v>
      </c>
      <c r="AM496" s="2">
        <v>3124150</v>
      </c>
      <c r="AN496" s="2">
        <v>0</v>
      </c>
      <c r="AO496" s="2">
        <v>0</v>
      </c>
      <c r="AP496" s="2">
        <v>3124150</v>
      </c>
    </row>
    <row r="497" spans="2:42" x14ac:dyDescent="0.35">
      <c r="B497" t="s">
        <v>30</v>
      </c>
      <c r="C497" s="2">
        <v>0</v>
      </c>
      <c r="D497" s="2">
        <v>-9176102</v>
      </c>
      <c r="E497" s="2">
        <v>0</v>
      </c>
      <c r="F497" s="2">
        <v>0</v>
      </c>
      <c r="G497" s="2">
        <v>-9176102</v>
      </c>
      <c r="I497" t="s">
        <v>30</v>
      </c>
      <c r="J497" s="2">
        <v>0</v>
      </c>
      <c r="K497" s="2">
        <v>-692268</v>
      </c>
      <c r="L497" s="2">
        <v>0</v>
      </c>
      <c r="M497" s="2">
        <v>0</v>
      </c>
      <c r="N497" s="2">
        <v>-692268</v>
      </c>
      <c r="P497" t="s">
        <v>30</v>
      </c>
      <c r="Q497" s="2">
        <v>0</v>
      </c>
      <c r="R497" s="2">
        <v>-10148300</v>
      </c>
      <c r="S497" s="2">
        <v>0</v>
      </c>
      <c r="T497" s="2">
        <v>0</v>
      </c>
      <c r="U497" s="2">
        <v>-10148300</v>
      </c>
      <c r="W497" t="s">
        <v>30</v>
      </c>
      <c r="X497" s="2">
        <v>0</v>
      </c>
      <c r="Y497" s="2">
        <v>-10840568</v>
      </c>
      <c r="Z497" s="2">
        <v>0</v>
      </c>
      <c r="AA497" s="2">
        <v>0</v>
      </c>
      <c r="AB497" s="2">
        <v>-10840568</v>
      </c>
      <c r="AD497" t="s">
        <v>30</v>
      </c>
      <c r="AE497" s="2">
        <v>0</v>
      </c>
      <c r="AF497" s="2">
        <v>2061619</v>
      </c>
      <c r="AG497" s="2">
        <v>0</v>
      </c>
      <c r="AH497" s="2">
        <v>0</v>
      </c>
      <c r="AI497" s="2">
        <v>2061619</v>
      </c>
      <c r="AK497" t="s">
        <v>30</v>
      </c>
      <c r="AL497" s="2">
        <v>0</v>
      </c>
      <c r="AM497" s="2">
        <v>-397153</v>
      </c>
      <c r="AN497" s="2">
        <v>0</v>
      </c>
      <c r="AO497" s="2">
        <v>0</v>
      </c>
      <c r="AP497" s="2">
        <v>-397153</v>
      </c>
    </row>
    <row r="498" spans="2:42" x14ac:dyDescent="0.35">
      <c r="B498" s="19" t="s">
        <v>90</v>
      </c>
      <c r="C498" s="20">
        <v>0</v>
      </c>
      <c r="D498" s="20">
        <v>-1170965846</v>
      </c>
      <c r="E498" s="20">
        <v>0</v>
      </c>
      <c r="F498" s="20">
        <v>0</v>
      </c>
      <c r="G498" s="20">
        <v>-1170965846</v>
      </c>
      <c r="I498" s="19" t="s">
        <v>90</v>
      </c>
      <c r="J498" s="20">
        <v>0</v>
      </c>
      <c r="K498" s="20">
        <v>-313141371</v>
      </c>
      <c r="L498" s="20">
        <v>0</v>
      </c>
      <c r="M498" s="20">
        <v>0</v>
      </c>
      <c r="N498" s="20">
        <v>-313141371</v>
      </c>
      <c r="P498" s="19" t="s">
        <v>90</v>
      </c>
      <c r="Q498" s="20">
        <v>0</v>
      </c>
      <c r="R498" s="20">
        <v>-264856568</v>
      </c>
      <c r="S498" s="20">
        <v>0</v>
      </c>
      <c r="T498" s="20">
        <v>0</v>
      </c>
      <c r="U498" s="20">
        <v>-264856568</v>
      </c>
      <c r="W498" s="19" t="s">
        <v>90</v>
      </c>
      <c r="X498" s="20">
        <v>0</v>
      </c>
      <c r="Y498" s="20">
        <v>-577997939</v>
      </c>
      <c r="Z498" s="20">
        <v>0</v>
      </c>
      <c r="AA498" s="20">
        <v>0</v>
      </c>
      <c r="AB498" s="20">
        <v>-577997939</v>
      </c>
      <c r="AD498" s="19" t="s">
        <v>90</v>
      </c>
      <c r="AE498" s="20">
        <v>0</v>
      </c>
      <c r="AF498" s="20">
        <v>-309978954</v>
      </c>
      <c r="AG498" s="20">
        <v>0</v>
      </c>
      <c r="AH498" s="20">
        <v>0</v>
      </c>
      <c r="AI498" s="20">
        <v>-309978954</v>
      </c>
      <c r="AK498" s="19" t="s">
        <v>90</v>
      </c>
      <c r="AL498" s="20">
        <v>0</v>
      </c>
      <c r="AM498" s="20">
        <v>-282988953</v>
      </c>
      <c r="AN498" s="20">
        <v>0</v>
      </c>
      <c r="AO498" s="20">
        <v>0</v>
      </c>
      <c r="AP498" s="20">
        <v>-282988953</v>
      </c>
    </row>
    <row r="499" spans="2:42" x14ac:dyDescent="0.35">
      <c r="C499" s="2"/>
      <c r="D499" s="2"/>
      <c r="E499" s="2"/>
      <c r="F499" s="2"/>
      <c r="G499" s="2"/>
      <c r="J499" s="2"/>
      <c r="K499" s="2"/>
      <c r="L499" s="2"/>
      <c r="M499" s="2"/>
      <c r="N499" s="2"/>
      <c r="Q499" s="2"/>
      <c r="R499" s="2"/>
      <c r="S499" s="2"/>
      <c r="T499" s="2"/>
      <c r="U499" s="2"/>
      <c r="X499" s="2"/>
      <c r="Y499" s="2"/>
      <c r="Z499" s="2"/>
      <c r="AA499" s="2"/>
      <c r="AB499" s="2"/>
      <c r="AE499" s="2"/>
      <c r="AF499" s="2"/>
      <c r="AG499" s="2"/>
      <c r="AH499" s="2"/>
      <c r="AI499" s="2"/>
      <c r="AL499" s="2"/>
      <c r="AM499" s="2"/>
      <c r="AN499" s="2"/>
      <c r="AO499" s="2"/>
      <c r="AP499" s="2"/>
    </row>
    <row r="500" spans="2:42" x14ac:dyDescent="0.35">
      <c r="C500" s="2"/>
      <c r="D500" s="2"/>
      <c r="E500" s="2"/>
      <c r="F500" s="2"/>
      <c r="G500" s="2"/>
      <c r="J500" s="2"/>
      <c r="K500" s="2"/>
      <c r="L500" s="2"/>
      <c r="M500" s="2"/>
      <c r="N500" s="2"/>
      <c r="Q500" s="2"/>
      <c r="R500" s="2"/>
      <c r="S500" s="2"/>
      <c r="T500" s="2"/>
      <c r="U500" s="2"/>
      <c r="X500" s="2"/>
      <c r="Y500" s="2"/>
      <c r="Z500" s="2"/>
      <c r="AA500" s="2"/>
      <c r="AB500" s="2"/>
      <c r="AE500" s="2"/>
      <c r="AF500" s="2"/>
      <c r="AG500" s="2"/>
      <c r="AH500" s="2"/>
      <c r="AI500" s="2"/>
      <c r="AL500" s="2"/>
      <c r="AM500" s="2"/>
      <c r="AN500" s="2"/>
      <c r="AO500" s="2"/>
      <c r="AP500" s="2"/>
    </row>
    <row r="501" spans="2:42" x14ac:dyDescent="0.35">
      <c r="B501" s="6" t="s">
        <v>89</v>
      </c>
      <c r="C501" s="2">
        <v>0</v>
      </c>
      <c r="D501" s="2">
        <v>217410017</v>
      </c>
      <c r="E501" s="2">
        <v>2346951.4500000002</v>
      </c>
      <c r="F501" s="2">
        <v>0</v>
      </c>
      <c r="G501" s="7">
        <v>219756968.44999999</v>
      </c>
      <c r="I501" s="6" t="s">
        <v>89</v>
      </c>
      <c r="J501" s="2">
        <v>0</v>
      </c>
      <c r="K501" s="2">
        <v>49707248</v>
      </c>
      <c r="L501" s="2">
        <v>796901.7</v>
      </c>
      <c r="M501" s="2">
        <v>0</v>
      </c>
      <c r="N501" s="7">
        <v>50504149.700000003</v>
      </c>
      <c r="P501" s="6" t="s">
        <v>89</v>
      </c>
      <c r="Q501" s="2">
        <v>0</v>
      </c>
      <c r="R501" s="2">
        <v>52805448</v>
      </c>
      <c r="S501" s="2">
        <v>1032756.1500000001</v>
      </c>
      <c r="T501" s="2">
        <v>0</v>
      </c>
      <c r="U501" s="7">
        <v>53838204.149999999</v>
      </c>
      <c r="W501" s="6" t="s">
        <v>89</v>
      </c>
      <c r="X501" s="2">
        <v>0</v>
      </c>
      <c r="Y501" s="2">
        <v>102512696</v>
      </c>
      <c r="Z501" s="2">
        <v>1829657.85</v>
      </c>
      <c r="AA501" s="2">
        <v>0</v>
      </c>
      <c r="AB501" s="7">
        <v>104342353.84999999</v>
      </c>
      <c r="AD501" s="6" t="s">
        <v>89</v>
      </c>
      <c r="AE501" s="2">
        <v>0</v>
      </c>
      <c r="AF501" s="2">
        <v>55923153</v>
      </c>
      <c r="AG501" s="2">
        <v>1937554.35</v>
      </c>
      <c r="AH501" s="2">
        <v>0</v>
      </c>
      <c r="AI501" s="7">
        <v>57860707.350000001</v>
      </c>
      <c r="AK501" s="16" t="s">
        <v>89</v>
      </c>
      <c r="AL501" s="23">
        <v>0</v>
      </c>
      <c r="AM501" s="23">
        <v>58974168</v>
      </c>
      <c r="AN501" s="23">
        <v>-1420260.75</v>
      </c>
      <c r="AO501" s="23">
        <v>0</v>
      </c>
      <c r="AP501" s="23">
        <v>57553907.249999993</v>
      </c>
    </row>
    <row r="502" spans="2:42" x14ac:dyDescent="0.35">
      <c r="B502" s="13"/>
      <c r="C502" s="155"/>
      <c r="D502" s="155"/>
      <c r="E502" s="155"/>
      <c r="F502" s="155"/>
      <c r="G502" s="155"/>
      <c r="I502" s="13"/>
      <c r="J502" s="155"/>
      <c r="K502" s="155"/>
      <c r="L502" s="155"/>
      <c r="M502" s="155"/>
      <c r="N502" s="155"/>
      <c r="P502" s="13"/>
      <c r="Q502" s="155"/>
      <c r="R502" s="155"/>
      <c r="S502" s="155"/>
      <c r="T502" s="155"/>
      <c r="U502" s="155"/>
      <c r="W502" s="13"/>
      <c r="X502" s="155"/>
      <c r="Y502" s="155"/>
      <c r="Z502" s="155"/>
      <c r="AA502" s="155"/>
      <c r="AB502" s="155"/>
      <c r="AD502" s="13"/>
      <c r="AE502" s="155"/>
      <c r="AF502" s="155"/>
      <c r="AG502" s="155"/>
      <c r="AH502" s="155"/>
      <c r="AI502" s="155"/>
      <c r="AL502" s="2"/>
      <c r="AM502" s="2"/>
      <c r="AN502" s="2"/>
      <c r="AO502" s="2"/>
      <c r="AP502" s="2"/>
    </row>
    <row r="503" spans="2:42" x14ac:dyDescent="0.35">
      <c r="C503" s="2"/>
      <c r="D503" s="2"/>
      <c r="E503" s="2"/>
      <c r="F503" s="2"/>
      <c r="G503" s="2"/>
      <c r="J503" s="2"/>
      <c r="K503" s="2"/>
      <c r="L503" s="2"/>
      <c r="M503" s="2"/>
      <c r="N503" s="2"/>
      <c r="Q503" s="2"/>
      <c r="R503" s="2"/>
      <c r="S503" s="2"/>
      <c r="T503" s="2"/>
      <c r="U503" s="2"/>
      <c r="X503" s="2"/>
      <c r="Y503" s="2"/>
      <c r="Z503" s="2"/>
      <c r="AA503" s="2"/>
      <c r="AB503" s="2"/>
      <c r="AE503" s="2"/>
      <c r="AF503" s="2"/>
      <c r="AG503" s="2"/>
      <c r="AH503" s="2"/>
      <c r="AI503" s="2"/>
    </row>
    <row r="504" spans="2:42" x14ac:dyDescent="0.35">
      <c r="C504" s="2"/>
      <c r="D504" s="2"/>
      <c r="E504" s="2"/>
      <c r="F504" s="2"/>
      <c r="G504" s="2"/>
      <c r="J504" s="2"/>
      <c r="K504" s="2"/>
      <c r="L504" s="2"/>
      <c r="M504" s="2"/>
      <c r="N504" s="2"/>
      <c r="Q504" s="2"/>
      <c r="R504" s="2"/>
      <c r="S504" s="2"/>
      <c r="T504" s="2"/>
      <c r="U504" s="2"/>
      <c r="X504" s="2"/>
      <c r="Y504" s="2"/>
      <c r="Z504" s="2"/>
      <c r="AA504" s="2"/>
      <c r="AB504" s="2"/>
      <c r="AE504" s="2"/>
      <c r="AF504" s="2"/>
      <c r="AG504" s="2"/>
      <c r="AH504" s="2"/>
      <c r="AI504" s="2"/>
    </row>
    <row r="505" spans="2:42" x14ac:dyDescent="0.35">
      <c r="B505" t="s">
        <v>31</v>
      </c>
      <c r="C505" s="2">
        <v>0</v>
      </c>
      <c r="D505" s="2">
        <v>8687708</v>
      </c>
      <c r="E505" s="2">
        <v>128055796.17</v>
      </c>
      <c r="F505" s="2">
        <v>0</v>
      </c>
      <c r="G505" s="2">
        <v>136743504.17000002</v>
      </c>
      <c r="I505" t="s">
        <v>31</v>
      </c>
      <c r="J505" s="2">
        <v>0</v>
      </c>
      <c r="K505" s="2">
        <v>175780</v>
      </c>
      <c r="L505" s="2">
        <v>26697450.239999995</v>
      </c>
      <c r="M505" s="2">
        <v>0</v>
      </c>
      <c r="N505" s="2">
        <v>26873230.239999995</v>
      </c>
      <c r="P505" t="s">
        <v>31</v>
      </c>
      <c r="Q505" s="2">
        <v>0</v>
      </c>
      <c r="R505" s="2">
        <v>202214</v>
      </c>
      <c r="S505" s="2">
        <v>26912109.859999992</v>
      </c>
      <c r="T505" s="2">
        <v>0</v>
      </c>
      <c r="U505" s="2">
        <v>27114323.859999992</v>
      </c>
      <c r="W505" t="s">
        <v>31</v>
      </c>
      <c r="X505" s="2">
        <v>0</v>
      </c>
      <c r="Y505" s="2">
        <v>377994</v>
      </c>
      <c r="Z505" s="2">
        <v>53609560.099999987</v>
      </c>
      <c r="AA505" s="2">
        <v>0</v>
      </c>
      <c r="AB505" s="2">
        <v>53987554.099999987</v>
      </c>
      <c r="AD505" t="s">
        <v>31</v>
      </c>
      <c r="AE505" s="2">
        <v>0</v>
      </c>
      <c r="AF505" s="2">
        <v>3143362</v>
      </c>
      <c r="AG505" s="2">
        <v>32130087.57</v>
      </c>
      <c r="AH505" s="2">
        <v>0</v>
      </c>
      <c r="AI505" s="2">
        <v>35273449.57</v>
      </c>
      <c r="AK505" t="s">
        <v>31</v>
      </c>
      <c r="AL505" s="2">
        <v>0</v>
      </c>
      <c r="AM505" s="2">
        <v>5166352</v>
      </c>
      <c r="AN505" s="2">
        <v>42316148.500000022</v>
      </c>
      <c r="AO505" s="2">
        <v>0</v>
      </c>
      <c r="AP505" s="2">
        <v>47482500.500000022</v>
      </c>
    </row>
    <row r="506" spans="2:42" x14ac:dyDescent="0.35">
      <c r="B506" t="s">
        <v>32</v>
      </c>
      <c r="C506" s="2">
        <v>0</v>
      </c>
      <c r="D506" s="2">
        <v>0</v>
      </c>
      <c r="E506" s="2">
        <v>-58072037.780000001</v>
      </c>
      <c r="F506" s="2">
        <v>0</v>
      </c>
      <c r="G506" s="2">
        <v>-58072037.780000001</v>
      </c>
      <c r="I506" t="s">
        <v>32</v>
      </c>
      <c r="J506" s="2">
        <v>0</v>
      </c>
      <c r="K506" s="2">
        <v>0</v>
      </c>
      <c r="L506" s="2">
        <v>-10025804.930000002</v>
      </c>
      <c r="M506" s="2">
        <v>0</v>
      </c>
      <c r="N506" s="2">
        <v>-10025804.930000002</v>
      </c>
      <c r="P506" t="s">
        <v>32</v>
      </c>
      <c r="Q506" s="2">
        <v>0</v>
      </c>
      <c r="R506" s="2">
        <v>0</v>
      </c>
      <c r="S506" s="2">
        <v>-10046916.109999998</v>
      </c>
      <c r="T506" s="2">
        <v>0</v>
      </c>
      <c r="U506" s="2">
        <v>-10046916.109999998</v>
      </c>
      <c r="W506" t="s">
        <v>32</v>
      </c>
      <c r="X506" s="2">
        <v>0</v>
      </c>
      <c r="Y506" s="2">
        <v>0</v>
      </c>
      <c r="Z506" s="2">
        <v>-20072721.039999999</v>
      </c>
      <c r="AA506" s="2">
        <v>0</v>
      </c>
      <c r="AB506" s="2">
        <v>-20072721.039999999</v>
      </c>
      <c r="AD506" t="s">
        <v>32</v>
      </c>
      <c r="AE506" s="2">
        <v>0</v>
      </c>
      <c r="AF506" s="2">
        <v>0</v>
      </c>
      <c r="AG506" s="2">
        <v>-11913317.98</v>
      </c>
      <c r="AH506" s="2">
        <v>0</v>
      </c>
      <c r="AI506" s="2">
        <v>-11913317.98</v>
      </c>
      <c r="AK506" t="s">
        <v>32</v>
      </c>
      <c r="AL506" s="2">
        <v>0</v>
      </c>
      <c r="AM506" s="2">
        <v>0</v>
      </c>
      <c r="AN506" s="2">
        <v>-26085998.760000002</v>
      </c>
      <c r="AO506" s="2">
        <v>0</v>
      </c>
      <c r="AP506" s="2">
        <v>-26085998.760000002</v>
      </c>
    </row>
    <row r="507" spans="2:42" x14ac:dyDescent="0.35">
      <c r="B507" s="19" t="s">
        <v>33</v>
      </c>
      <c r="C507" s="20">
        <v>0</v>
      </c>
      <c r="D507" s="20">
        <v>8687708</v>
      </c>
      <c r="E507" s="20">
        <v>69983758.390000001</v>
      </c>
      <c r="F507" s="20">
        <v>0</v>
      </c>
      <c r="G507" s="20">
        <v>78671466.390000015</v>
      </c>
      <c r="I507" s="19" t="s">
        <v>33</v>
      </c>
      <c r="J507" s="20">
        <v>0</v>
      </c>
      <c r="K507" s="20">
        <v>175780</v>
      </c>
      <c r="L507" s="20">
        <v>16671645.309999993</v>
      </c>
      <c r="M507" s="20">
        <v>0</v>
      </c>
      <c r="N507" s="20">
        <v>16847425.309999995</v>
      </c>
      <c r="P507" s="19" t="s">
        <v>33</v>
      </c>
      <c r="Q507" s="20">
        <v>0</v>
      </c>
      <c r="R507" s="20">
        <v>202214</v>
      </c>
      <c r="S507" s="20">
        <v>16865193.749999993</v>
      </c>
      <c r="T507" s="20">
        <v>0</v>
      </c>
      <c r="U507" s="20">
        <v>17067407.749999993</v>
      </c>
      <c r="W507" s="19" t="s">
        <v>33</v>
      </c>
      <c r="X507" s="20">
        <v>0</v>
      </c>
      <c r="Y507" s="20">
        <v>377994</v>
      </c>
      <c r="Z507" s="20">
        <v>33536839.059999987</v>
      </c>
      <c r="AA507" s="20">
        <v>0</v>
      </c>
      <c r="AB507" s="20">
        <v>33914833.059999987</v>
      </c>
      <c r="AD507" s="19" t="s">
        <v>33</v>
      </c>
      <c r="AE507" s="20">
        <v>0</v>
      </c>
      <c r="AF507" s="20">
        <v>3143362</v>
      </c>
      <c r="AG507" s="20">
        <v>20216769.59</v>
      </c>
      <c r="AH507" s="20">
        <v>0</v>
      </c>
      <c r="AI507" s="20">
        <v>23360131.59</v>
      </c>
      <c r="AK507" s="25" t="s">
        <v>33</v>
      </c>
      <c r="AL507" s="20">
        <v>0</v>
      </c>
      <c r="AM507" s="20">
        <v>5166352</v>
      </c>
      <c r="AN507" s="20">
        <v>16230149.740000013</v>
      </c>
      <c r="AO507" s="20">
        <v>0</v>
      </c>
      <c r="AP507" s="20">
        <v>21396501.740000028</v>
      </c>
    </row>
    <row r="508" spans="2:42" x14ac:dyDescent="0.35">
      <c r="C508" s="2"/>
      <c r="D508" s="2"/>
      <c r="E508" s="2"/>
      <c r="F508" s="2"/>
      <c r="G508" s="2"/>
      <c r="J508" s="2"/>
      <c r="K508" s="2"/>
      <c r="L508" s="2"/>
      <c r="M508" s="2"/>
      <c r="N508" s="2"/>
      <c r="Q508" s="2"/>
      <c r="R508" s="2"/>
      <c r="S508" s="2"/>
      <c r="T508" s="2"/>
      <c r="U508" s="2"/>
      <c r="X508" s="2"/>
      <c r="Y508" s="2"/>
      <c r="Z508" s="2"/>
      <c r="AA508" s="2"/>
      <c r="AB508" s="2"/>
      <c r="AE508" s="2"/>
      <c r="AF508" s="2"/>
      <c r="AG508" s="2"/>
      <c r="AH508" s="2"/>
      <c r="AI508" s="2"/>
      <c r="AL508" s="2"/>
      <c r="AM508" s="2"/>
      <c r="AN508" s="2"/>
      <c r="AO508" s="2"/>
      <c r="AP508" s="2"/>
    </row>
    <row r="509" spans="2:42" x14ac:dyDescent="0.35">
      <c r="C509" s="2"/>
      <c r="D509" s="2"/>
      <c r="E509" s="2"/>
      <c r="F509" s="2"/>
      <c r="G509" s="2"/>
      <c r="J509" s="2"/>
      <c r="K509" s="2"/>
      <c r="L509" s="2"/>
      <c r="M509" s="2"/>
      <c r="N509" s="2"/>
      <c r="Q509" s="2"/>
      <c r="R509" s="2"/>
      <c r="S509" s="2"/>
      <c r="T509" s="2"/>
      <c r="U509" s="2"/>
      <c r="X509" s="2"/>
      <c r="Y509" s="2"/>
      <c r="Z509" s="2"/>
      <c r="AA509" s="2"/>
      <c r="AB509" s="2"/>
      <c r="AE509" s="2"/>
      <c r="AF509" s="2"/>
      <c r="AG509" s="2"/>
      <c r="AH509" s="2"/>
      <c r="AI509" s="2"/>
      <c r="AL509" s="2"/>
      <c r="AM509" s="2"/>
      <c r="AN509" s="2"/>
      <c r="AO509" s="2"/>
      <c r="AP509" s="2"/>
    </row>
    <row r="510" spans="2:42" x14ac:dyDescent="0.35">
      <c r="B510" t="s">
        <v>35</v>
      </c>
      <c r="C510" s="2">
        <v>32676765.540000003</v>
      </c>
      <c r="D510" s="2">
        <v>771854</v>
      </c>
      <c r="E510" s="2">
        <v>0</v>
      </c>
      <c r="F510" s="2">
        <v>20492055.599999998</v>
      </c>
      <c r="G510" s="2">
        <v>53940675.140000001</v>
      </c>
      <c r="I510" t="s">
        <v>35</v>
      </c>
      <c r="J510" s="2">
        <v>5898333.1200000001</v>
      </c>
      <c r="K510" s="2">
        <v>335889</v>
      </c>
      <c r="L510" s="2">
        <v>0</v>
      </c>
      <c r="M510" s="2">
        <v>3312018.43</v>
      </c>
      <c r="N510" s="2">
        <v>9546240.5500000007</v>
      </c>
      <c r="P510" t="s">
        <v>35</v>
      </c>
      <c r="Q510" s="2">
        <v>5448092.1899999985</v>
      </c>
      <c r="R510" s="2">
        <v>358360</v>
      </c>
      <c r="S510" s="2">
        <v>0</v>
      </c>
      <c r="T510" s="2">
        <v>5030750.59</v>
      </c>
      <c r="U510" s="2">
        <v>10837202.779999997</v>
      </c>
      <c r="W510" t="s">
        <v>35</v>
      </c>
      <c r="X510" s="2">
        <v>11346425.309999999</v>
      </c>
      <c r="Y510" s="2">
        <v>694249</v>
      </c>
      <c r="Z510" s="2">
        <v>0</v>
      </c>
      <c r="AA510" s="2">
        <v>8342769.0200000005</v>
      </c>
      <c r="AB510" s="2">
        <v>20383443.329999998</v>
      </c>
      <c r="AD510" t="s">
        <v>35</v>
      </c>
      <c r="AE510" s="2">
        <v>6181278.8500000015</v>
      </c>
      <c r="AF510" s="2">
        <v>450783</v>
      </c>
      <c r="AG510" s="2">
        <v>0</v>
      </c>
      <c r="AH510" s="2">
        <v>5622585.330000001</v>
      </c>
      <c r="AI510" s="2">
        <v>12254647.180000003</v>
      </c>
      <c r="AK510" t="s">
        <v>35</v>
      </c>
      <c r="AL510" s="2">
        <v>15149061.380000003</v>
      </c>
      <c r="AM510" s="2">
        <v>-373178</v>
      </c>
      <c r="AN510" s="2">
        <v>0</v>
      </c>
      <c r="AO510" s="2">
        <v>6526701.2499999972</v>
      </c>
      <c r="AP510" s="2">
        <v>21302584.629999999</v>
      </c>
    </row>
    <row r="511" spans="2:42" x14ac:dyDescent="0.35">
      <c r="B511" t="s">
        <v>36</v>
      </c>
      <c r="C511" s="2">
        <v>-41489796.039999999</v>
      </c>
      <c r="D511" s="2">
        <v>0</v>
      </c>
      <c r="E511" s="2">
        <v>0</v>
      </c>
      <c r="F511" s="2">
        <v>-6152258.5500000007</v>
      </c>
      <c r="G511" s="2">
        <v>-47642054.590000004</v>
      </c>
      <c r="I511" t="s">
        <v>36</v>
      </c>
      <c r="J511" s="2">
        <v>-9394925.9699999988</v>
      </c>
      <c r="K511" s="2">
        <v>0</v>
      </c>
      <c r="L511" s="2">
        <v>0</v>
      </c>
      <c r="M511" s="2">
        <v>-1275921.8199999998</v>
      </c>
      <c r="N511" s="2">
        <v>-10670847.789999999</v>
      </c>
      <c r="P511" t="s">
        <v>36</v>
      </c>
      <c r="Q511" s="2">
        <v>-10059831.290000003</v>
      </c>
      <c r="R511" s="2">
        <v>0</v>
      </c>
      <c r="S511" s="2">
        <v>0</v>
      </c>
      <c r="T511" s="2">
        <v>-1643924.2600000002</v>
      </c>
      <c r="U511" s="2">
        <v>-11703755.550000003</v>
      </c>
      <c r="W511" t="s">
        <v>36</v>
      </c>
      <c r="X511" s="2">
        <v>-19454757.260000002</v>
      </c>
      <c r="Y511" s="2">
        <v>0</v>
      </c>
      <c r="Z511" s="2">
        <v>0</v>
      </c>
      <c r="AA511" s="2">
        <v>-2919846.08</v>
      </c>
      <c r="AB511" s="2">
        <v>-22374603.340000004</v>
      </c>
      <c r="AD511" t="s">
        <v>36</v>
      </c>
      <c r="AE511" s="2">
        <v>-10129145.109999999</v>
      </c>
      <c r="AF511" s="2">
        <v>0</v>
      </c>
      <c r="AG511" s="2">
        <v>0</v>
      </c>
      <c r="AH511" s="2">
        <v>-1526094.2700000005</v>
      </c>
      <c r="AI511" s="2">
        <v>-11655239.379999999</v>
      </c>
      <c r="AK511" t="s">
        <v>36</v>
      </c>
      <c r="AL511" s="2">
        <v>-11905893.669999998</v>
      </c>
      <c r="AM511" s="2">
        <v>0</v>
      </c>
      <c r="AN511" s="2">
        <v>0</v>
      </c>
      <c r="AO511" s="2">
        <v>-1706318.2000000002</v>
      </c>
      <c r="AP511" s="2">
        <v>-13612211.870000001</v>
      </c>
    </row>
    <row r="512" spans="2:42" x14ac:dyDescent="0.35">
      <c r="B512" s="19" t="s">
        <v>37</v>
      </c>
      <c r="C512" s="20">
        <v>-8813030.4999999963</v>
      </c>
      <c r="D512" s="20">
        <v>771854</v>
      </c>
      <c r="E512" s="20">
        <v>0</v>
      </c>
      <c r="F512" s="20">
        <v>14339797.049999997</v>
      </c>
      <c r="G512" s="20">
        <v>6298620.549999997</v>
      </c>
      <c r="I512" s="19" t="s">
        <v>37</v>
      </c>
      <c r="J512" s="20">
        <v>-3496592.8499999987</v>
      </c>
      <c r="K512" s="20">
        <v>335889</v>
      </c>
      <c r="L512" s="20">
        <v>0</v>
      </c>
      <c r="M512" s="20">
        <v>2036096.6100000003</v>
      </c>
      <c r="N512" s="20">
        <v>-1124607.2399999984</v>
      </c>
      <c r="P512" s="19" t="s">
        <v>37</v>
      </c>
      <c r="Q512" s="20">
        <v>-4611739.1000000043</v>
      </c>
      <c r="R512" s="20">
        <v>358360</v>
      </c>
      <c r="S512" s="20">
        <v>0</v>
      </c>
      <c r="T512" s="20">
        <v>3386826.3299999996</v>
      </c>
      <c r="U512" s="20">
        <v>-866552.77000000514</v>
      </c>
      <c r="W512" s="19" t="s">
        <v>37</v>
      </c>
      <c r="X512" s="20">
        <v>-8108331.950000003</v>
      </c>
      <c r="Y512" s="20">
        <v>694249</v>
      </c>
      <c r="Z512" s="20">
        <v>0</v>
      </c>
      <c r="AA512" s="20">
        <v>5422922.9400000004</v>
      </c>
      <c r="AB512" s="20">
        <v>-1991160.0100000054</v>
      </c>
      <c r="AD512" s="19" t="s">
        <v>37</v>
      </c>
      <c r="AE512" s="20">
        <v>-3947866.2599999979</v>
      </c>
      <c r="AF512" s="20">
        <v>450783</v>
      </c>
      <c r="AG512" s="20">
        <v>0</v>
      </c>
      <c r="AH512" s="20">
        <v>4096491.0600000005</v>
      </c>
      <c r="AI512" s="20">
        <v>599407.80000000447</v>
      </c>
      <c r="AK512" s="25" t="s">
        <v>37</v>
      </c>
      <c r="AL512" s="20">
        <v>3243167.7100000046</v>
      </c>
      <c r="AM512" s="20">
        <v>-373178</v>
      </c>
      <c r="AN512" s="20">
        <v>0</v>
      </c>
      <c r="AO512" s="20">
        <v>4820383.0499999952</v>
      </c>
      <c r="AP512" s="20">
        <v>7690372.7599999979</v>
      </c>
    </row>
    <row r="513" spans="2:42" x14ac:dyDescent="0.35">
      <c r="C513" s="2"/>
      <c r="D513" s="2"/>
      <c r="E513" s="2"/>
      <c r="F513" s="2"/>
      <c r="G513" s="2"/>
      <c r="J513" s="2"/>
      <c r="K513" s="2"/>
      <c r="L513" s="2"/>
      <c r="M513" s="2"/>
      <c r="N513" s="2"/>
      <c r="Q513" s="2"/>
      <c r="R513" s="2"/>
      <c r="S513" s="2"/>
      <c r="T513" s="2"/>
      <c r="U513" s="2"/>
      <c r="X513" s="2"/>
      <c r="Y513" s="2"/>
      <c r="Z513" s="2"/>
      <c r="AA513" s="2"/>
      <c r="AB513" s="2"/>
      <c r="AE513" s="2"/>
      <c r="AF513" s="2"/>
      <c r="AG513" s="2"/>
      <c r="AH513" s="2"/>
      <c r="AI513" s="2"/>
      <c r="AL513" s="2"/>
      <c r="AM513" s="2"/>
      <c r="AN513" s="2"/>
      <c r="AO513" s="2"/>
      <c r="AP513" s="2"/>
    </row>
    <row r="514" spans="2:42" x14ac:dyDescent="0.35">
      <c r="B514" t="s">
        <v>212</v>
      </c>
      <c r="C514" s="2">
        <v>0</v>
      </c>
      <c r="D514" s="2">
        <v>0</v>
      </c>
      <c r="E514" s="2">
        <v>0</v>
      </c>
      <c r="F514" s="2">
        <v>0</v>
      </c>
      <c r="G514" s="2">
        <v>0</v>
      </c>
      <c r="I514" t="s">
        <v>212</v>
      </c>
      <c r="J514" s="2">
        <v>0</v>
      </c>
      <c r="K514" s="2">
        <v>0</v>
      </c>
      <c r="L514" s="2">
        <v>0</v>
      </c>
      <c r="M514" s="2">
        <v>0</v>
      </c>
      <c r="N514" s="2">
        <v>0</v>
      </c>
      <c r="P514" t="s">
        <v>212</v>
      </c>
      <c r="Q514" s="2">
        <v>0</v>
      </c>
      <c r="R514" s="2">
        <v>0</v>
      </c>
      <c r="S514" s="2">
        <v>0</v>
      </c>
      <c r="T514" s="2">
        <v>0</v>
      </c>
      <c r="U514" s="2">
        <v>0</v>
      </c>
      <c r="W514" t="s">
        <v>212</v>
      </c>
      <c r="X514" s="2">
        <v>0</v>
      </c>
      <c r="Y514" s="2">
        <v>0</v>
      </c>
      <c r="Z514" s="2">
        <v>0</v>
      </c>
      <c r="AA514" s="2">
        <v>0</v>
      </c>
      <c r="AB514" s="2">
        <v>0</v>
      </c>
      <c r="AD514" t="s">
        <v>212</v>
      </c>
      <c r="AE514" s="2">
        <v>0</v>
      </c>
      <c r="AF514" s="2">
        <v>0</v>
      </c>
      <c r="AG514" s="2">
        <v>0</v>
      </c>
      <c r="AH514" s="2">
        <v>0</v>
      </c>
      <c r="AI514" s="2">
        <v>0</v>
      </c>
      <c r="AK514" t="s">
        <v>212</v>
      </c>
      <c r="AL514" s="2">
        <v>0</v>
      </c>
      <c r="AM514" s="2">
        <v>0</v>
      </c>
      <c r="AN514" s="2">
        <v>0</v>
      </c>
      <c r="AO514" s="2">
        <v>0</v>
      </c>
      <c r="AP514" s="2">
        <v>0</v>
      </c>
    </row>
    <row r="515" spans="2:42" x14ac:dyDescent="0.35">
      <c r="B515" t="s">
        <v>38</v>
      </c>
      <c r="C515" s="2">
        <v>-112228504.81</v>
      </c>
      <c r="D515" s="2">
        <v>-16004870</v>
      </c>
      <c r="E515" s="2">
        <v>-2128155.48</v>
      </c>
      <c r="F515" s="2">
        <v>-2347166.84</v>
      </c>
      <c r="G515" s="2">
        <v>-132708697.13000001</v>
      </c>
      <c r="I515" t="s">
        <v>38</v>
      </c>
      <c r="J515" s="2">
        <v>-26968825.890000001</v>
      </c>
      <c r="K515" s="2">
        <v>-3474265</v>
      </c>
      <c r="L515" s="2">
        <v>-518670.4</v>
      </c>
      <c r="M515" s="2">
        <v>-604273.28</v>
      </c>
      <c r="N515" s="2">
        <v>-31566034.57</v>
      </c>
      <c r="P515" t="s">
        <v>38</v>
      </c>
      <c r="Q515" s="2">
        <v>-27071755.200000025</v>
      </c>
      <c r="R515" s="2">
        <v>-3641338</v>
      </c>
      <c r="S515" s="2">
        <v>-519683.20000000007</v>
      </c>
      <c r="T515" s="2">
        <v>-604273.29</v>
      </c>
      <c r="U515" s="2">
        <v>-31837049.690000024</v>
      </c>
      <c r="W515" t="s">
        <v>38</v>
      </c>
      <c r="X515" s="2">
        <v>-54040581.090000026</v>
      </c>
      <c r="Y515" s="2">
        <v>-7115603</v>
      </c>
      <c r="Z515" s="2">
        <v>-1038353.6000000001</v>
      </c>
      <c r="AA515" s="2">
        <v>-1208546.57</v>
      </c>
      <c r="AB515" s="2">
        <v>-63403084.260000028</v>
      </c>
      <c r="AD515" t="s">
        <v>38</v>
      </c>
      <c r="AE515" s="2">
        <v>-28432331.788502492</v>
      </c>
      <c r="AF515" s="2">
        <v>-4034153</v>
      </c>
      <c r="AG515" s="2">
        <v>-539755.81999999983</v>
      </c>
      <c r="AH515" s="2">
        <v>-613143.52</v>
      </c>
      <c r="AI515" s="2">
        <v>-33619384.128502496</v>
      </c>
      <c r="AK515" t="s">
        <v>38</v>
      </c>
      <c r="AL515" s="2">
        <v>-29755591.931497484</v>
      </c>
      <c r="AM515" s="2">
        <v>-4855114</v>
      </c>
      <c r="AN515" s="2">
        <v>-550046.06000000006</v>
      </c>
      <c r="AO515" s="2">
        <v>-525476.74999999977</v>
      </c>
      <c r="AP515" s="2">
        <v>-35686228.741497479</v>
      </c>
    </row>
    <row r="516" spans="2:42" x14ac:dyDescent="0.35">
      <c r="B516" t="s">
        <v>78</v>
      </c>
      <c r="C516" s="2">
        <v>-687321467.38618422</v>
      </c>
      <c r="D516" s="2">
        <v>-102019677</v>
      </c>
      <c r="E516" s="2">
        <v>-27140754.670000002</v>
      </c>
      <c r="F516" s="2">
        <v>-19892834.870000001</v>
      </c>
      <c r="G516" s="2">
        <v>-836374733.92618418</v>
      </c>
      <c r="I516" t="s">
        <v>78</v>
      </c>
      <c r="J516" s="2">
        <v>-166745859.01999989</v>
      </c>
      <c r="K516" s="2">
        <v>-28575084</v>
      </c>
      <c r="L516" s="2">
        <v>-6566162.5800000001</v>
      </c>
      <c r="M516" s="2">
        <v>-7911233.0799999991</v>
      </c>
      <c r="N516" s="2">
        <v>-209798338.67999992</v>
      </c>
      <c r="P516" t="s">
        <v>78</v>
      </c>
      <c r="Q516" s="2">
        <v>-165130257.28000024</v>
      </c>
      <c r="R516" s="2">
        <v>-23101055</v>
      </c>
      <c r="S516" s="2">
        <v>-6687219.6899999995</v>
      </c>
      <c r="T516" s="2">
        <v>-4165385.3900000034</v>
      </c>
      <c r="U516" s="2">
        <v>-199083917.36000025</v>
      </c>
      <c r="W516" t="s">
        <v>78</v>
      </c>
      <c r="X516" s="2">
        <v>-331876116.30000013</v>
      </c>
      <c r="Y516" s="2">
        <v>-51676139</v>
      </c>
      <c r="Z516" s="2">
        <v>-13253382.27</v>
      </c>
      <c r="AA516" s="2">
        <v>-12076618.470000003</v>
      </c>
      <c r="AB516" s="2">
        <v>-408882256.04000014</v>
      </c>
      <c r="AD516" t="s">
        <v>78</v>
      </c>
      <c r="AE516" s="2">
        <v>-170656661.16389793</v>
      </c>
      <c r="AF516" s="2">
        <v>-25657240</v>
      </c>
      <c r="AG516" s="2">
        <v>-6777838.1600000001</v>
      </c>
      <c r="AH516" s="2">
        <v>-3870375.3299999982</v>
      </c>
      <c r="AI516" s="2">
        <v>-206962114.65389794</v>
      </c>
      <c r="AK516" t="s">
        <v>78</v>
      </c>
      <c r="AL516" s="2">
        <v>-184788689.92228615</v>
      </c>
      <c r="AM516" s="2">
        <v>-24686298</v>
      </c>
      <c r="AN516" s="2">
        <v>-7109534.2400000021</v>
      </c>
      <c r="AO516" s="2">
        <v>-3945841.0700000003</v>
      </c>
      <c r="AP516" s="2">
        <v>-220530363.2322861</v>
      </c>
    </row>
    <row r="517" spans="2:42" x14ac:dyDescent="0.35">
      <c r="B517" t="s">
        <v>39</v>
      </c>
      <c r="C517" s="2">
        <v>-149675978.35226637</v>
      </c>
      <c r="D517" s="2">
        <v>-47024033</v>
      </c>
      <c r="E517" s="2">
        <v>-6666831.8700000001</v>
      </c>
      <c r="F517" s="2">
        <v>-8244694.178860059</v>
      </c>
      <c r="G517" s="2">
        <v>-211611537.40112644</v>
      </c>
      <c r="I517" t="s">
        <v>39</v>
      </c>
      <c r="J517" s="2">
        <v>-37400922.950000025</v>
      </c>
      <c r="K517" s="2">
        <v>-9368840</v>
      </c>
      <c r="L517" s="2">
        <v>-2144355.5099999998</v>
      </c>
      <c r="M517" s="2">
        <v>-1817001.94</v>
      </c>
      <c r="N517" s="2">
        <v>-50731120.400000021</v>
      </c>
      <c r="P517" t="s">
        <v>39</v>
      </c>
      <c r="Q517" s="2">
        <v>-39066102.649999999</v>
      </c>
      <c r="R517" s="2">
        <v>-9940582</v>
      </c>
      <c r="S517" s="2">
        <v>-1006653.330000001</v>
      </c>
      <c r="T517" s="2">
        <v>-1953793.4900000002</v>
      </c>
      <c r="U517" s="2">
        <v>-51967131.469999999</v>
      </c>
      <c r="W517" t="s">
        <v>39</v>
      </c>
      <c r="X517" s="2">
        <v>-76467025.600000024</v>
      </c>
      <c r="Y517" s="2">
        <v>-19309422</v>
      </c>
      <c r="Z517" s="2">
        <v>-3151008.8400000008</v>
      </c>
      <c r="AA517" s="2">
        <v>-3770795.43</v>
      </c>
      <c r="AB517" s="2">
        <v>-102698251.87000003</v>
      </c>
      <c r="AD517" t="s">
        <v>39</v>
      </c>
      <c r="AE517" s="2">
        <v>-38745108.675014824</v>
      </c>
      <c r="AF517" s="2">
        <v>-10690601</v>
      </c>
      <c r="AG517" s="2">
        <v>-1599402.79</v>
      </c>
      <c r="AH517" s="2">
        <v>-1983138.0400000005</v>
      </c>
      <c r="AI517" s="2">
        <v>-53018250.505014822</v>
      </c>
      <c r="AK517" t="s">
        <v>39</v>
      </c>
      <c r="AL517" s="2">
        <v>-34463844.077251524</v>
      </c>
      <c r="AM517" s="2">
        <v>-17024010</v>
      </c>
      <c r="AN517" s="2">
        <v>-1916420.2399999993</v>
      </c>
      <c r="AO517" s="2">
        <v>-2490760.7088600588</v>
      </c>
      <c r="AP517" s="2">
        <v>-55895035.026111588</v>
      </c>
    </row>
    <row r="518" spans="2:42" x14ac:dyDescent="0.35">
      <c r="B518" t="s">
        <v>40</v>
      </c>
      <c r="C518" s="2">
        <v>-92674721.460000008</v>
      </c>
      <c r="D518" s="2">
        <v>-18681799</v>
      </c>
      <c r="E518" s="2">
        <v>-180799.38</v>
      </c>
      <c r="F518" s="2">
        <v>-1698195.04</v>
      </c>
      <c r="G518" s="2">
        <v>-113235514.88000001</v>
      </c>
      <c r="I518" t="s">
        <v>40</v>
      </c>
      <c r="J518" s="2">
        <v>-9843513.1400000006</v>
      </c>
      <c r="K518" s="2">
        <v>-4025961</v>
      </c>
      <c r="L518" s="2">
        <v>-63483.700000000012</v>
      </c>
      <c r="M518" s="2">
        <v>-275869.34000000003</v>
      </c>
      <c r="N518" s="2">
        <v>-14208827.18</v>
      </c>
      <c r="P518" t="s">
        <v>40</v>
      </c>
      <c r="Q518" s="2">
        <v>-12924784.059999999</v>
      </c>
      <c r="R518" s="2">
        <v>-6674999</v>
      </c>
      <c r="S518" s="2">
        <v>-6024.8999999999942</v>
      </c>
      <c r="T518" s="2">
        <v>-418343.05</v>
      </c>
      <c r="U518" s="2">
        <v>-20024151.009999998</v>
      </c>
      <c r="W518" t="s">
        <v>40</v>
      </c>
      <c r="X518" s="2">
        <v>-22768297.199999999</v>
      </c>
      <c r="Y518" s="2">
        <v>-10700960</v>
      </c>
      <c r="Z518" s="2">
        <v>-69508.600000000006</v>
      </c>
      <c r="AA518" s="2">
        <v>-694212.39</v>
      </c>
      <c r="AB518" s="2">
        <v>-34232978.189999998</v>
      </c>
      <c r="AD518" t="s">
        <v>40</v>
      </c>
      <c r="AE518" s="2">
        <v>-27461980.099999998</v>
      </c>
      <c r="AF518" s="2">
        <v>-3474337</v>
      </c>
      <c r="AG518" s="2">
        <v>-17010.25</v>
      </c>
      <c r="AH518" s="2">
        <v>-121858.92999999993</v>
      </c>
      <c r="AI518" s="2">
        <v>-31075186.279999997</v>
      </c>
      <c r="AK518" t="s">
        <v>40</v>
      </c>
      <c r="AL518" s="2">
        <v>-42444444.160000011</v>
      </c>
      <c r="AM518" s="2">
        <v>-4506502</v>
      </c>
      <c r="AN518" s="2">
        <v>-94280.53</v>
      </c>
      <c r="AO518" s="2">
        <v>-882123.72000000009</v>
      </c>
      <c r="AP518" s="2">
        <v>-47927350.410000011</v>
      </c>
    </row>
    <row r="519" spans="2:42" x14ac:dyDescent="0.35">
      <c r="B519" t="s">
        <v>41</v>
      </c>
      <c r="C519" s="2">
        <v>15000000</v>
      </c>
      <c r="D519" s="2">
        <v>-200000</v>
      </c>
      <c r="E519" s="2">
        <v>0</v>
      </c>
      <c r="F519" s="2">
        <v>0</v>
      </c>
      <c r="G519" s="2">
        <v>14800000</v>
      </c>
      <c r="I519" t="s">
        <v>41</v>
      </c>
      <c r="J519" s="2">
        <v>15000000</v>
      </c>
      <c r="K519" s="2">
        <v>-200000</v>
      </c>
      <c r="L519" s="2">
        <v>0</v>
      </c>
      <c r="M519" s="2">
        <v>0</v>
      </c>
      <c r="N519" s="2">
        <v>14800000</v>
      </c>
      <c r="P519" t="s">
        <v>41</v>
      </c>
      <c r="Q519" s="2">
        <v>0</v>
      </c>
      <c r="R519" s="2">
        <v>0</v>
      </c>
      <c r="S519" s="2">
        <v>0</v>
      </c>
      <c r="T519" s="2">
        <v>0</v>
      </c>
      <c r="U519" s="2">
        <v>0</v>
      </c>
      <c r="W519" t="s">
        <v>41</v>
      </c>
      <c r="X519" s="2">
        <v>15000000</v>
      </c>
      <c r="Y519" s="2">
        <v>-200000</v>
      </c>
      <c r="Z519" s="2">
        <v>0</v>
      </c>
      <c r="AA519" s="2">
        <v>0</v>
      </c>
      <c r="AB519" s="2">
        <v>14800000</v>
      </c>
      <c r="AD519" t="s">
        <v>41</v>
      </c>
      <c r="AE519" s="2">
        <v>0</v>
      </c>
      <c r="AF519" s="2">
        <v>0</v>
      </c>
      <c r="AG519" s="2">
        <v>0</v>
      </c>
      <c r="AH519" s="2">
        <v>0</v>
      </c>
      <c r="AI519" s="2">
        <v>0</v>
      </c>
      <c r="AK519" t="s">
        <v>41</v>
      </c>
      <c r="AL519" s="2">
        <v>0</v>
      </c>
      <c r="AM519" s="2">
        <v>0</v>
      </c>
      <c r="AN519" s="2">
        <v>0</v>
      </c>
      <c r="AO519" s="2">
        <v>0</v>
      </c>
      <c r="AP519" s="2">
        <v>0</v>
      </c>
    </row>
    <row r="520" spans="2:42" x14ac:dyDescent="0.35">
      <c r="B520" t="s">
        <v>42</v>
      </c>
      <c r="C520" s="2">
        <v>-47218366.559999995</v>
      </c>
      <c r="D520" s="2">
        <v>-18525732.039999999</v>
      </c>
      <c r="E520" s="2">
        <v>-3339163.03</v>
      </c>
      <c r="F520" s="2">
        <v>-584752.93000000005</v>
      </c>
      <c r="G520" s="2">
        <v>-69668014.560000002</v>
      </c>
      <c r="I520" t="s">
        <v>42</v>
      </c>
      <c r="J520" s="2">
        <v>-10058926.210000001</v>
      </c>
      <c r="K520" s="2">
        <v>-4414802.4400000004</v>
      </c>
      <c r="L520" s="2">
        <v>-795600.27</v>
      </c>
      <c r="M520" s="2">
        <v>-303489.39</v>
      </c>
      <c r="N520" s="2">
        <v>-15572818.310000002</v>
      </c>
      <c r="P520" t="s">
        <v>42</v>
      </c>
      <c r="Q520" s="2">
        <v>-11954344.509999998</v>
      </c>
      <c r="R520" s="2">
        <v>-4605659.4200000009</v>
      </c>
      <c r="S520" s="2">
        <v>-836647.44</v>
      </c>
      <c r="T520" s="2">
        <v>-113729.66999999998</v>
      </c>
      <c r="U520" s="2">
        <v>-17510381.040000003</v>
      </c>
      <c r="W520" t="s">
        <v>42</v>
      </c>
      <c r="X520" s="2">
        <v>-22013270.719999999</v>
      </c>
      <c r="Y520" s="2">
        <v>-9020461.8600000013</v>
      </c>
      <c r="Z520" s="2">
        <v>-1632247.71</v>
      </c>
      <c r="AA520" s="2">
        <v>-417219.06</v>
      </c>
      <c r="AB520" s="2">
        <v>-33083199.349999998</v>
      </c>
      <c r="AD520" t="s">
        <v>42</v>
      </c>
      <c r="AE520" s="2">
        <v>-12362964.699999996</v>
      </c>
      <c r="AF520" s="2">
        <v>-4751640.379999999</v>
      </c>
      <c r="AG520" s="2">
        <v>-851275.49000000022</v>
      </c>
      <c r="AH520" s="2">
        <v>-94956.979999999981</v>
      </c>
      <c r="AI520" s="2">
        <v>-18060837.549999993</v>
      </c>
      <c r="AK520" t="s">
        <v>42</v>
      </c>
      <c r="AL520" s="2">
        <v>-12842131.140000001</v>
      </c>
      <c r="AM520" s="2">
        <v>-4753629.7999999989</v>
      </c>
      <c r="AN520" s="2">
        <v>-855639.82999999961</v>
      </c>
      <c r="AO520" s="2">
        <v>-72576.890000000072</v>
      </c>
      <c r="AP520" s="2">
        <v>-18523977.660000015</v>
      </c>
    </row>
    <row r="521" spans="2:42" x14ac:dyDescent="0.35">
      <c r="B521" t="s">
        <v>4</v>
      </c>
      <c r="C521" s="2">
        <v>750462.9</v>
      </c>
      <c r="D521" s="2">
        <v>-2202777</v>
      </c>
      <c r="E521" s="2">
        <v>2901881.68</v>
      </c>
      <c r="F521" s="2">
        <v>38156.010482644604</v>
      </c>
      <c r="G521" s="2">
        <v>1487723.5904826447</v>
      </c>
      <c r="I521" t="s">
        <v>4</v>
      </c>
      <c r="J521" s="2">
        <v>343395.01</v>
      </c>
      <c r="K521" s="2">
        <v>0</v>
      </c>
      <c r="L521" s="2">
        <v>0</v>
      </c>
      <c r="M521" s="2">
        <v>0</v>
      </c>
      <c r="N521" s="2">
        <v>343395.01</v>
      </c>
      <c r="P521" t="s">
        <v>4</v>
      </c>
      <c r="Q521" s="2">
        <v>17172.129999999946</v>
      </c>
      <c r="R521" s="2">
        <v>-6</v>
      </c>
      <c r="S521" s="2">
        <v>0</v>
      </c>
      <c r="T521" s="2">
        <v>9546.61</v>
      </c>
      <c r="U521" s="2">
        <v>26712.739999999947</v>
      </c>
      <c r="W521" t="s">
        <v>4</v>
      </c>
      <c r="X521" s="2">
        <v>360567.13999999996</v>
      </c>
      <c r="Y521" s="2">
        <v>-6</v>
      </c>
      <c r="Z521" s="2">
        <v>0</v>
      </c>
      <c r="AA521" s="2">
        <v>9546.61</v>
      </c>
      <c r="AB521" s="2">
        <v>370107.74999999994</v>
      </c>
      <c r="AD521" t="s">
        <v>4</v>
      </c>
      <c r="AE521" s="2">
        <v>57504.750000000058</v>
      </c>
      <c r="AF521" s="2">
        <v>188469</v>
      </c>
      <c r="AG521" s="2">
        <v>0</v>
      </c>
      <c r="AH521" s="2">
        <v>-54.989999999999782</v>
      </c>
      <c r="AI521" s="2">
        <v>245918.76000000007</v>
      </c>
      <c r="AK521" t="s">
        <v>4</v>
      </c>
      <c r="AL521" s="2">
        <v>332391.01</v>
      </c>
      <c r="AM521" s="2">
        <v>-2391240</v>
      </c>
      <c r="AN521" s="2">
        <v>2901881.68</v>
      </c>
      <c r="AO521" s="2">
        <v>28664.390482644601</v>
      </c>
      <c r="AP521" s="2">
        <v>871697.08048264473</v>
      </c>
    </row>
    <row r="522" spans="2:42" x14ac:dyDescent="0.35">
      <c r="B522" t="s">
        <v>5</v>
      </c>
      <c r="C522" s="2">
        <v>-3793000</v>
      </c>
      <c r="D522" s="2">
        <v>0</v>
      </c>
      <c r="E522" s="2">
        <v>0</v>
      </c>
      <c r="F522" s="2">
        <v>0</v>
      </c>
      <c r="G522" s="2">
        <v>-3793000</v>
      </c>
      <c r="I522" t="s">
        <v>5</v>
      </c>
      <c r="J522" s="2">
        <v>-463000</v>
      </c>
      <c r="K522" s="2">
        <v>0</v>
      </c>
      <c r="L522" s="2">
        <v>0</v>
      </c>
      <c r="M522" s="2">
        <v>0</v>
      </c>
      <c r="N522" s="2">
        <v>-463000</v>
      </c>
      <c r="P522" t="s">
        <v>5</v>
      </c>
      <c r="Q522" s="2">
        <v>-895000</v>
      </c>
      <c r="R522" s="2">
        <v>0</v>
      </c>
      <c r="S522" s="2">
        <v>0</v>
      </c>
      <c r="T522" s="2">
        <v>0</v>
      </c>
      <c r="U522" s="2">
        <v>-895000</v>
      </c>
      <c r="W522" t="s">
        <v>5</v>
      </c>
      <c r="X522" s="2">
        <v>-1358000</v>
      </c>
      <c r="Y522" s="2">
        <v>0</v>
      </c>
      <c r="Z522" s="2">
        <v>0</v>
      </c>
      <c r="AA522" s="2">
        <v>0</v>
      </c>
      <c r="AB522" s="2">
        <v>-1358000</v>
      </c>
      <c r="AD522" t="s">
        <v>5</v>
      </c>
      <c r="AE522" s="2">
        <v>-1145000</v>
      </c>
      <c r="AF522" s="2">
        <v>0</v>
      </c>
      <c r="AG522" s="2">
        <v>0</v>
      </c>
      <c r="AH522" s="2">
        <v>0</v>
      </c>
      <c r="AI522" s="2">
        <v>-1145000</v>
      </c>
      <c r="AK522" t="s">
        <v>5</v>
      </c>
      <c r="AL522" s="2">
        <v>-1290000</v>
      </c>
      <c r="AM522" s="2">
        <v>0</v>
      </c>
      <c r="AN522" s="2">
        <v>0</v>
      </c>
      <c r="AO522" s="2">
        <v>0</v>
      </c>
      <c r="AP522" s="2">
        <v>-1290000</v>
      </c>
    </row>
    <row r="523" spans="2:42" x14ac:dyDescent="0.35">
      <c r="B523" t="s">
        <v>182</v>
      </c>
      <c r="C523" s="2">
        <v>-120456075.59000002</v>
      </c>
      <c r="D523" s="2">
        <v>3745865.8274013</v>
      </c>
      <c r="E523" s="2">
        <v>3486511.6799999997</v>
      </c>
      <c r="F523" s="2">
        <v>-55846.19</v>
      </c>
      <c r="G523" s="2">
        <v>-113279544.27259871</v>
      </c>
      <c r="I523" t="s">
        <v>182</v>
      </c>
      <c r="J523" s="2">
        <v>-41602798.909999996</v>
      </c>
      <c r="K523" s="2">
        <v>-2389939.3237299002</v>
      </c>
      <c r="L523" s="2">
        <v>1093525.82</v>
      </c>
      <c r="M523" s="2">
        <v>-55846.19</v>
      </c>
      <c r="N523" s="2">
        <v>-42955058.603729896</v>
      </c>
      <c r="P523" t="s">
        <v>182</v>
      </c>
      <c r="Q523" s="2">
        <v>-25501418.230000004</v>
      </c>
      <c r="R523" s="2">
        <v>2717072.1494138003</v>
      </c>
      <c r="S523" s="2">
        <v>-896285.26</v>
      </c>
      <c r="T523" s="2">
        <v>0</v>
      </c>
      <c r="U523" s="2">
        <v>-23680631.340586204</v>
      </c>
      <c r="W523" t="s">
        <v>182</v>
      </c>
      <c r="X523" s="2">
        <v>-67104217.140000001</v>
      </c>
      <c r="Y523" s="2">
        <v>327132.82568390004</v>
      </c>
      <c r="Z523" s="2">
        <v>197240.56000000006</v>
      </c>
      <c r="AA523" s="2">
        <v>-55846.19</v>
      </c>
      <c r="AB523" s="2">
        <v>-66635689.944316097</v>
      </c>
      <c r="AD523" t="s">
        <v>182</v>
      </c>
      <c r="AE523" s="2">
        <v>-16261414.059999987</v>
      </c>
      <c r="AF523" s="2">
        <v>-163458.03005450009</v>
      </c>
      <c r="AG523" s="2">
        <v>1780120.8099999998</v>
      </c>
      <c r="AH523" s="2">
        <v>0</v>
      </c>
      <c r="AI523" s="2">
        <v>-14644751.280054487</v>
      </c>
      <c r="AK523" t="s">
        <v>182</v>
      </c>
      <c r="AL523" s="2">
        <v>-37090444.39000003</v>
      </c>
      <c r="AM523" s="2">
        <v>3582191.0317719001</v>
      </c>
      <c r="AN523" s="2">
        <v>1509150.3099999998</v>
      </c>
      <c r="AO523" s="2">
        <v>0</v>
      </c>
      <c r="AP523" s="2">
        <v>-31999103.04822813</v>
      </c>
    </row>
    <row r="524" spans="2:42" x14ac:dyDescent="0.35">
      <c r="B524" s="19" t="s">
        <v>11</v>
      </c>
      <c r="C524" s="20">
        <v>-1197617651.2584503</v>
      </c>
      <c r="D524" s="20">
        <v>-200913022.21259868</v>
      </c>
      <c r="E524" s="20">
        <v>-33067311.070000008</v>
      </c>
      <c r="F524" s="20">
        <v>-32785334.038377419</v>
      </c>
      <c r="G524" s="20">
        <v>-1464383318.5794268</v>
      </c>
      <c r="I524" s="19" t="s">
        <v>11</v>
      </c>
      <c r="J524" s="20">
        <v>-277740451.10999995</v>
      </c>
      <c r="K524" s="20">
        <v>-52448891.7637299</v>
      </c>
      <c r="L524" s="20">
        <v>-8994746.6399999987</v>
      </c>
      <c r="M524" s="20">
        <v>-10967713.219999999</v>
      </c>
      <c r="N524" s="20">
        <v>-350151802.73372984</v>
      </c>
      <c r="P524" s="19" t="s">
        <v>11</v>
      </c>
      <c r="Q524" s="20">
        <v>-282526489.80000025</v>
      </c>
      <c r="R524" s="20">
        <v>-45246567.2705862</v>
      </c>
      <c r="S524" s="20">
        <v>-9952513.8200000003</v>
      </c>
      <c r="T524" s="20">
        <v>-7245978.2800000031</v>
      </c>
      <c r="U524" s="20">
        <v>-344971549.17058647</v>
      </c>
      <c r="W524" s="19" t="s">
        <v>11</v>
      </c>
      <c r="X524" s="20">
        <v>-560266940.91000021</v>
      </c>
      <c r="Y524" s="20">
        <v>-97695459.034316093</v>
      </c>
      <c r="Z524" s="20">
        <v>-18947260.460000005</v>
      </c>
      <c r="AA524" s="20">
        <v>-18213691.500000004</v>
      </c>
      <c r="AB524" s="20">
        <v>-695123351.90431631</v>
      </c>
      <c r="AD524" s="19" t="s">
        <v>11</v>
      </c>
      <c r="AE524" s="20">
        <v>-295007955.73741525</v>
      </c>
      <c r="AF524" s="20">
        <v>-48582960.410054497</v>
      </c>
      <c r="AG524" s="20">
        <v>-8005161.7000000002</v>
      </c>
      <c r="AH524" s="20">
        <v>-6683527.7899999991</v>
      </c>
      <c r="AI524" s="20">
        <v>-358279605.63746977</v>
      </c>
      <c r="AK524" s="19" t="s">
        <v>11</v>
      </c>
      <c r="AL524" s="20">
        <v>-342342754.61103481</v>
      </c>
      <c r="AM524" s="20">
        <v>-54634602.768228091</v>
      </c>
      <c r="AN524" s="20">
        <v>-6114888.9100000029</v>
      </c>
      <c r="AO524" s="20">
        <v>-7888114.7483774163</v>
      </c>
      <c r="AP524" s="20">
        <v>-410980361.03764069</v>
      </c>
    </row>
    <row r="525" spans="2:42" x14ac:dyDescent="0.35">
      <c r="C525" s="2"/>
      <c r="D525" s="2"/>
      <c r="E525" s="2"/>
      <c r="F525" s="2"/>
      <c r="G525" s="2"/>
      <c r="J525" s="2"/>
      <c r="K525" s="2"/>
      <c r="L525" s="2"/>
      <c r="M525" s="2"/>
      <c r="N525" s="2"/>
      <c r="Q525" s="2"/>
      <c r="R525" s="2"/>
      <c r="S525" s="2"/>
      <c r="T525" s="2"/>
      <c r="U525" s="2"/>
      <c r="X525" s="2"/>
      <c r="Y525" s="2"/>
      <c r="Z525" s="2"/>
      <c r="AA525" s="2"/>
      <c r="AB525" s="2"/>
      <c r="AE525" s="2"/>
      <c r="AF525" s="2"/>
      <c r="AG525" s="2"/>
      <c r="AH525" s="2"/>
      <c r="AI525" s="2"/>
      <c r="AL525" s="2"/>
      <c r="AM525" s="2"/>
      <c r="AN525" s="2"/>
      <c r="AO525" s="2"/>
      <c r="AP525" s="2"/>
    </row>
    <row r="526" spans="2:42" x14ac:dyDescent="0.35">
      <c r="C526" s="2"/>
      <c r="D526" s="2"/>
      <c r="E526" s="2"/>
      <c r="F526" s="2"/>
      <c r="G526" s="2"/>
      <c r="J526" s="2"/>
      <c r="K526" s="2"/>
      <c r="L526" s="2"/>
      <c r="M526" s="2"/>
      <c r="N526" s="2"/>
      <c r="Q526" s="2"/>
      <c r="R526" s="2"/>
      <c r="S526" s="2"/>
      <c r="T526" s="2"/>
      <c r="U526" s="2"/>
      <c r="X526" s="2"/>
      <c r="Y526" s="2"/>
      <c r="Z526" s="2"/>
      <c r="AA526" s="2"/>
      <c r="AB526" s="2"/>
      <c r="AE526" s="2"/>
      <c r="AF526" s="2"/>
      <c r="AG526" s="2"/>
      <c r="AH526" s="2"/>
      <c r="AI526" s="2"/>
      <c r="AL526" s="2"/>
      <c r="AM526" s="2"/>
      <c r="AN526" s="2"/>
      <c r="AO526" s="2"/>
      <c r="AP526" s="2"/>
    </row>
    <row r="527" spans="2:42" x14ac:dyDescent="0.35">
      <c r="B527" s="11" t="s">
        <v>43</v>
      </c>
      <c r="C527" s="4">
        <v>780379436.29055214</v>
      </c>
      <c r="D527" s="4">
        <v>205324306.78740132</v>
      </c>
      <c r="E527" s="4">
        <v>39263398.769999996</v>
      </c>
      <c r="F527" s="4">
        <v>-25977291.4843897</v>
      </c>
      <c r="G527" s="4">
        <v>998989850.36356378</v>
      </c>
      <c r="I527" s="11" t="s">
        <v>43</v>
      </c>
      <c r="J527" s="4">
        <v>43841738.465587497</v>
      </c>
      <c r="K527" s="4">
        <v>50701247.2362701</v>
      </c>
      <c r="L527" s="4">
        <v>8473800.3699999955</v>
      </c>
      <c r="M527" s="4">
        <v>-10321726.969588719</v>
      </c>
      <c r="N527" s="4">
        <v>92695059.102268875</v>
      </c>
      <c r="P527" s="11" t="s">
        <v>43</v>
      </c>
      <c r="Q527" s="4">
        <v>138244080.86071855</v>
      </c>
      <c r="R527" s="4">
        <v>78066865.729413807</v>
      </c>
      <c r="S527" s="4">
        <v>7945436.0799999908</v>
      </c>
      <c r="T527" s="4">
        <v>-7400350.7477062568</v>
      </c>
      <c r="U527" s="4">
        <v>216856031.92242607</v>
      </c>
      <c r="W527" s="11" t="s">
        <v>43</v>
      </c>
      <c r="X527" s="4">
        <v>182085819.3263061</v>
      </c>
      <c r="Y527" s="4">
        <v>128768112.96568391</v>
      </c>
      <c r="Z527" s="4">
        <v>16419236.449999984</v>
      </c>
      <c r="AA527" s="4">
        <v>-17722077.717294976</v>
      </c>
      <c r="AB527" s="4">
        <v>309551091.02469504</v>
      </c>
      <c r="AD527" s="11" t="s">
        <v>43</v>
      </c>
      <c r="AE527" s="4">
        <v>290456174.55596119</v>
      </c>
      <c r="AF527" s="4">
        <v>31462314.589945503</v>
      </c>
      <c r="AG527" s="4">
        <v>14149162.240000002</v>
      </c>
      <c r="AH527" s="4">
        <v>-2733388.9225477008</v>
      </c>
      <c r="AI527" s="4">
        <v>333334262.463359</v>
      </c>
      <c r="AK527" s="11" t="s">
        <v>43</v>
      </c>
      <c r="AL527" s="4">
        <v>307837442.40828484</v>
      </c>
      <c r="AM527" s="4">
        <v>45093879.231771909</v>
      </c>
      <c r="AN527" s="4">
        <v>8695000.0800000094</v>
      </c>
      <c r="AO527" s="4">
        <v>-5521824.8445470231</v>
      </c>
      <c r="AP527" s="4">
        <v>356104496.87550974</v>
      </c>
    </row>
    <row r="528" spans="2:42" x14ac:dyDescent="0.35">
      <c r="B528" t="s">
        <v>6</v>
      </c>
      <c r="C528" s="2">
        <v>-210786505.53999996</v>
      </c>
      <c r="D528" s="2">
        <v>-46859155</v>
      </c>
      <c r="E528" s="2">
        <v>-8032686.6500000004</v>
      </c>
      <c r="F528" s="2">
        <v>-3356338.76</v>
      </c>
      <c r="G528" s="2">
        <v>-269034685.94999999</v>
      </c>
      <c r="I528" t="s">
        <v>6</v>
      </c>
      <c r="J528" s="2">
        <v>-20985703.220000003</v>
      </c>
      <c r="K528" s="2">
        <v>-12752815</v>
      </c>
      <c r="L528" s="2">
        <v>-1938011.32</v>
      </c>
      <c r="M528" s="2">
        <v>-409011.67000000004</v>
      </c>
      <c r="N528" s="2">
        <v>-36085541.210000001</v>
      </c>
      <c r="P528" t="s">
        <v>6</v>
      </c>
      <c r="Q528" s="2">
        <v>-44767532.770000011</v>
      </c>
      <c r="R528" s="2">
        <v>-7894242</v>
      </c>
      <c r="S528" s="2">
        <v>-1837011.0899999996</v>
      </c>
      <c r="T528" s="2">
        <v>-381881.06999999995</v>
      </c>
      <c r="U528" s="2">
        <v>-54880666.930000007</v>
      </c>
      <c r="W528" t="s">
        <v>6</v>
      </c>
      <c r="X528" s="2">
        <v>-65753235.99000001</v>
      </c>
      <c r="Y528" s="2">
        <v>-20647057</v>
      </c>
      <c r="Z528" s="2">
        <v>-3775022.4099999997</v>
      </c>
      <c r="AA528" s="2">
        <v>-790892.74</v>
      </c>
      <c r="AB528" s="2">
        <v>-90966208.140000001</v>
      </c>
      <c r="AD528" t="s">
        <v>6</v>
      </c>
      <c r="AE528" s="2">
        <v>-80194309.849999994</v>
      </c>
      <c r="AF528" s="2">
        <v>-13652164</v>
      </c>
      <c r="AG528" s="2">
        <v>-2785886.1600000006</v>
      </c>
      <c r="AH528" s="2">
        <v>-1233407.3600000001</v>
      </c>
      <c r="AI528" s="2">
        <v>-97865767.36999999</v>
      </c>
      <c r="AK528" t="s">
        <v>6</v>
      </c>
      <c r="AL528" s="2">
        <v>-64838959.699999958</v>
      </c>
      <c r="AM528" s="2">
        <v>-12559934</v>
      </c>
      <c r="AN528" s="2">
        <v>-1471778.0799999996</v>
      </c>
      <c r="AO528" s="2">
        <v>-1332038.6599999995</v>
      </c>
      <c r="AP528" s="2">
        <v>-80202710.440000013</v>
      </c>
    </row>
    <row r="529" spans="2:42" x14ac:dyDescent="0.35">
      <c r="B529" s="11" t="s">
        <v>7</v>
      </c>
      <c r="C529" s="4">
        <v>569592930.75055218</v>
      </c>
      <c r="D529" s="4">
        <v>158465151.78740132</v>
      </c>
      <c r="E529" s="4">
        <v>31230712.119999997</v>
      </c>
      <c r="F529" s="4">
        <v>-29333630.244389698</v>
      </c>
      <c r="G529" s="4">
        <v>729955164.41356385</v>
      </c>
      <c r="I529" s="11" t="s">
        <v>7</v>
      </c>
      <c r="J529" s="4">
        <v>22856035.245587494</v>
      </c>
      <c r="K529" s="4">
        <v>37948432.2362701</v>
      </c>
      <c r="L529" s="4">
        <v>6535789.0499999952</v>
      </c>
      <c r="M529" s="4">
        <v>-10730738.639588719</v>
      </c>
      <c r="N529" s="4">
        <v>56609517.892268874</v>
      </c>
      <c r="P529" s="11" t="s">
        <v>7</v>
      </c>
      <c r="Q529" s="4">
        <v>93476548.090718538</v>
      </c>
      <c r="R529" s="4">
        <v>70172623.729413807</v>
      </c>
      <c r="S529" s="4">
        <v>6108424.9899999909</v>
      </c>
      <c r="T529" s="4">
        <v>-7782231.8177062571</v>
      </c>
      <c r="U529" s="4">
        <v>161975364.99242607</v>
      </c>
      <c r="W529" s="11" t="s">
        <v>7</v>
      </c>
      <c r="X529" s="4">
        <v>116332583.3363061</v>
      </c>
      <c r="Y529" s="4">
        <v>108121055.96568391</v>
      </c>
      <c r="Z529" s="4">
        <v>12644214.039999984</v>
      </c>
      <c r="AA529" s="4">
        <v>-18512970.457294974</v>
      </c>
      <c r="AB529" s="4">
        <v>218584882.88469502</v>
      </c>
      <c r="AD529" s="11" t="s">
        <v>7</v>
      </c>
      <c r="AE529" s="4">
        <v>210261864.7059612</v>
      </c>
      <c r="AF529" s="4">
        <v>17810150.589945503</v>
      </c>
      <c r="AG529" s="4">
        <v>11363276.080000002</v>
      </c>
      <c r="AH529" s="4">
        <v>-3966796.2825477012</v>
      </c>
      <c r="AI529" s="4">
        <v>235468495.09335899</v>
      </c>
      <c r="AK529" s="11" t="s">
        <v>7</v>
      </c>
      <c r="AL529" s="4">
        <v>242998482.70828488</v>
      </c>
      <c r="AM529" s="4">
        <v>32533945.231771909</v>
      </c>
      <c r="AN529" s="4">
        <v>7223222.0000000112</v>
      </c>
      <c r="AO529" s="4">
        <v>-6853863.5045470223</v>
      </c>
      <c r="AP529" s="4">
        <v>275901786.4355098</v>
      </c>
    </row>
    <row r="530" spans="2:42" x14ac:dyDescent="0.35">
      <c r="B530" t="s">
        <v>8</v>
      </c>
      <c r="C530" s="2">
        <v>-36412279.649136893</v>
      </c>
      <c r="D530" s="2">
        <v>-29707234.293699998</v>
      </c>
      <c r="E530" s="2">
        <v>-6163730.2439999999</v>
      </c>
      <c r="F530" s="2">
        <v>-3857.3517999995752</v>
      </c>
      <c r="G530" s="2">
        <v>-72287101.538636893</v>
      </c>
      <c r="I530" t="s">
        <v>8</v>
      </c>
      <c r="J530" s="2">
        <v>-2618208.7300202418</v>
      </c>
      <c r="K530" s="2">
        <v>-7159273.0469000004</v>
      </c>
      <c r="L530" s="2">
        <v>-1476281.4859999984</v>
      </c>
      <c r="M530" s="2">
        <v>-750.92200799991735</v>
      </c>
      <c r="N530" s="2">
        <v>-11254514.18492824</v>
      </c>
      <c r="P530" t="s">
        <v>8</v>
      </c>
      <c r="Q530" s="2">
        <v>-5145481.5799174812</v>
      </c>
      <c r="R530" s="2">
        <v>-13750006.622400001</v>
      </c>
      <c r="S530" s="2">
        <v>-1062516.5959999987</v>
      </c>
      <c r="T530" s="2">
        <v>-885.50793599990209</v>
      </c>
      <c r="U530" s="2">
        <v>-19958890.306253482</v>
      </c>
      <c r="W530" t="s">
        <v>8</v>
      </c>
      <c r="X530" s="2">
        <v>-7763690.309937723</v>
      </c>
      <c r="Y530" s="2">
        <v>-20909279.669300001</v>
      </c>
      <c r="Z530" s="2">
        <v>-2538798.0819999971</v>
      </c>
      <c r="AA530" s="2">
        <v>-1636.4299439998194</v>
      </c>
      <c r="AB530" s="2">
        <v>-31213404.491181724</v>
      </c>
      <c r="AD530" t="s">
        <v>8</v>
      </c>
      <c r="AE530" s="2">
        <v>-6301312.7848059889</v>
      </c>
      <c r="AF530" s="2">
        <v>-3922255.9669999965</v>
      </c>
      <c r="AG530" s="2">
        <v>-2268060.961999998</v>
      </c>
      <c r="AH530" s="2">
        <v>-1047.9567919998844</v>
      </c>
      <c r="AI530" s="2">
        <v>-12492677.670597984</v>
      </c>
      <c r="AK530" t="s">
        <v>8</v>
      </c>
      <c r="AL530" s="2">
        <v>-22347276.55439318</v>
      </c>
      <c r="AM530" s="2">
        <v>-4875698.6574000008</v>
      </c>
      <c r="AN530" s="2">
        <v>-1356871.2000000048</v>
      </c>
      <c r="AO530" s="2">
        <v>-1172.9650639998713</v>
      </c>
      <c r="AP530" s="2">
        <v>-28581019.376857184</v>
      </c>
    </row>
    <row r="531" spans="2:42" x14ac:dyDescent="0.35">
      <c r="B531" s="11" t="s">
        <v>161</v>
      </c>
      <c r="C531" s="4">
        <v>533180651.10141528</v>
      </c>
      <c r="D531" s="4">
        <v>128757917.49370132</v>
      </c>
      <c r="E531" s="4">
        <v>25066981.875999998</v>
      </c>
      <c r="F531" s="4">
        <v>-29337487.596189696</v>
      </c>
      <c r="G531" s="4">
        <v>657668062.87492692</v>
      </c>
      <c r="I531" s="11" t="s">
        <v>161</v>
      </c>
      <c r="J531" s="4">
        <v>20237826.515567251</v>
      </c>
      <c r="K531" s="4">
        <v>30789159.189370099</v>
      </c>
      <c r="L531" s="4">
        <v>5059507.5639999965</v>
      </c>
      <c r="M531" s="4">
        <v>-10731489.56159672</v>
      </c>
      <c r="N531" s="4">
        <v>45355003.707340628</v>
      </c>
      <c r="P531" s="11" t="s">
        <v>161</v>
      </c>
      <c r="Q531" s="4">
        <v>88331066.510801062</v>
      </c>
      <c r="R531" s="4">
        <v>56422617.107013807</v>
      </c>
      <c r="S531" s="4">
        <v>5045908.3939999919</v>
      </c>
      <c r="T531" s="4">
        <v>-7783117.325642257</v>
      </c>
      <c r="U531" s="4">
        <v>142016474.6861726</v>
      </c>
      <c r="W531" s="11" t="s">
        <v>161</v>
      </c>
      <c r="X531" s="4">
        <v>108568893.02636838</v>
      </c>
      <c r="Y531" s="4">
        <v>87211776.296383902</v>
      </c>
      <c r="Z531" s="4">
        <v>10105415.957999988</v>
      </c>
      <c r="AA531" s="4">
        <v>-18514606.887238976</v>
      </c>
      <c r="AB531" s="4">
        <v>187371478.39351329</v>
      </c>
      <c r="AD531" s="11" t="s">
        <v>161</v>
      </c>
      <c r="AE531" s="4">
        <v>203960551.92115521</v>
      </c>
      <c r="AF531" s="4">
        <v>13887894.622945506</v>
      </c>
      <c r="AG531" s="4">
        <v>9095215.1180000044</v>
      </c>
      <c r="AH531" s="4">
        <v>-3967844.2393397009</v>
      </c>
      <c r="AI531" s="4">
        <v>222975817.42276102</v>
      </c>
      <c r="AK531" s="11" t="s">
        <v>9</v>
      </c>
      <c r="AL531" s="4">
        <v>220651206.15389168</v>
      </c>
      <c r="AM531" s="4">
        <v>27658246.574371915</v>
      </c>
      <c r="AN531" s="4">
        <v>5866350.8000000063</v>
      </c>
      <c r="AO531" s="4">
        <v>-6855036.4696110198</v>
      </c>
      <c r="AP531" s="4">
        <v>247320767.05865258</v>
      </c>
    </row>
    <row r="532" spans="2:42" x14ac:dyDescent="0.35">
      <c r="C532" s="3">
        <v>0</v>
      </c>
      <c r="D532" s="3">
        <v>0</v>
      </c>
      <c r="E532" s="3">
        <v>0</v>
      </c>
      <c r="F532" s="3">
        <v>0</v>
      </c>
      <c r="AL532" s="3">
        <v>0</v>
      </c>
      <c r="AM532" s="3">
        <v>0</v>
      </c>
      <c r="AN532" s="3">
        <v>0</v>
      </c>
      <c r="AO532" s="3">
        <v>0</v>
      </c>
      <c r="AP532" s="3">
        <v>0</v>
      </c>
    </row>
    <row r="533" spans="2:42" x14ac:dyDescent="0.35">
      <c r="AI533" s="3"/>
      <c r="AP533" s="3"/>
    </row>
    <row r="534" spans="2:42" x14ac:dyDescent="0.35">
      <c r="AP534" s="3"/>
    </row>
    <row r="535" spans="2:42" ht="18.5" x14ac:dyDescent="0.35">
      <c r="I535" s="303"/>
      <c r="J535" s="303"/>
      <c r="K535" s="303"/>
      <c r="L535" s="303"/>
      <c r="M535" s="303"/>
      <c r="N535" s="303"/>
    </row>
    <row r="536" spans="2:42" ht="15.5" x14ac:dyDescent="0.35">
      <c r="I536" s="8"/>
      <c r="J536" s="8"/>
      <c r="K536" s="8"/>
      <c r="L536" s="8"/>
      <c r="M536" s="8"/>
      <c r="N536" s="9"/>
    </row>
    <row r="537" spans="2:42" x14ac:dyDescent="0.35">
      <c r="I537" s="234"/>
    </row>
    <row r="538" spans="2:42" x14ac:dyDescent="0.35">
      <c r="I538" s="234"/>
    </row>
    <row r="539" spans="2:42" x14ac:dyDescent="0.35">
      <c r="J539" s="2"/>
      <c r="K539" s="2"/>
      <c r="L539" s="2"/>
      <c r="M539" s="2"/>
      <c r="N539" s="2"/>
    </row>
    <row r="540" spans="2:42" x14ac:dyDescent="0.35">
      <c r="J540" s="2"/>
      <c r="K540" s="2"/>
      <c r="L540" s="2"/>
      <c r="M540" s="2"/>
      <c r="N540" s="2"/>
    </row>
    <row r="541" spans="2:42" x14ac:dyDescent="0.35">
      <c r="J541" s="2"/>
      <c r="K541" s="2"/>
      <c r="L541" s="2"/>
      <c r="M541" s="2"/>
      <c r="N541" s="2"/>
    </row>
    <row r="542" spans="2:42" x14ac:dyDescent="0.35">
      <c r="J542" s="2"/>
      <c r="K542" s="2"/>
      <c r="L542" s="2"/>
      <c r="M542" s="2"/>
      <c r="N542" s="2"/>
    </row>
    <row r="543" spans="2:42" x14ac:dyDescent="0.35">
      <c r="I543" s="5"/>
      <c r="J543" s="235"/>
      <c r="K543" s="235"/>
      <c r="L543" s="235"/>
      <c r="M543" s="235"/>
      <c r="N543" s="235"/>
    </row>
    <row r="544" spans="2:42" x14ac:dyDescent="0.35">
      <c r="I544" s="234"/>
    </row>
    <row r="545" spans="9:14" x14ac:dyDescent="0.35">
      <c r="J545" s="2"/>
      <c r="K545" s="2"/>
      <c r="L545" s="2"/>
      <c r="M545" s="2"/>
      <c r="N545" s="2"/>
    </row>
    <row r="546" spans="9:14" x14ac:dyDescent="0.35">
      <c r="J546" s="2"/>
      <c r="K546" s="2"/>
      <c r="L546" s="2"/>
      <c r="M546" s="2"/>
      <c r="N546" s="2"/>
    </row>
    <row r="547" spans="9:14" x14ac:dyDescent="0.35">
      <c r="J547" s="2"/>
      <c r="K547" s="2"/>
      <c r="L547" s="2"/>
      <c r="M547" s="2"/>
      <c r="N547" s="2"/>
    </row>
    <row r="548" spans="9:14" x14ac:dyDescent="0.35">
      <c r="J548" s="2"/>
      <c r="K548" s="2"/>
      <c r="L548" s="2"/>
      <c r="M548" s="2"/>
      <c r="N548" s="2"/>
    </row>
    <row r="549" spans="9:14" x14ac:dyDescent="0.35">
      <c r="I549" s="5"/>
      <c r="J549" s="235"/>
      <c r="K549" s="235"/>
      <c r="L549" s="235"/>
      <c r="M549" s="235"/>
      <c r="N549" s="235"/>
    </row>
    <row r="550" spans="9:14" x14ac:dyDescent="0.35">
      <c r="I550" s="6"/>
      <c r="J550" s="7"/>
      <c r="K550" s="7"/>
      <c r="L550" s="7"/>
      <c r="M550" s="7"/>
      <c r="N550" s="7"/>
    </row>
    <row r="551" spans="9:14" x14ac:dyDescent="0.35">
      <c r="J551" s="2"/>
      <c r="K551" s="2"/>
      <c r="L551" s="2"/>
      <c r="M551" s="2"/>
      <c r="N551" s="2"/>
    </row>
    <row r="552" spans="9:14" x14ac:dyDescent="0.35">
      <c r="J552" s="2"/>
      <c r="K552" s="2"/>
      <c r="L552" s="2"/>
      <c r="M552" s="2"/>
      <c r="N552" s="2"/>
    </row>
    <row r="553" spans="9:14" x14ac:dyDescent="0.35">
      <c r="I553" s="5"/>
      <c r="J553" s="235"/>
      <c r="K553" s="235"/>
      <c r="L553" s="235"/>
      <c r="M553" s="235"/>
      <c r="N553" s="235"/>
    </row>
    <row r="555" spans="9:14" x14ac:dyDescent="0.35">
      <c r="I555" s="16"/>
      <c r="J555" s="23"/>
      <c r="K555" s="23"/>
      <c r="L555" s="23"/>
      <c r="M555" s="23"/>
      <c r="N555" s="17"/>
    </row>
    <row r="557" spans="9:14" x14ac:dyDescent="0.35">
      <c r="J557" s="2"/>
      <c r="K557" s="2"/>
      <c r="L557" s="2"/>
      <c r="M557" s="2"/>
      <c r="N557" s="2"/>
    </row>
    <row r="558" spans="9:14" x14ac:dyDescent="0.35">
      <c r="J558" s="2"/>
      <c r="K558" s="2"/>
      <c r="L558" s="2"/>
      <c r="M558" s="2"/>
      <c r="N558" s="2"/>
    </row>
    <row r="559" spans="9:14" x14ac:dyDescent="0.35">
      <c r="I559" s="5"/>
      <c r="J559" s="235"/>
      <c r="K559" s="235"/>
      <c r="L559" s="235"/>
      <c r="M559" s="235"/>
      <c r="N559" s="235"/>
    </row>
    <row r="560" spans="9:14" ht="15" thickBot="1" x14ac:dyDescent="0.4">
      <c r="I560" s="236"/>
      <c r="J560" s="237"/>
      <c r="K560" s="237"/>
      <c r="L560" s="237"/>
      <c r="M560" s="237"/>
      <c r="N560" s="237"/>
    </row>
    <row r="561" spans="9:14" ht="15" thickTop="1" x14ac:dyDescent="0.35">
      <c r="I561" s="6"/>
      <c r="J561" s="7"/>
      <c r="K561" s="7"/>
      <c r="L561" s="7"/>
      <c r="M561" s="7"/>
      <c r="N561" s="7"/>
    </row>
    <row r="562" spans="9:14" x14ac:dyDescent="0.35">
      <c r="I562" s="234"/>
      <c r="J562" s="7"/>
      <c r="K562" s="7"/>
      <c r="L562" s="7"/>
      <c r="M562" s="7"/>
      <c r="N562" s="7"/>
    </row>
    <row r="563" spans="9:14" x14ac:dyDescent="0.35">
      <c r="J563" s="2"/>
      <c r="K563" s="2"/>
      <c r="L563" s="2"/>
      <c r="M563" s="2"/>
      <c r="N563" s="2"/>
    </row>
    <row r="564" spans="9:14" x14ac:dyDescent="0.35">
      <c r="J564" s="2"/>
      <c r="K564" s="2"/>
      <c r="L564" s="2"/>
      <c r="M564" s="2"/>
      <c r="N564" s="2"/>
    </row>
    <row r="565" spans="9:14" ht="15" thickBot="1" x14ac:dyDescent="0.4">
      <c r="I565" s="236"/>
      <c r="J565" s="238"/>
      <c r="K565" s="238"/>
      <c r="L565" s="238"/>
      <c r="M565" s="238"/>
      <c r="N565" s="238"/>
    </row>
    <row r="566" spans="9:14" ht="15" thickTop="1" x14ac:dyDescent="0.35">
      <c r="J566" s="2"/>
      <c r="K566" s="2"/>
      <c r="L566" s="2"/>
      <c r="M566" s="2"/>
      <c r="N566" s="2"/>
    </row>
    <row r="567" spans="9:14" x14ac:dyDescent="0.35">
      <c r="J567" s="2"/>
      <c r="K567" s="2"/>
      <c r="L567" s="2"/>
      <c r="M567" s="2"/>
      <c r="N567" s="2"/>
    </row>
    <row r="568" spans="9:14" ht="15" thickBot="1" x14ac:dyDescent="0.4">
      <c r="I568" s="236"/>
      <c r="J568" s="238"/>
      <c r="K568" s="238"/>
      <c r="L568" s="238"/>
      <c r="M568" s="238"/>
      <c r="N568" s="238"/>
    </row>
    <row r="569" spans="9:14" ht="15" thickTop="1" x14ac:dyDescent="0.35">
      <c r="J569" s="2"/>
      <c r="K569" s="2"/>
      <c r="L569" s="2"/>
      <c r="M569" s="2"/>
      <c r="N569" s="2"/>
    </row>
    <row r="570" spans="9:14" x14ac:dyDescent="0.35">
      <c r="J570" s="2"/>
      <c r="K570" s="2"/>
      <c r="L570" s="2"/>
      <c r="M570" s="2"/>
      <c r="N570" s="2"/>
    </row>
    <row r="571" spans="9:14" x14ac:dyDescent="0.35">
      <c r="J571" s="2"/>
      <c r="K571" s="2"/>
      <c r="L571" s="2"/>
      <c r="M571" s="2"/>
      <c r="N571" s="2"/>
    </row>
    <row r="572" spans="9:14" x14ac:dyDescent="0.35">
      <c r="I572" s="5"/>
      <c r="J572" s="235"/>
      <c r="K572" s="235"/>
      <c r="L572" s="235"/>
      <c r="M572" s="235"/>
      <c r="N572" s="235"/>
    </row>
    <row r="573" spans="9:14" x14ac:dyDescent="0.35">
      <c r="I573" s="6"/>
      <c r="J573" s="7"/>
      <c r="K573" s="7"/>
      <c r="L573" s="7"/>
      <c r="M573" s="7"/>
      <c r="N573" s="7"/>
    </row>
    <row r="574" spans="9:14" x14ac:dyDescent="0.35">
      <c r="I574" s="16"/>
      <c r="J574" s="23"/>
      <c r="K574" s="23"/>
      <c r="L574" s="23"/>
      <c r="M574" s="23"/>
      <c r="N574" s="17"/>
    </row>
    <row r="575" spans="9:14" x14ac:dyDescent="0.35">
      <c r="J575" s="2"/>
      <c r="K575" s="2"/>
      <c r="L575" s="2"/>
      <c r="M575" s="2"/>
      <c r="N575" s="2"/>
    </row>
    <row r="576" spans="9:14" x14ac:dyDescent="0.35">
      <c r="J576" s="2"/>
      <c r="K576" s="2"/>
      <c r="L576" s="2"/>
      <c r="M576" s="2"/>
      <c r="N576" s="2"/>
    </row>
    <row r="577" spans="9:14" x14ac:dyDescent="0.35">
      <c r="J577" s="2"/>
      <c r="K577" s="2"/>
      <c r="L577" s="2"/>
      <c r="M577" s="2"/>
      <c r="N577" s="2"/>
    </row>
    <row r="578" spans="9:14" x14ac:dyDescent="0.35">
      <c r="I578" s="239"/>
      <c r="J578" s="235"/>
      <c r="K578" s="235"/>
      <c r="L578" s="235"/>
      <c r="M578" s="235"/>
      <c r="N578" s="235"/>
    </row>
    <row r="579" spans="9:14" ht="15" thickBot="1" x14ac:dyDescent="0.4">
      <c r="I579" s="236"/>
      <c r="J579" s="237"/>
      <c r="K579" s="237"/>
      <c r="L579" s="237"/>
      <c r="M579" s="237"/>
      <c r="N579" s="237"/>
    </row>
    <row r="580" spans="9:14" ht="15" thickTop="1" x14ac:dyDescent="0.35">
      <c r="J580" s="2"/>
      <c r="K580" s="2"/>
      <c r="L580" s="2"/>
      <c r="M580" s="2"/>
      <c r="N580" s="2"/>
    </row>
    <row r="581" spans="9:14" x14ac:dyDescent="0.35">
      <c r="J581" s="2"/>
      <c r="K581" s="2"/>
      <c r="L581" s="2"/>
      <c r="M581" s="2"/>
      <c r="N581" s="2"/>
    </row>
    <row r="582" spans="9:14" x14ac:dyDescent="0.35">
      <c r="J582" s="2"/>
      <c r="K582" s="2"/>
      <c r="L582" s="2"/>
      <c r="M582" s="2"/>
      <c r="N582" s="2"/>
    </row>
    <row r="583" spans="9:14" ht="15" thickBot="1" x14ac:dyDescent="0.4">
      <c r="I583" s="236"/>
      <c r="J583" s="237"/>
      <c r="K583" s="237"/>
      <c r="L583" s="237"/>
      <c r="M583" s="237"/>
      <c r="N583" s="237"/>
    </row>
    <row r="584" spans="9:14" ht="15" thickTop="1" x14ac:dyDescent="0.35">
      <c r="I584" s="6"/>
      <c r="J584" s="7"/>
      <c r="K584" s="7"/>
      <c r="L584" s="7"/>
      <c r="M584" s="7"/>
      <c r="N584" s="7"/>
    </row>
    <row r="585" spans="9:14" x14ac:dyDescent="0.35">
      <c r="J585" s="2"/>
      <c r="K585" s="2"/>
      <c r="L585" s="2"/>
      <c r="M585" s="2"/>
      <c r="N585" s="2"/>
    </row>
    <row r="586" spans="9:14" x14ac:dyDescent="0.35">
      <c r="J586" s="2"/>
      <c r="K586" s="2"/>
      <c r="L586" s="2"/>
      <c r="M586" s="2"/>
      <c r="N586" s="2"/>
    </row>
    <row r="587" spans="9:14" x14ac:dyDescent="0.35">
      <c r="J587" s="2"/>
      <c r="K587" s="2"/>
      <c r="L587" s="2"/>
      <c r="M587" s="2"/>
      <c r="N587" s="2"/>
    </row>
    <row r="588" spans="9:14" x14ac:dyDescent="0.35">
      <c r="J588" s="2"/>
      <c r="K588" s="2"/>
      <c r="L588" s="2"/>
      <c r="M588" s="2"/>
      <c r="N588" s="2"/>
    </row>
    <row r="589" spans="9:14" x14ac:dyDescent="0.35">
      <c r="J589" s="2"/>
      <c r="K589" s="2"/>
      <c r="L589" s="2"/>
      <c r="M589" s="2"/>
      <c r="N589" s="2"/>
    </row>
    <row r="590" spans="9:14" x14ac:dyDescent="0.35">
      <c r="J590" s="2"/>
      <c r="K590" s="2"/>
      <c r="L590" s="2"/>
      <c r="M590" s="2"/>
      <c r="N590" s="2"/>
    </row>
    <row r="591" spans="9:14" x14ac:dyDescent="0.35">
      <c r="J591" s="2"/>
      <c r="K591" s="2"/>
      <c r="L591" s="2"/>
      <c r="M591" s="2"/>
      <c r="N591" s="2"/>
    </row>
    <row r="592" spans="9:14" x14ac:dyDescent="0.35">
      <c r="J592" s="2"/>
      <c r="K592" s="2"/>
      <c r="L592" s="2"/>
      <c r="M592" s="2"/>
      <c r="N592" s="2"/>
    </row>
    <row r="593" spans="9:14" x14ac:dyDescent="0.35">
      <c r="J593" s="2"/>
      <c r="K593" s="2"/>
      <c r="L593" s="2"/>
      <c r="M593" s="2"/>
      <c r="N593" s="2"/>
    </row>
    <row r="594" spans="9:14" x14ac:dyDescent="0.35">
      <c r="J594" s="2"/>
      <c r="K594" s="2"/>
      <c r="L594" s="2"/>
      <c r="M594" s="2"/>
      <c r="N594" s="2"/>
    </row>
    <row r="595" spans="9:14" x14ac:dyDescent="0.35">
      <c r="I595" s="5"/>
      <c r="J595" s="235"/>
      <c r="K595" s="235"/>
      <c r="L595" s="235"/>
      <c r="M595" s="235"/>
      <c r="N595" s="235"/>
    </row>
    <row r="596" spans="9:14" x14ac:dyDescent="0.35">
      <c r="I596" s="240"/>
      <c r="J596" s="241"/>
      <c r="K596" s="241"/>
      <c r="L596" s="241"/>
      <c r="M596" s="241"/>
      <c r="N596" s="241"/>
    </row>
    <row r="597" spans="9:14" x14ac:dyDescent="0.35">
      <c r="J597" s="2"/>
      <c r="K597" s="2"/>
      <c r="L597" s="2"/>
      <c r="M597" s="2"/>
      <c r="N597" s="2"/>
    </row>
    <row r="598" spans="9:14" x14ac:dyDescent="0.35">
      <c r="I598" s="242"/>
      <c r="J598" s="243"/>
      <c r="K598" s="243"/>
      <c r="L598" s="243"/>
      <c r="M598" s="243"/>
      <c r="N598" s="243"/>
    </row>
    <row r="599" spans="9:14" x14ac:dyDescent="0.35">
      <c r="J599" s="2"/>
      <c r="K599" s="2"/>
      <c r="L599" s="2"/>
      <c r="M599" s="2"/>
      <c r="N599" s="2"/>
    </row>
    <row r="600" spans="9:14" x14ac:dyDescent="0.35">
      <c r="I600" s="242"/>
      <c r="J600" s="244"/>
      <c r="K600" s="244"/>
      <c r="L600" s="244"/>
      <c r="M600" s="244"/>
      <c r="N600" s="244"/>
    </row>
    <row r="601" spans="9:14" x14ac:dyDescent="0.35">
      <c r="I601" s="234"/>
      <c r="J601" s="251"/>
      <c r="K601" s="251"/>
      <c r="L601" s="251"/>
      <c r="M601" s="251"/>
      <c r="N601" s="251"/>
    </row>
    <row r="602" spans="9:14" x14ac:dyDescent="0.35">
      <c r="J602" s="233"/>
      <c r="K602" s="233"/>
      <c r="L602" s="233"/>
      <c r="M602" s="233"/>
      <c r="N602" s="233"/>
    </row>
    <row r="603" spans="9:14" x14ac:dyDescent="0.35">
      <c r="J603" s="233"/>
      <c r="K603" s="233"/>
      <c r="L603" s="233"/>
      <c r="M603" s="233"/>
      <c r="N603" s="233"/>
    </row>
    <row r="604" spans="9:14" x14ac:dyDescent="0.35">
      <c r="J604" s="233"/>
      <c r="K604" s="233"/>
      <c r="L604" s="233"/>
      <c r="M604" s="233"/>
      <c r="N604" s="233"/>
    </row>
    <row r="605" spans="9:14" x14ac:dyDescent="0.35">
      <c r="J605" s="233"/>
      <c r="K605" s="233"/>
      <c r="L605" s="233"/>
      <c r="M605" s="233"/>
      <c r="N605" s="233"/>
    </row>
    <row r="606" spans="9:14" x14ac:dyDescent="0.35">
      <c r="J606" s="233"/>
      <c r="K606" s="233"/>
      <c r="L606" s="233"/>
      <c r="M606" s="233"/>
      <c r="N606" s="233"/>
    </row>
    <row r="607" spans="9:14" x14ac:dyDescent="0.35">
      <c r="J607" s="233"/>
      <c r="K607" s="233"/>
      <c r="L607" s="233"/>
      <c r="M607" s="233"/>
      <c r="N607" s="233"/>
    </row>
    <row r="608" spans="9:14" x14ac:dyDescent="0.35">
      <c r="J608" s="233"/>
      <c r="K608" s="233"/>
      <c r="L608" s="233"/>
      <c r="M608" s="233"/>
      <c r="N608" s="233"/>
    </row>
  </sheetData>
  <mergeCells count="23">
    <mergeCell ref="AD304:AI304"/>
    <mergeCell ref="W381:AB381"/>
    <mergeCell ref="B2:G2"/>
    <mergeCell ref="B150:G150"/>
    <mergeCell ref="I227:N227"/>
    <mergeCell ref="W304:AB304"/>
    <mergeCell ref="W227:AB227"/>
    <mergeCell ref="I304:N304"/>
    <mergeCell ref="B227:G227"/>
    <mergeCell ref="B75:G75"/>
    <mergeCell ref="P227:U227"/>
    <mergeCell ref="P304:U304"/>
    <mergeCell ref="B304:G304"/>
    <mergeCell ref="I535:N535"/>
    <mergeCell ref="I458:N458"/>
    <mergeCell ref="P381:U381"/>
    <mergeCell ref="AD381:AI381"/>
    <mergeCell ref="B381:G381"/>
    <mergeCell ref="I381:N381"/>
    <mergeCell ref="P458:U458"/>
    <mergeCell ref="W458:AB458"/>
    <mergeCell ref="AD458:AI458"/>
    <mergeCell ref="B458:G45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76C6F-BE65-47F9-9D92-80D78400E083}">
  <sheetPr>
    <tabColor theme="9" tint="-0.249977111117893"/>
  </sheetPr>
  <dimension ref="A1:AD604"/>
  <sheetViews>
    <sheetView zoomScaleNormal="100" workbookViewId="0">
      <pane xSplit="1" ySplit="2" topLeftCell="Z454" activePane="bottomRight" state="frozen"/>
      <selection activeCell="D11" sqref="A1:XFD1048576"/>
      <selection pane="topRight" activeCell="D11" sqref="A1:XFD1048576"/>
      <selection pane="bottomLeft" activeCell="D11" sqref="A1:XFD1048576"/>
      <selection pane="bottomRight" activeCell="D11" sqref="A1:XFD1048576"/>
    </sheetView>
  </sheetViews>
  <sheetFormatPr defaultRowHeight="14.5" x14ac:dyDescent="0.35"/>
  <cols>
    <col min="1" max="1" width="48.54296875" bestFit="1" customWidth="1"/>
    <col min="2" max="2" width="31.453125" bestFit="1" customWidth="1"/>
    <col min="3" max="3" width="33.81640625" bestFit="1" customWidth="1"/>
    <col min="4" max="4" width="17.81640625" style="2" bestFit="1" customWidth="1"/>
    <col min="5" max="5" width="15" customWidth="1"/>
    <col min="6" max="6" width="48.54296875" bestFit="1" customWidth="1"/>
    <col min="7" max="7" width="31.1796875" bestFit="1" customWidth="1"/>
    <col min="8" max="8" width="33.81640625" bestFit="1" customWidth="1"/>
    <col min="9" max="9" width="17.1796875" bestFit="1" customWidth="1"/>
    <col min="10" max="10" width="15" bestFit="1" customWidth="1"/>
    <col min="11" max="11" width="50.1796875" bestFit="1" customWidth="1"/>
    <col min="12" max="12" width="31.1796875" bestFit="1" customWidth="1"/>
    <col min="13" max="13" width="33.81640625" bestFit="1" customWidth="1"/>
    <col min="14" max="14" width="16.81640625" bestFit="1" customWidth="1"/>
    <col min="15" max="15" width="15" customWidth="1"/>
    <col min="16" max="16" width="48.54296875" bestFit="1" customWidth="1"/>
    <col min="17" max="17" width="31.1796875" bestFit="1" customWidth="1"/>
    <col min="18" max="18" width="33.81640625" bestFit="1" customWidth="1"/>
    <col min="19" max="19" width="17.81640625" bestFit="1" customWidth="1"/>
    <col min="20" max="20" width="15" bestFit="1" customWidth="1"/>
    <col min="21" max="21" width="48.54296875" bestFit="1" customWidth="1"/>
    <col min="22" max="22" width="31.1796875" bestFit="1" customWidth="1"/>
    <col min="23" max="23" width="33.81640625" bestFit="1" customWidth="1"/>
    <col min="24" max="24" width="17.26953125" bestFit="1" customWidth="1"/>
    <col min="25" max="25" width="18.26953125" bestFit="1" customWidth="1"/>
    <col min="26" max="26" width="48.54296875" bestFit="1" customWidth="1"/>
    <col min="27" max="27" width="31.1796875" bestFit="1" customWidth="1"/>
    <col min="28" max="28" width="33.81640625" bestFit="1" customWidth="1"/>
    <col min="29" max="29" width="16.81640625" bestFit="1" customWidth="1"/>
    <col min="30" max="30" width="11" bestFit="1" customWidth="1"/>
  </cols>
  <sheetData>
    <row r="1" spans="1:4" ht="30" customHeight="1" x14ac:dyDescent="0.35">
      <c r="A1" s="303" t="s">
        <v>147</v>
      </c>
      <c r="B1" s="303"/>
      <c r="C1" s="303"/>
      <c r="D1" s="303"/>
    </row>
    <row r="2" spans="1:4" ht="15.5" x14ac:dyDescent="0.35">
      <c r="A2" s="24"/>
      <c r="B2" s="10" t="s">
        <v>46</v>
      </c>
      <c r="C2" s="10" t="s">
        <v>1</v>
      </c>
      <c r="D2" s="10" t="s">
        <v>48</v>
      </c>
    </row>
    <row r="3" spans="1:4" x14ac:dyDescent="0.35">
      <c r="A3" t="s">
        <v>85</v>
      </c>
      <c r="B3" s="1">
        <v>0</v>
      </c>
      <c r="C3" s="15">
        <v>96501444</v>
      </c>
      <c r="D3" s="15">
        <v>96501444</v>
      </c>
    </row>
    <row r="4" spans="1:4" x14ac:dyDescent="0.35">
      <c r="A4" t="s">
        <v>19</v>
      </c>
      <c r="B4" s="1">
        <v>0</v>
      </c>
      <c r="C4" s="15">
        <v>0</v>
      </c>
      <c r="D4" s="15">
        <v>0</v>
      </c>
    </row>
    <row r="5" spans="1:4" x14ac:dyDescent="0.35">
      <c r="A5" t="s">
        <v>86</v>
      </c>
      <c r="B5" s="1">
        <v>0</v>
      </c>
      <c r="C5" s="15">
        <v>0</v>
      </c>
      <c r="D5" s="15">
        <v>0</v>
      </c>
    </row>
    <row r="6" spans="1:4" x14ac:dyDescent="0.35">
      <c r="A6" t="s">
        <v>87</v>
      </c>
      <c r="B6" s="1">
        <v>0</v>
      </c>
      <c r="C6" s="15">
        <v>-233039</v>
      </c>
      <c r="D6" s="15">
        <v>-233039</v>
      </c>
    </row>
    <row r="7" spans="1:4" x14ac:dyDescent="0.35">
      <c r="A7" s="19" t="s">
        <v>18</v>
      </c>
      <c r="B7" s="20">
        <v>0</v>
      </c>
      <c r="C7" s="20">
        <v>96268405</v>
      </c>
      <c r="D7" s="20">
        <v>96268405</v>
      </c>
    </row>
    <row r="8" spans="1:4" x14ac:dyDescent="0.35">
      <c r="B8" s="1"/>
      <c r="C8" s="15"/>
      <c r="D8" s="15"/>
    </row>
    <row r="9" spans="1:4" x14ac:dyDescent="0.35">
      <c r="B9" s="1"/>
      <c r="C9" s="15"/>
      <c r="D9" s="15"/>
    </row>
    <row r="10" spans="1:4" x14ac:dyDescent="0.35">
      <c r="A10" t="s">
        <v>12</v>
      </c>
      <c r="B10" s="1">
        <v>651128424.31999993</v>
      </c>
      <c r="C10" s="15">
        <v>143901012</v>
      </c>
      <c r="D10" s="15">
        <v>795029436.31999993</v>
      </c>
    </row>
    <row r="11" spans="1:4" x14ac:dyDescent="0.35">
      <c r="A11" t="s">
        <v>3</v>
      </c>
      <c r="B11" s="1">
        <v>-496554298.57000005</v>
      </c>
      <c r="C11" s="15">
        <v>-94038029</v>
      </c>
      <c r="D11" s="15">
        <v>-590592327.57000005</v>
      </c>
    </row>
    <row r="12" spans="1:4" x14ac:dyDescent="0.35">
      <c r="A12" t="s">
        <v>88</v>
      </c>
      <c r="B12" s="1">
        <v>69365690.689999998</v>
      </c>
      <c r="C12" s="15">
        <v>5140042</v>
      </c>
      <c r="D12" s="15">
        <v>74505732.689999998</v>
      </c>
    </row>
    <row r="13" spans="1:4" x14ac:dyDescent="0.35">
      <c r="A13" t="s">
        <v>13</v>
      </c>
      <c r="B13" s="1">
        <v>-22541361.050000001</v>
      </c>
      <c r="C13" s="15">
        <v>-3734643</v>
      </c>
      <c r="D13" s="15">
        <v>-26276004.050000001</v>
      </c>
    </row>
    <row r="14" spans="1:4" x14ac:dyDescent="0.35">
      <c r="A14" s="19" t="s">
        <v>14</v>
      </c>
      <c r="B14" s="20">
        <v>201398455.38999987</v>
      </c>
      <c r="C14" s="20">
        <v>51268382</v>
      </c>
      <c r="D14" s="20">
        <v>252666837.38999987</v>
      </c>
    </row>
    <row r="15" spans="1:4" x14ac:dyDescent="0.35">
      <c r="B15" s="12"/>
      <c r="C15" s="15"/>
      <c r="D15" s="15"/>
    </row>
    <row r="16" spans="1:4" x14ac:dyDescent="0.35">
      <c r="B16" s="12"/>
      <c r="C16" s="15"/>
      <c r="D16" s="15"/>
    </row>
    <row r="17" spans="1:4" x14ac:dyDescent="0.35">
      <c r="A17" t="s">
        <v>15</v>
      </c>
      <c r="B17" s="1">
        <v>0</v>
      </c>
      <c r="C17" s="15">
        <v>31445850</v>
      </c>
      <c r="D17" s="15">
        <v>31445850</v>
      </c>
    </row>
    <row r="18" spans="1:4" x14ac:dyDescent="0.35">
      <c r="A18" t="s">
        <v>16</v>
      </c>
      <c r="B18" s="1">
        <v>0</v>
      </c>
      <c r="C18" s="15">
        <v>-12403954</v>
      </c>
      <c r="D18" s="15">
        <v>-12403954</v>
      </c>
    </row>
    <row r="19" spans="1:4" x14ac:dyDescent="0.35">
      <c r="A19" s="19" t="s">
        <v>17</v>
      </c>
      <c r="B19" s="20">
        <v>0</v>
      </c>
      <c r="C19" s="20">
        <v>19041896</v>
      </c>
      <c r="D19" s="20">
        <v>19041896</v>
      </c>
    </row>
    <row r="20" spans="1:4" x14ac:dyDescent="0.35">
      <c r="B20" s="1"/>
      <c r="C20" s="15"/>
      <c r="D20" s="15"/>
    </row>
    <row r="21" spans="1:4" x14ac:dyDescent="0.35">
      <c r="B21" s="1"/>
      <c r="C21" s="15"/>
      <c r="D21" s="15"/>
    </row>
    <row r="22" spans="1:4" x14ac:dyDescent="0.35">
      <c r="A22" s="16" t="s">
        <v>20</v>
      </c>
      <c r="B22" s="27">
        <v>0</v>
      </c>
      <c r="C22" s="28">
        <v>0</v>
      </c>
      <c r="D22" s="21">
        <v>0</v>
      </c>
    </row>
    <row r="23" spans="1:4" x14ac:dyDescent="0.35">
      <c r="B23" s="1"/>
      <c r="C23" s="15"/>
      <c r="D23" s="15"/>
    </row>
    <row r="24" spans="1:4" x14ac:dyDescent="0.35">
      <c r="A24" t="s">
        <v>0</v>
      </c>
      <c r="B24" s="1">
        <v>0</v>
      </c>
      <c r="C24" s="15">
        <v>3383106727</v>
      </c>
      <c r="D24" s="15">
        <v>3383106727</v>
      </c>
    </row>
    <row r="25" spans="1:4" x14ac:dyDescent="0.35">
      <c r="A25" t="s">
        <v>2</v>
      </c>
      <c r="B25" s="1">
        <v>0</v>
      </c>
      <c r="C25" s="15">
        <v>-3377981453</v>
      </c>
      <c r="D25" s="15">
        <v>-3377981453</v>
      </c>
    </row>
    <row r="26" spans="1:4" x14ac:dyDescent="0.35">
      <c r="A26" s="19" t="s">
        <v>21</v>
      </c>
      <c r="B26" s="20">
        <v>0</v>
      </c>
      <c r="C26" s="20">
        <v>5125274</v>
      </c>
      <c r="D26" s="20">
        <v>5125274</v>
      </c>
    </row>
    <row r="27" spans="1:4" x14ac:dyDescent="0.35">
      <c r="B27" s="2"/>
      <c r="C27" s="15"/>
      <c r="D27" s="15"/>
    </row>
    <row r="28" spans="1:4" x14ac:dyDescent="0.35">
      <c r="B28" s="2"/>
      <c r="C28" s="15"/>
      <c r="D28" s="15"/>
    </row>
    <row r="29" spans="1:4" x14ac:dyDescent="0.35">
      <c r="A29" t="s">
        <v>24</v>
      </c>
      <c r="B29" s="1">
        <v>0</v>
      </c>
      <c r="C29" s="15">
        <v>0</v>
      </c>
      <c r="D29" s="15">
        <v>0</v>
      </c>
    </row>
    <row r="30" spans="1:4" x14ac:dyDescent="0.35">
      <c r="A30" t="s">
        <v>25</v>
      </c>
      <c r="B30" s="1">
        <v>0</v>
      </c>
      <c r="C30" s="15">
        <v>0</v>
      </c>
      <c r="D30" s="15">
        <v>0</v>
      </c>
    </row>
    <row r="31" spans="1:4" x14ac:dyDescent="0.35">
      <c r="A31" t="s">
        <v>26</v>
      </c>
      <c r="B31" s="1">
        <v>0</v>
      </c>
      <c r="C31" s="15">
        <v>0</v>
      </c>
      <c r="D31" s="15">
        <v>0</v>
      </c>
    </row>
    <row r="32" spans="1:4" x14ac:dyDescent="0.35">
      <c r="A32" s="19" t="s">
        <v>101</v>
      </c>
      <c r="B32" s="20">
        <v>0</v>
      </c>
      <c r="C32" s="20">
        <v>0</v>
      </c>
      <c r="D32" s="20">
        <v>0</v>
      </c>
    </row>
    <row r="33" spans="1:4" x14ac:dyDescent="0.35">
      <c r="B33" s="2"/>
      <c r="C33" s="15"/>
      <c r="D33" s="15"/>
    </row>
    <row r="34" spans="1:4" x14ac:dyDescent="0.35">
      <c r="B34" s="2"/>
      <c r="C34" s="15"/>
      <c r="D34" s="15"/>
    </row>
    <row r="35" spans="1:4" x14ac:dyDescent="0.35">
      <c r="A35" t="s">
        <v>27</v>
      </c>
      <c r="B35" s="1">
        <v>0</v>
      </c>
      <c r="C35" s="15">
        <v>0</v>
      </c>
      <c r="D35" s="15">
        <v>0</v>
      </c>
    </row>
    <row r="36" spans="1:4" x14ac:dyDescent="0.35">
      <c r="A36" t="s">
        <v>28</v>
      </c>
      <c r="B36" s="1">
        <v>0</v>
      </c>
      <c r="C36" s="15">
        <v>0</v>
      </c>
      <c r="D36" s="15">
        <v>0</v>
      </c>
    </row>
    <row r="37" spans="1:4" x14ac:dyDescent="0.35">
      <c r="A37" t="s">
        <v>29</v>
      </c>
      <c r="B37" s="1">
        <v>0</v>
      </c>
      <c r="C37" s="15">
        <v>0</v>
      </c>
      <c r="D37" s="15">
        <v>0</v>
      </c>
    </row>
    <row r="38" spans="1:4" x14ac:dyDescent="0.35">
      <c r="A38" t="s">
        <v>30</v>
      </c>
      <c r="B38" s="1">
        <v>0</v>
      </c>
      <c r="C38" s="15">
        <v>0</v>
      </c>
      <c r="D38" s="15">
        <v>0</v>
      </c>
    </row>
    <row r="39" spans="1:4" x14ac:dyDescent="0.35">
      <c r="A39" s="19" t="s">
        <v>90</v>
      </c>
      <c r="B39" s="20">
        <v>0</v>
      </c>
      <c r="C39" s="20">
        <v>0</v>
      </c>
      <c r="D39" s="20">
        <v>0</v>
      </c>
    </row>
    <row r="40" spans="1:4" x14ac:dyDescent="0.35">
      <c r="B40" s="2"/>
      <c r="C40" s="15"/>
      <c r="D40" s="15"/>
    </row>
    <row r="41" spans="1:4" x14ac:dyDescent="0.35">
      <c r="B41" s="2"/>
      <c r="C41" s="15"/>
      <c r="D41" s="15"/>
    </row>
    <row r="42" spans="1:4" x14ac:dyDescent="0.35">
      <c r="A42" s="16" t="s">
        <v>89</v>
      </c>
      <c r="B42" s="27">
        <v>0</v>
      </c>
      <c r="C42" s="28">
        <v>0</v>
      </c>
      <c r="D42" s="21">
        <v>0</v>
      </c>
    </row>
    <row r="43" spans="1:4" x14ac:dyDescent="0.35">
      <c r="B43" s="2"/>
      <c r="C43" s="15"/>
      <c r="D43" s="15"/>
    </row>
    <row r="44" spans="1:4" x14ac:dyDescent="0.35">
      <c r="A44" t="s">
        <v>31</v>
      </c>
      <c r="B44" s="1">
        <v>0</v>
      </c>
      <c r="C44" s="15">
        <v>0</v>
      </c>
      <c r="D44" s="15">
        <v>0</v>
      </c>
    </row>
    <row r="45" spans="1:4" x14ac:dyDescent="0.35">
      <c r="A45" t="s">
        <v>32</v>
      </c>
      <c r="B45" s="1">
        <v>0</v>
      </c>
      <c r="C45" s="15">
        <v>0</v>
      </c>
      <c r="D45" s="15">
        <v>0</v>
      </c>
    </row>
    <row r="46" spans="1:4" x14ac:dyDescent="0.35">
      <c r="A46" s="19" t="s">
        <v>33</v>
      </c>
      <c r="B46" s="20">
        <v>0</v>
      </c>
      <c r="C46" s="20">
        <v>0</v>
      </c>
      <c r="D46" s="20">
        <v>0</v>
      </c>
    </row>
    <row r="47" spans="1:4" x14ac:dyDescent="0.35">
      <c r="B47" s="2"/>
      <c r="C47" s="15"/>
      <c r="D47" s="15"/>
    </row>
    <row r="48" spans="1:4" x14ac:dyDescent="0.35">
      <c r="B48" s="2"/>
      <c r="C48" s="15"/>
      <c r="D48" s="15"/>
    </row>
    <row r="49" spans="1:4" x14ac:dyDescent="0.35">
      <c r="A49" t="s">
        <v>35</v>
      </c>
      <c r="B49" s="1">
        <v>0</v>
      </c>
      <c r="C49" s="15">
        <v>131843</v>
      </c>
      <c r="D49" s="15">
        <v>131843</v>
      </c>
    </row>
    <row r="50" spans="1:4" x14ac:dyDescent="0.35">
      <c r="A50" t="s">
        <v>36</v>
      </c>
      <c r="B50" s="1">
        <v>-69261466.75</v>
      </c>
      <c r="C50" s="15">
        <v>-23517887</v>
      </c>
      <c r="D50" s="15">
        <v>-92779353.75</v>
      </c>
    </row>
    <row r="51" spans="1:4" x14ac:dyDescent="0.35">
      <c r="A51" s="19" t="s">
        <v>37</v>
      </c>
      <c r="B51" s="20">
        <v>-69261466.75</v>
      </c>
      <c r="C51" s="20">
        <v>-23386044</v>
      </c>
      <c r="D51" s="20">
        <v>-92647510.75</v>
      </c>
    </row>
    <row r="52" spans="1:4" x14ac:dyDescent="0.35">
      <c r="B52" s="2"/>
      <c r="C52" s="15"/>
      <c r="D52" s="15"/>
    </row>
    <row r="53" spans="1:4" x14ac:dyDescent="0.35">
      <c r="B53" s="2"/>
      <c r="C53" s="15"/>
      <c r="D53" s="15"/>
    </row>
    <row r="54" spans="1:4" x14ac:dyDescent="0.35">
      <c r="A54" t="s">
        <v>38</v>
      </c>
      <c r="B54" s="1">
        <v>0</v>
      </c>
      <c r="C54" s="15">
        <v>0</v>
      </c>
      <c r="D54" s="15">
        <v>0</v>
      </c>
    </row>
    <row r="55" spans="1:4" x14ac:dyDescent="0.35">
      <c r="A55" t="s">
        <v>78</v>
      </c>
      <c r="B55" s="1">
        <v>0</v>
      </c>
      <c r="C55" s="15">
        <v>-2855440</v>
      </c>
      <c r="D55" s="15">
        <v>-2855440</v>
      </c>
    </row>
    <row r="56" spans="1:4" x14ac:dyDescent="0.35">
      <c r="A56" t="s">
        <v>39</v>
      </c>
      <c r="B56" s="1">
        <v>0</v>
      </c>
      <c r="C56" s="15">
        <v>-7672533</v>
      </c>
      <c r="D56" s="15">
        <v>-7672533</v>
      </c>
    </row>
    <row r="57" spans="1:4" x14ac:dyDescent="0.35">
      <c r="A57" t="s">
        <v>40</v>
      </c>
      <c r="B57" s="1">
        <v>0</v>
      </c>
      <c r="C57" s="15">
        <v>0</v>
      </c>
      <c r="D57" s="15">
        <v>0</v>
      </c>
    </row>
    <row r="58" spans="1:4" x14ac:dyDescent="0.35">
      <c r="A58" t="s">
        <v>41</v>
      </c>
      <c r="B58" s="1">
        <v>0</v>
      </c>
      <c r="C58" s="15">
        <v>-22401</v>
      </c>
      <c r="D58" s="15">
        <v>-22401</v>
      </c>
    </row>
    <row r="59" spans="1:4" x14ac:dyDescent="0.35">
      <c r="A59" t="s">
        <v>42</v>
      </c>
      <c r="B59" s="1">
        <v>0</v>
      </c>
      <c r="C59" s="15">
        <v>0</v>
      </c>
      <c r="D59" s="15">
        <v>0</v>
      </c>
    </row>
    <row r="60" spans="1:4" x14ac:dyDescent="0.35">
      <c r="A60" t="s">
        <v>4</v>
      </c>
      <c r="B60" s="1">
        <v>0</v>
      </c>
      <c r="C60" s="15">
        <v>0</v>
      </c>
      <c r="D60" s="15">
        <v>0</v>
      </c>
    </row>
    <row r="61" spans="1:4" x14ac:dyDescent="0.35">
      <c r="A61" t="s">
        <v>5</v>
      </c>
      <c r="B61" s="1">
        <v>0</v>
      </c>
      <c r="C61" s="15">
        <v>0</v>
      </c>
      <c r="D61" s="15">
        <v>0</v>
      </c>
    </row>
    <row r="62" spans="1:4" x14ac:dyDescent="0.35">
      <c r="A62" t="s">
        <v>182</v>
      </c>
      <c r="B62" s="1">
        <v>0</v>
      </c>
      <c r="C62" s="15">
        <v>0</v>
      </c>
      <c r="D62" s="15">
        <v>0</v>
      </c>
    </row>
    <row r="63" spans="1:4" x14ac:dyDescent="0.35">
      <c r="A63" s="19" t="s">
        <v>11</v>
      </c>
      <c r="B63" s="20">
        <v>0</v>
      </c>
      <c r="C63" s="20">
        <v>-10550374</v>
      </c>
      <c r="D63" s="20">
        <v>-10550374</v>
      </c>
    </row>
    <row r="64" spans="1:4" x14ac:dyDescent="0.35">
      <c r="B64" s="2"/>
      <c r="C64" s="15"/>
      <c r="D64" s="15"/>
    </row>
    <row r="65" spans="1:20" x14ac:dyDescent="0.35">
      <c r="B65" s="2"/>
      <c r="C65" s="15"/>
      <c r="D65" s="15"/>
    </row>
    <row r="66" spans="1:20" x14ac:dyDescent="0.35">
      <c r="A66" s="11" t="s">
        <v>43</v>
      </c>
      <c r="B66" s="4">
        <v>132136988.63999987</v>
      </c>
      <c r="C66" s="4">
        <v>137767539</v>
      </c>
      <c r="D66" s="4">
        <v>269904527.63999987</v>
      </c>
    </row>
    <row r="67" spans="1:20" x14ac:dyDescent="0.35">
      <c r="A67" t="s">
        <v>6</v>
      </c>
      <c r="B67" s="1">
        <v>0</v>
      </c>
      <c r="C67" s="15">
        <v>-31987356</v>
      </c>
      <c r="D67" s="15">
        <v>-31987356</v>
      </c>
    </row>
    <row r="68" spans="1:20" x14ac:dyDescent="0.35">
      <c r="A68" s="11" t="s">
        <v>7</v>
      </c>
      <c r="B68" s="4">
        <v>132136988.63999987</v>
      </c>
      <c r="C68" s="4">
        <v>105780183</v>
      </c>
      <c r="D68" s="4">
        <v>237917171.63999987</v>
      </c>
    </row>
    <row r="69" spans="1:20" x14ac:dyDescent="0.35">
      <c r="A69" t="s">
        <v>8</v>
      </c>
      <c r="B69" s="1">
        <v>0</v>
      </c>
      <c r="C69" s="15">
        <v>-54253965.090959996</v>
      </c>
      <c r="D69" s="2">
        <v>-54253965.090959996</v>
      </c>
    </row>
    <row r="70" spans="1:20" x14ac:dyDescent="0.35">
      <c r="A70" s="11" t="s">
        <v>143</v>
      </c>
      <c r="B70" s="4">
        <v>132136988.63999987</v>
      </c>
      <c r="C70" s="4">
        <v>51526217.909040004</v>
      </c>
      <c r="D70" s="4">
        <v>183663206.54903987</v>
      </c>
    </row>
    <row r="71" spans="1:20" x14ac:dyDescent="0.35">
      <c r="B71" s="3">
        <v>0</v>
      </c>
      <c r="C71" s="3">
        <v>0</v>
      </c>
    </row>
    <row r="72" spans="1:20" x14ac:dyDescent="0.35"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6" spans="1:20" ht="18.5" x14ac:dyDescent="0.35">
      <c r="A76" s="303" t="s">
        <v>144</v>
      </c>
      <c r="B76" s="303"/>
      <c r="C76" s="303"/>
      <c r="D76" s="303"/>
    </row>
    <row r="77" spans="1:20" ht="15.5" x14ac:dyDescent="0.35">
      <c r="A77" s="8"/>
      <c r="B77" s="8" t="s">
        <v>86</v>
      </c>
      <c r="C77" s="10" t="s">
        <v>1</v>
      </c>
      <c r="D77" s="26" t="s">
        <v>48</v>
      </c>
    </row>
    <row r="78" spans="1:20" x14ac:dyDescent="0.35">
      <c r="A78" t="s">
        <v>85</v>
      </c>
      <c r="B78" s="2">
        <v>0</v>
      </c>
      <c r="C78" s="2">
        <v>125586841</v>
      </c>
      <c r="D78" s="2">
        <v>125586841</v>
      </c>
    </row>
    <row r="79" spans="1:20" x14ac:dyDescent="0.35">
      <c r="A79" t="s">
        <v>19</v>
      </c>
      <c r="B79" s="2">
        <v>0</v>
      </c>
      <c r="C79" s="2">
        <v>0</v>
      </c>
      <c r="D79" s="2">
        <v>0</v>
      </c>
    </row>
    <row r="80" spans="1:20" x14ac:dyDescent="0.35">
      <c r="A80" t="s">
        <v>86</v>
      </c>
      <c r="B80" s="2">
        <v>0</v>
      </c>
      <c r="C80" s="2">
        <v>0</v>
      </c>
      <c r="D80" s="2">
        <v>0</v>
      </c>
    </row>
    <row r="81" spans="1:4" x14ac:dyDescent="0.35">
      <c r="A81" t="s">
        <v>87</v>
      </c>
      <c r="B81" s="2">
        <v>0</v>
      </c>
      <c r="C81" s="2">
        <v>-76621</v>
      </c>
      <c r="D81" s="2">
        <v>-76621</v>
      </c>
    </row>
    <row r="82" spans="1:4" ht="16" x14ac:dyDescent="0.5">
      <c r="A82" s="5" t="s">
        <v>18</v>
      </c>
      <c r="B82" s="18">
        <v>0</v>
      </c>
      <c r="C82" s="18">
        <v>125510220</v>
      </c>
      <c r="D82" s="18">
        <v>125510220</v>
      </c>
    </row>
    <row r="83" spans="1:4" x14ac:dyDescent="0.35">
      <c r="B83" s="2"/>
      <c r="C83" s="2"/>
    </row>
    <row r="84" spans="1:4" x14ac:dyDescent="0.35">
      <c r="B84" s="2"/>
      <c r="C84" s="2"/>
    </row>
    <row r="85" spans="1:4" x14ac:dyDescent="0.35">
      <c r="A85" t="s">
        <v>12</v>
      </c>
      <c r="B85" s="2">
        <v>782501976</v>
      </c>
      <c r="C85" s="2">
        <v>114920489</v>
      </c>
      <c r="D85" s="2">
        <v>897422465</v>
      </c>
    </row>
    <row r="86" spans="1:4" x14ac:dyDescent="0.35">
      <c r="A86" t="s">
        <v>88</v>
      </c>
      <c r="B86" s="2">
        <v>83575819</v>
      </c>
      <c r="C86" s="2">
        <v>7572791</v>
      </c>
      <c r="D86" s="2">
        <v>91148610</v>
      </c>
    </row>
    <row r="87" spans="1:4" x14ac:dyDescent="0.35">
      <c r="A87" t="s">
        <v>3</v>
      </c>
      <c r="B87" s="2">
        <v>-659507032</v>
      </c>
      <c r="C87" s="2">
        <v>-91198611</v>
      </c>
      <c r="D87" s="2">
        <v>-750705643</v>
      </c>
    </row>
    <row r="88" spans="1:4" x14ac:dyDescent="0.35">
      <c r="A88" t="s">
        <v>13</v>
      </c>
      <c r="B88" s="2">
        <v>-32391623</v>
      </c>
      <c r="C88" s="2">
        <v>-2999256</v>
      </c>
      <c r="D88" s="2">
        <v>-35390879</v>
      </c>
    </row>
    <row r="89" spans="1:4" ht="16" x14ac:dyDescent="0.5">
      <c r="A89" s="5" t="s">
        <v>14</v>
      </c>
      <c r="B89" s="18">
        <v>174179140</v>
      </c>
      <c r="C89" s="18">
        <v>28295413</v>
      </c>
      <c r="D89" s="18">
        <v>202474553</v>
      </c>
    </row>
    <row r="90" spans="1:4" x14ac:dyDescent="0.35">
      <c r="B90" s="2"/>
      <c r="C90" s="2"/>
    </row>
    <row r="91" spans="1:4" x14ac:dyDescent="0.35">
      <c r="B91" s="2"/>
      <c r="C91" s="2"/>
    </row>
    <row r="92" spans="1:4" x14ac:dyDescent="0.35">
      <c r="A92" t="s">
        <v>15</v>
      </c>
      <c r="B92" s="2">
        <v>0</v>
      </c>
      <c r="C92" s="2">
        <v>16265375</v>
      </c>
      <c r="D92" s="2">
        <v>16265375</v>
      </c>
    </row>
    <row r="93" spans="1:4" x14ac:dyDescent="0.35">
      <c r="A93" t="s">
        <v>16</v>
      </c>
      <c r="B93" s="2">
        <v>0</v>
      </c>
      <c r="C93" s="2">
        <v>-6960993</v>
      </c>
      <c r="D93" s="2">
        <v>-6960993</v>
      </c>
    </row>
    <row r="94" spans="1:4" ht="16" x14ac:dyDescent="0.5">
      <c r="A94" s="5" t="s">
        <v>17</v>
      </c>
      <c r="B94" s="18">
        <v>0</v>
      </c>
      <c r="C94" s="18">
        <v>9304382</v>
      </c>
      <c r="D94" s="18">
        <v>9304382</v>
      </c>
    </row>
    <row r="95" spans="1:4" x14ac:dyDescent="0.35">
      <c r="B95" s="2"/>
      <c r="C95" s="2"/>
    </row>
    <row r="96" spans="1:4" x14ac:dyDescent="0.35">
      <c r="B96" s="2"/>
      <c r="C96" s="2"/>
    </row>
    <row r="97" spans="1:4" x14ac:dyDescent="0.35">
      <c r="A97" t="s">
        <v>20</v>
      </c>
      <c r="B97" s="2">
        <v>0</v>
      </c>
      <c r="C97" s="2">
        <v>0</v>
      </c>
      <c r="D97" s="2">
        <v>0</v>
      </c>
    </row>
    <row r="98" spans="1:4" x14ac:dyDescent="0.35">
      <c r="B98" s="2"/>
      <c r="C98" s="2"/>
    </row>
    <row r="99" spans="1:4" x14ac:dyDescent="0.35">
      <c r="A99" t="s">
        <v>0</v>
      </c>
      <c r="B99" s="2">
        <v>0</v>
      </c>
      <c r="C99" s="2">
        <v>1698430521</v>
      </c>
      <c r="D99" s="2">
        <v>1698430521</v>
      </c>
    </row>
    <row r="100" spans="1:4" x14ac:dyDescent="0.35">
      <c r="A100" t="s">
        <v>2</v>
      </c>
      <c r="B100" s="2">
        <v>0</v>
      </c>
      <c r="C100" s="2">
        <v>-1694146224</v>
      </c>
      <c r="D100" s="2">
        <v>-1694146224</v>
      </c>
    </row>
    <row r="101" spans="1:4" ht="16" x14ac:dyDescent="0.5">
      <c r="A101" s="5" t="s">
        <v>21</v>
      </c>
      <c r="B101" s="18">
        <v>0</v>
      </c>
      <c r="C101" s="18">
        <v>4284297</v>
      </c>
      <c r="D101" s="18">
        <v>4284297</v>
      </c>
    </row>
    <row r="102" spans="1:4" x14ac:dyDescent="0.35">
      <c r="B102" s="2"/>
      <c r="C102" s="2"/>
    </row>
    <row r="103" spans="1:4" x14ac:dyDescent="0.35">
      <c r="B103" s="2"/>
      <c r="C103" s="2"/>
    </row>
    <row r="104" spans="1:4" x14ac:dyDescent="0.35">
      <c r="A104" t="s">
        <v>24</v>
      </c>
      <c r="B104" s="2">
        <v>0</v>
      </c>
      <c r="C104" s="2">
        <v>0</v>
      </c>
      <c r="D104" s="2">
        <v>0</v>
      </c>
    </row>
    <row r="105" spans="1:4" x14ac:dyDescent="0.35">
      <c r="A105" t="s">
        <v>25</v>
      </c>
      <c r="B105" s="2">
        <v>0</v>
      </c>
      <c r="C105" s="2">
        <v>0</v>
      </c>
      <c r="D105" s="2">
        <v>0</v>
      </c>
    </row>
    <row r="106" spans="1:4" x14ac:dyDescent="0.35">
      <c r="A106" t="s">
        <v>26</v>
      </c>
      <c r="B106" s="2">
        <v>0</v>
      </c>
      <c r="C106" s="2">
        <v>0</v>
      </c>
      <c r="D106" s="2">
        <v>0</v>
      </c>
    </row>
    <row r="107" spans="1:4" ht="16" x14ac:dyDescent="0.5">
      <c r="A107" s="5" t="s">
        <v>101</v>
      </c>
      <c r="B107" s="18">
        <v>0</v>
      </c>
      <c r="C107" s="18">
        <v>0</v>
      </c>
      <c r="D107" s="18">
        <v>0</v>
      </c>
    </row>
    <row r="108" spans="1:4" x14ac:dyDescent="0.35">
      <c r="B108" s="2"/>
      <c r="C108" s="2"/>
    </row>
    <row r="109" spans="1:4" x14ac:dyDescent="0.35">
      <c r="B109" s="2"/>
      <c r="C109" s="2"/>
    </row>
    <row r="110" spans="1:4" x14ac:dyDescent="0.35">
      <c r="A110" t="s">
        <v>27</v>
      </c>
      <c r="B110" s="2">
        <v>0</v>
      </c>
      <c r="C110" s="2">
        <v>0</v>
      </c>
      <c r="D110" s="2">
        <v>0</v>
      </c>
    </row>
    <row r="111" spans="1:4" x14ac:dyDescent="0.35">
      <c r="A111" t="s">
        <v>28</v>
      </c>
      <c r="B111" s="2">
        <v>0</v>
      </c>
      <c r="C111" s="2">
        <v>0</v>
      </c>
      <c r="D111" s="2">
        <v>0</v>
      </c>
    </row>
    <row r="112" spans="1:4" x14ac:dyDescent="0.35">
      <c r="A112" t="s">
        <v>29</v>
      </c>
      <c r="B112" s="2">
        <v>0</v>
      </c>
      <c r="C112" s="2">
        <v>0</v>
      </c>
      <c r="D112" s="2">
        <v>0</v>
      </c>
    </row>
    <row r="113" spans="1:4" x14ac:dyDescent="0.35">
      <c r="A113" t="s">
        <v>30</v>
      </c>
      <c r="B113" s="2">
        <v>0</v>
      </c>
      <c r="C113" s="2">
        <v>0</v>
      </c>
      <c r="D113" s="2">
        <v>0</v>
      </c>
    </row>
    <row r="114" spans="1:4" ht="16" x14ac:dyDescent="0.5">
      <c r="A114" s="5" t="s">
        <v>90</v>
      </c>
      <c r="B114" s="18">
        <v>0</v>
      </c>
      <c r="C114" s="18">
        <v>0</v>
      </c>
      <c r="D114" s="18">
        <v>0</v>
      </c>
    </row>
    <row r="115" spans="1:4" x14ac:dyDescent="0.35">
      <c r="B115" s="2"/>
      <c r="C115" s="2"/>
    </row>
    <row r="116" spans="1:4" x14ac:dyDescent="0.35">
      <c r="B116" s="2"/>
      <c r="C116" s="2"/>
    </row>
    <row r="117" spans="1:4" x14ac:dyDescent="0.35">
      <c r="A117" s="16" t="s">
        <v>89</v>
      </c>
      <c r="B117" s="23">
        <v>0</v>
      </c>
      <c r="C117" s="23">
        <v>0</v>
      </c>
      <c r="D117" s="17">
        <v>0</v>
      </c>
    </row>
    <row r="118" spans="1:4" x14ac:dyDescent="0.35">
      <c r="B118" s="2"/>
      <c r="C118" s="2"/>
    </row>
    <row r="119" spans="1:4" x14ac:dyDescent="0.35">
      <c r="B119" s="2"/>
      <c r="C119" s="2"/>
    </row>
    <row r="120" spans="1:4" x14ac:dyDescent="0.35">
      <c r="B120" s="2"/>
      <c r="C120" s="2"/>
    </row>
    <row r="121" spans="1:4" x14ac:dyDescent="0.35">
      <c r="A121" t="s">
        <v>31</v>
      </c>
      <c r="B121" s="2">
        <v>0</v>
      </c>
      <c r="C121" s="2">
        <v>0</v>
      </c>
      <c r="D121" s="2">
        <v>0</v>
      </c>
    </row>
    <row r="122" spans="1:4" x14ac:dyDescent="0.35">
      <c r="A122" t="s">
        <v>32</v>
      </c>
      <c r="B122" s="2">
        <v>0</v>
      </c>
      <c r="C122" s="2">
        <v>0</v>
      </c>
      <c r="D122" s="2">
        <v>0</v>
      </c>
    </row>
    <row r="123" spans="1:4" ht="16" x14ac:dyDescent="0.5">
      <c r="A123" s="5" t="s">
        <v>33</v>
      </c>
      <c r="B123" s="18">
        <v>0</v>
      </c>
      <c r="C123" s="18">
        <v>0</v>
      </c>
      <c r="D123" s="18">
        <v>0</v>
      </c>
    </row>
    <row r="124" spans="1:4" x14ac:dyDescent="0.35">
      <c r="B124" s="2"/>
      <c r="C124" s="2"/>
    </row>
    <row r="125" spans="1:4" x14ac:dyDescent="0.35">
      <c r="B125" s="2"/>
      <c r="C125" s="2"/>
    </row>
    <row r="126" spans="1:4" x14ac:dyDescent="0.35">
      <c r="A126" t="s">
        <v>35</v>
      </c>
      <c r="B126" s="2">
        <v>0</v>
      </c>
      <c r="C126" s="2">
        <v>91</v>
      </c>
      <c r="D126" s="2">
        <v>91</v>
      </c>
    </row>
    <row r="127" spans="1:4" x14ac:dyDescent="0.35">
      <c r="A127" t="s">
        <v>36</v>
      </c>
      <c r="B127" s="2">
        <v>-88959142</v>
      </c>
      <c r="C127" s="2">
        <v>-22416325</v>
      </c>
      <c r="D127" s="2">
        <v>-111375467</v>
      </c>
    </row>
    <row r="128" spans="1:4" ht="16" x14ac:dyDescent="0.5">
      <c r="A128" s="5" t="s">
        <v>37</v>
      </c>
      <c r="B128" s="18">
        <v>-88959142</v>
      </c>
      <c r="C128" s="18">
        <v>-22416234</v>
      </c>
      <c r="D128" s="18">
        <v>-111375376</v>
      </c>
    </row>
    <row r="129" spans="1:4" x14ac:dyDescent="0.35">
      <c r="B129" s="2"/>
      <c r="C129" s="2"/>
    </row>
    <row r="130" spans="1:4" x14ac:dyDescent="0.35">
      <c r="B130" s="2"/>
      <c r="C130" s="2"/>
    </row>
    <row r="131" spans="1:4" x14ac:dyDescent="0.35">
      <c r="A131" t="s">
        <v>47</v>
      </c>
      <c r="B131" s="2">
        <v>0</v>
      </c>
      <c r="C131" s="2">
        <v>0</v>
      </c>
      <c r="D131" s="2">
        <v>0</v>
      </c>
    </row>
    <row r="132" spans="1:4" x14ac:dyDescent="0.35">
      <c r="A132" t="s">
        <v>78</v>
      </c>
      <c r="B132" s="2">
        <v>0</v>
      </c>
      <c r="C132" s="2">
        <v>-2590431</v>
      </c>
      <c r="D132" s="2">
        <v>-2590431</v>
      </c>
    </row>
    <row r="133" spans="1:4" x14ac:dyDescent="0.35">
      <c r="A133" t="s">
        <v>39</v>
      </c>
      <c r="B133" s="2">
        <v>0</v>
      </c>
      <c r="C133" s="2">
        <v>-2796589</v>
      </c>
      <c r="D133" s="2">
        <v>-2796589</v>
      </c>
    </row>
    <row r="134" spans="1:4" x14ac:dyDescent="0.35">
      <c r="A134" t="s">
        <v>40</v>
      </c>
      <c r="B134" s="2">
        <v>0</v>
      </c>
      <c r="C134" s="2">
        <v>0</v>
      </c>
      <c r="D134" s="2">
        <v>0</v>
      </c>
    </row>
    <row r="135" spans="1:4" x14ac:dyDescent="0.35">
      <c r="A135" t="s">
        <v>41</v>
      </c>
      <c r="B135" s="2">
        <v>0</v>
      </c>
      <c r="C135" s="2">
        <v>-94601</v>
      </c>
      <c r="D135" s="2">
        <v>-94601</v>
      </c>
    </row>
    <row r="136" spans="1:4" x14ac:dyDescent="0.35">
      <c r="A136" t="s">
        <v>42</v>
      </c>
      <c r="B136" s="2">
        <v>0</v>
      </c>
      <c r="C136" s="2">
        <v>0</v>
      </c>
      <c r="D136" s="2">
        <v>0</v>
      </c>
    </row>
    <row r="137" spans="1:4" x14ac:dyDescent="0.35">
      <c r="A137" t="s">
        <v>4</v>
      </c>
      <c r="B137" s="2">
        <v>0</v>
      </c>
      <c r="C137" s="2">
        <v>-6092</v>
      </c>
      <c r="D137" s="2">
        <v>-6092</v>
      </c>
    </row>
    <row r="138" spans="1:4" x14ac:dyDescent="0.35">
      <c r="A138" t="s">
        <v>5</v>
      </c>
      <c r="B138" s="2">
        <v>0</v>
      </c>
      <c r="C138" s="2">
        <v>0</v>
      </c>
      <c r="D138" s="2">
        <v>0</v>
      </c>
    </row>
    <row r="139" spans="1:4" x14ac:dyDescent="0.35">
      <c r="A139" t="s">
        <v>182</v>
      </c>
      <c r="B139" s="2">
        <v>0</v>
      </c>
      <c r="C139" s="2">
        <v>-1052348</v>
      </c>
      <c r="D139" s="2">
        <v>-1052348</v>
      </c>
    </row>
    <row r="140" spans="1:4" ht="16" x14ac:dyDescent="0.5">
      <c r="A140" s="5" t="s">
        <v>11</v>
      </c>
      <c r="B140" s="18">
        <v>0</v>
      </c>
      <c r="C140" s="18">
        <v>-6540061</v>
      </c>
      <c r="D140" s="18">
        <v>-6540061</v>
      </c>
    </row>
    <row r="141" spans="1:4" x14ac:dyDescent="0.35">
      <c r="B141" s="2"/>
      <c r="C141" s="2"/>
    </row>
    <row r="142" spans="1:4" x14ac:dyDescent="0.35">
      <c r="B142" s="2"/>
      <c r="C142" s="2"/>
    </row>
    <row r="143" spans="1:4" x14ac:dyDescent="0.35">
      <c r="A143" s="11" t="s">
        <v>43</v>
      </c>
      <c r="B143" s="4">
        <v>85219998</v>
      </c>
      <c r="C143" s="4">
        <v>138438017</v>
      </c>
      <c r="D143" s="4">
        <v>223658015</v>
      </c>
    </row>
    <row r="144" spans="1:4" x14ac:dyDescent="0.35">
      <c r="A144" t="s">
        <v>6</v>
      </c>
      <c r="B144" s="2">
        <v>0</v>
      </c>
      <c r="C144" s="2">
        <v>-31178020</v>
      </c>
      <c r="D144" s="2">
        <v>-31178020</v>
      </c>
    </row>
    <row r="145" spans="1:29" x14ac:dyDescent="0.35">
      <c r="A145" s="11" t="s">
        <v>7</v>
      </c>
      <c r="B145" s="4">
        <v>85219998</v>
      </c>
      <c r="C145" s="4">
        <v>107259997</v>
      </c>
      <c r="D145" s="4">
        <v>192479995</v>
      </c>
      <c r="V145" s="3"/>
      <c r="W145" s="3"/>
      <c r="X145" s="3"/>
      <c r="Y145" s="3"/>
      <c r="AA145" s="3"/>
      <c r="AB145" s="3"/>
    </row>
    <row r="146" spans="1:29" x14ac:dyDescent="0.35">
      <c r="A146" t="s">
        <v>8</v>
      </c>
      <c r="B146" s="2">
        <v>0</v>
      </c>
      <c r="C146" s="2">
        <v>-53576689.012999997</v>
      </c>
      <c r="D146" s="2">
        <v>-53576689.012999997</v>
      </c>
      <c r="V146" s="3"/>
      <c r="W146" s="3"/>
      <c r="X146" s="3"/>
      <c r="Y146" s="3"/>
      <c r="AA146" s="3"/>
      <c r="AB146" s="3"/>
    </row>
    <row r="147" spans="1:29" x14ac:dyDescent="0.35">
      <c r="A147" s="11" t="s">
        <v>143</v>
      </c>
      <c r="B147" s="4">
        <v>85219998</v>
      </c>
      <c r="C147" s="4">
        <v>53683307.987000003</v>
      </c>
      <c r="D147" s="4">
        <v>138903305.98699999</v>
      </c>
      <c r="V147" s="3"/>
      <c r="W147" s="3"/>
      <c r="X147" s="3"/>
      <c r="Y147" s="3"/>
      <c r="AA147" s="3"/>
      <c r="AB147" s="3"/>
    </row>
    <row r="148" spans="1:29" x14ac:dyDescent="0.35">
      <c r="B148" s="3">
        <v>0</v>
      </c>
      <c r="C148" s="3">
        <v>0</v>
      </c>
      <c r="V148" s="3"/>
      <c r="W148" s="3"/>
      <c r="X148" s="3"/>
      <c r="Y148" s="3"/>
      <c r="AA148" s="3"/>
      <c r="AB148" s="3"/>
    </row>
    <row r="149" spans="1:29" x14ac:dyDescent="0.35">
      <c r="V149" s="3"/>
      <c r="W149" s="3"/>
      <c r="X149" s="3"/>
      <c r="Y149" s="3"/>
      <c r="AA149" s="3"/>
      <c r="AB149" s="3"/>
    </row>
    <row r="151" spans="1:29" ht="18.5" x14ac:dyDescent="0.35">
      <c r="A151" s="303" t="s">
        <v>145</v>
      </c>
      <c r="B151" s="303"/>
      <c r="C151" s="303"/>
      <c r="D151" s="303"/>
      <c r="U151" s="135" t="s">
        <v>153</v>
      </c>
      <c r="V151" s="135"/>
      <c r="W151" s="135"/>
      <c r="X151" s="135"/>
      <c r="Z151" s="135" t="s">
        <v>155</v>
      </c>
      <c r="AA151" s="135"/>
      <c r="AB151" s="135"/>
      <c r="AC151" s="135"/>
    </row>
    <row r="152" spans="1:29" ht="15.5" x14ac:dyDescent="0.35">
      <c r="A152" s="8"/>
      <c r="B152" s="8" t="s">
        <v>86</v>
      </c>
      <c r="C152" s="10" t="s">
        <v>1</v>
      </c>
      <c r="D152" s="26" t="s">
        <v>48</v>
      </c>
      <c r="U152" s="24"/>
      <c r="V152" s="10" t="s">
        <v>46</v>
      </c>
      <c r="W152" s="10" t="s">
        <v>1</v>
      </c>
      <c r="X152" s="26" t="s">
        <v>48</v>
      </c>
      <c r="Z152" s="24"/>
      <c r="AA152" s="10" t="s">
        <v>46</v>
      </c>
      <c r="AB152" s="10" t="s">
        <v>1</v>
      </c>
      <c r="AC152" s="26" t="s">
        <v>48</v>
      </c>
    </row>
    <row r="153" spans="1:29" x14ac:dyDescent="0.35">
      <c r="A153" t="s">
        <v>85</v>
      </c>
      <c r="B153" s="2">
        <v>0</v>
      </c>
      <c r="C153" s="2">
        <v>45790360.430000007</v>
      </c>
      <c r="D153" s="2">
        <v>45790360.430000007</v>
      </c>
      <c r="U153" t="s">
        <v>85</v>
      </c>
      <c r="V153" s="1">
        <v>0</v>
      </c>
      <c r="W153" s="15">
        <v>23299600</v>
      </c>
      <c r="X153" s="2">
        <v>23299600</v>
      </c>
      <c r="Z153" t="s">
        <v>85</v>
      </c>
      <c r="AA153" s="1">
        <v>0</v>
      </c>
      <c r="AB153" s="1">
        <v>22490760.430000007</v>
      </c>
      <c r="AC153" s="2">
        <v>22490760.430000007</v>
      </c>
    </row>
    <row r="154" spans="1:29" x14ac:dyDescent="0.35">
      <c r="A154" t="s">
        <v>19</v>
      </c>
      <c r="B154" s="2">
        <v>0</v>
      </c>
      <c r="C154" s="2">
        <v>0</v>
      </c>
      <c r="D154" s="2">
        <v>0</v>
      </c>
      <c r="U154" t="s">
        <v>19</v>
      </c>
      <c r="V154" s="1">
        <v>0</v>
      </c>
      <c r="W154" s="15">
        <v>0</v>
      </c>
      <c r="X154" s="2">
        <v>0</v>
      </c>
      <c r="Z154" t="s">
        <v>19</v>
      </c>
      <c r="AA154" s="1">
        <v>0</v>
      </c>
      <c r="AB154" s="1">
        <v>0</v>
      </c>
      <c r="AC154" s="2">
        <v>0</v>
      </c>
    </row>
    <row r="155" spans="1:29" x14ac:dyDescent="0.35">
      <c r="A155" t="s">
        <v>86</v>
      </c>
      <c r="B155" s="2">
        <v>0</v>
      </c>
      <c r="C155" s="2">
        <v>0</v>
      </c>
      <c r="D155" s="2">
        <v>0</v>
      </c>
      <c r="U155" t="s">
        <v>86</v>
      </c>
      <c r="V155" s="1">
        <v>0</v>
      </c>
      <c r="W155" s="15">
        <v>0</v>
      </c>
      <c r="X155" s="2">
        <v>0</v>
      </c>
      <c r="Z155" t="s">
        <v>86</v>
      </c>
      <c r="AA155" s="1">
        <v>0</v>
      </c>
      <c r="AB155" s="1">
        <v>0</v>
      </c>
      <c r="AC155" s="2">
        <v>0</v>
      </c>
    </row>
    <row r="156" spans="1:29" x14ac:dyDescent="0.35">
      <c r="A156" t="s">
        <v>87</v>
      </c>
      <c r="B156" s="2">
        <v>0</v>
      </c>
      <c r="C156" s="2">
        <v>-6441.67</v>
      </c>
      <c r="D156" s="2">
        <v>-6441.67</v>
      </c>
      <c r="U156" t="s">
        <v>87</v>
      </c>
      <c r="V156" s="1">
        <v>0</v>
      </c>
      <c r="W156" s="15">
        <v>-6442</v>
      </c>
      <c r="X156" s="2">
        <v>-6442</v>
      </c>
      <c r="Z156" t="s">
        <v>87</v>
      </c>
      <c r="AA156" s="1">
        <v>0</v>
      </c>
      <c r="AB156" s="1">
        <v>0.32999999999992724</v>
      </c>
      <c r="AC156" s="2">
        <v>0.32999999999992724</v>
      </c>
    </row>
    <row r="157" spans="1:29" x14ac:dyDescent="0.35">
      <c r="A157" s="19" t="s">
        <v>18</v>
      </c>
      <c r="B157" s="20">
        <v>0</v>
      </c>
      <c r="C157" s="20">
        <v>45783918.760000005</v>
      </c>
      <c r="D157" s="20">
        <v>45783918.760000005</v>
      </c>
      <c r="U157" s="19" t="s">
        <v>18</v>
      </c>
      <c r="V157" s="20">
        <v>0</v>
      </c>
      <c r="W157" s="20">
        <v>23293158</v>
      </c>
      <c r="X157" s="20">
        <v>23293158</v>
      </c>
      <c r="Z157" s="19" t="s">
        <v>18</v>
      </c>
      <c r="AA157" s="20">
        <v>0</v>
      </c>
      <c r="AB157" s="20">
        <v>22490760.760000005</v>
      </c>
      <c r="AC157" s="20">
        <v>22490760.760000005</v>
      </c>
    </row>
    <row r="158" spans="1:29" x14ac:dyDescent="0.35">
      <c r="B158" s="2"/>
      <c r="C158" s="2"/>
      <c r="V158" s="1"/>
      <c r="W158" s="15"/>
      <c r="X158" s="2"/>
      <c r="AA158" s="1"/>
      <c r="AB158" s="15"/>
      <c r="AC158" s="2"/>
    </row>
    <row r="159" spans="1:29" x14ac:dyDescent="0.35">
      <c r="B159" s="2"/>
      <c r="C159" s="2"/>
      <c r="V159" s="1"/>
      <c r="W159" s="15"/>
      <c r="X159" s="2"/>
      <c r="AA159" s="1"/>
      <c r="AB159" s="15"/>
      <c r="AC159" s="2"/>
    </row>
    <row r="160" spans="1:29" x14ac:dyDescent="0.35">
      <c r="A160" t="s">
        <v>12</v>
      </c>
      <c r="B160" s="2">
        <v>670175758.7700001</v>
      </c>
      <c r="C160" s="2">
        <v>49479880.480000004</v>
      </c>
      <c r="D160" s="2">
        <v>719655639.25000012</v>
      </c>
      <c r="U160" t="s">
        <v>12</v>
      </c>
      <c r="V160" s="1">
        <v>516760604</v>
      </c>
      <c r="W160" s="15">
        <v>35431357</v>
      </c>
      <c r="X160" s="2">
        <v>552191961</v>
      </c>
      <c r="Z160" t="s">
        <v>12</v>
      </c>
      <c r="AA160" s="1">
        <v>153415154.7700001</v>
      </c>
      <c r="AB160" s="1">
        <v>14048523.480000004</v>
      </c>
      <c r="AC160" s="2">
        <v>167463678.25000012</v>
      </c>
    </row>
    <row r="161" spans="1:29" x14ac:dyDescent="0.35">
      <c r="A161" t="s">
        <v>3</v>
      </c>
      <c r="B161" s="2">
        <v>-580684132</v>
      </c>
      <c r="C161" s="2">
        <v>-22419625.589999996</v>
      </c>
      <c r="D161" s="2">
        <v>-603103757.59000003</v>
      </c>
      <c r="U161" t="s">
        <v>3</v>
      </c>
      <c r="V161" s="1">
        <v>-457231569</v>
      </c>
      <c r="W161" s="15">
        <v>-15714476</v>
      </c>
      <c r="X161" s="2">
        <v>-472946045</v>
      </c>
      <c r="Z161" t="s">
        <v>3</v>
      </c>
      <c r="AA161" s="1">
        <v>-123452563</v>
      </c>
      <c r="AB161" s="1">
        <v>-6705149.5899999961</v>
      </c>
      <c r="AC161" s="2">
        <v>-130157712.59</v>
      </c>
    </row>
    <row r="162" spans="1:29" x14ac:dyDescent="0.35">
      <c r="A162" t="s">
        <v>88</v>
      </c>
      <c r="B162" s="2">
        <v>47654477</v>
      </c>
      <c r="C162" s="2">
        <v>7453598.4399999995</v>
      </c>
      <c r="D162" s="2">
        <v>55108075.439999998</v>
      </c>
      <c r="U162" t="s">
        <v>88</v>
      </c>
      <c r="V162" s="1">
        <v>35076742</v>
      </c>
      <c r="W162" s="15">
        <v>6675675</v>
      </c>
      <c r="X162" s="2">
        <v>41752417</v>
      </c>
      <c r="Z162" t="s">
        <v>88</v>
      </c>
      <c r="AA162" s="1">
        <v>12577735</v>
      </c>
      <c r="AB162" s="1">
        <v>777923.43999999948</v>
      </c>
      <c r="AC162" s="2">
        <v>13355658.439999999</v>
      </c>
    </row>
    <row r="163" spans="1:29" x14ac:dyDescent="0.35">
      <c r="A163" t="s">
        <v>13</v>
      </c>
      <c r="B163" s="2">
        <v>-61110984.210000001</v>
      </c>
      <c r="C163" s="2">
        <v>-1299179.1000000001</v>
      </c>
      <c r="D163" s="2">
        <v>-62410163.310000002</v>
      </c>
      <c r="U163" t="s">
        <v>13</v>
      </c>
      <c r="V163" s="1">
        <v>-54490961</v>
      </c>
      <c r="W163" s="15">
        <v>-892949</v>
      </c>
      <c r="X163" s="2">
        <v>-55383910</v>
      </c>
      <c r="Z163" t="s">
        <v>13</v>
      </c>
      <c r="AA163" s="1">
        <v>-6620023.2100000009</v>
      </c>
      <c r="AB163" s="1">
        <v>-406230.10000000009</v>
      </c>
      <c r="AC163" s="2">
        <v>-7026253.3100000005</v>
      </c>
    </row>
    <row r="164" spans="1:29" x14ac:dyDescent="0.35">
      <c r="A164" s="19" t="s">
        <v>14</v>
      </c>
      <c r="B164" s="20">
        <v>76035119.560000092</v>
      </c>
      <c r="C164" s="20">
        <v>33214674.230000004</v>
      </c>
      <c r="D164" s="20">
        <v>109249793.7900001</v>
      </c>
      <c r="U164" s="19" t="s">
        <v>14</v>
      </c>
      <c r="V164" s="20">
        <v>40114816</v>
      </c>
      <c r="W164" s="20">
        <v>25499607</v>
      </c>
      <c r="X164" s="20">
        <v>65614423</v>
      </c>
      <c r="Z164" s="19" t="s">
        <v>14</v>
      </c>
      <c r="AA164" s="20">
        <v>35920303.560000099</v>
      </c>
      <c r="AB164" s="20">
        <v>7715067.2300000079</v>
      </c>
      <c r="AC164" s="20">
        <v>43635370.790000111</v>
      </c>
    </row>
    <row r="165" spans="1:29" x14ac:dyDescent="0.35">
      <c r="B165" s="2"/>
      <c r="C165" s="2"/>
      <c r="V165" s="12"/>
      <c r="W165" s="15"/>
      <c r="X165" s="2"/>
      <c r="AA165" s="12"/>
      <c r="AB165" s="15"/>
      <c r="AC165" s="2"/>
    </row>
    <row r="166" spans="1:29" x14ac:dyDescent="0.35">
      <c r="B166" s="2"/>
      <c r="C166" s="2"/>
      <c r="V166" s="12"/>
      <c r="W166" s="15"/>
      <c r="X166" s="2"/>
      <c r="AA166" s="12"/>
      <c r="AB166" s="15"/>
      <c r="AC166" s="2"/>
    </row>
    <row r="167" spans="1:29" x14ac:dyDescent="0.35">
      <c r="A167" t="s">
        <v>15</v>
      </c>
      <c r="B167" s="2">
        <v>0</v>
      </c>
      <c r="C167" s="2">
        <v>10540665.83</v>
      </c>
      <c r="D167" s="2">
        <v>10540665.83</v>
      </c>
      <c r="U167" t="s">
        <v>15</v>
      </c>
      <c r="V167" s="1">
        <v>0</v>
      </c>
      <c r="W167" s="15">
        <v>7350304</v>
      </c>
      <c r="X167" s="2">
        <v>7350304</v>
      </c>
      <c r="Z167" t="s">
        <v>15</v>
      </c>
      <c r="AA167" s="1">
        <v>0</v>
      </c>
      <c r="AB167" s="1">
        <v>3190361.83</v>
      </c>
      <c r="AC167" s="2">
        <v>3190361.83</v>
      </c>
    </row>
    <row r="168" spans="1:29" x14ac:dyDescent="0.35">
      <c r="A168" t="s">
        <v>16</v>
      </c>
      <c r="B168" s="2">
        <v>0</v>
      </c>
      <c r="C168" s="2">
        <v>-10113765.800000001</v>
      </c>
      <c r="D168" s="2">
        <v>-10113765.800000001</v>
      </c>
      <c r="U168" t="s">
        <v>16</v>
      </c>
      <c r="V168" s="1">
        <v>0</v>
      </c>
      <c r="W168" s="15">
        <v>-6568569</v>
      </c>
      <c r="X168" s="2">
        <v>-6568569</v>
      </c>
      <c r="Z168" t="s">
        <v>16</v>
      </c>
      <c r="AA168" s="1">
        <v>0</v>
      </c>
      <c r="AB168" s="1">
        <v>-3545196.8000000007</v>
      </c>
      <c r="AC168" s="2">
        <v>-3545196.8000000007</v>
      </c>
    </row>
    <row r="169" spans="1:29" x14ac:dyDescent="0.35">
      <c r="A169" s="19" t="s">
        <v>17</v>
      </c>
      <c r="B169" s="20">
        <v>0</v>
      </c>
      <c r="C169" s="20">
        <v>426900.02999999933</v>
      </c>
      <c r="D169" s="20">
        <v>426900.02999999933</v>
      </c>
      <c r="U169" s="19" t="s">
        <v>17</v>
      </c>
      <c r="V169" s="20">
        <v>0</v>
      </c>
      <c r="W169" s="20">
        <v>781735</v>
      </c>
      <c r="X169" s="20">
        <v>781735</v>
      </c>
      <c r="Z169" s="19" t="s">
        <v>17</v>
      </c>
      <c r="AA169" s="20">
        <v>0</v>
      </c>
      <c r="AB169" s="20">
        <v>-354834.97000000067</v>
      </c>
      <c r="AC169" s="20">
        <v>-354834.97000000067</v>
      </c>
    </row>
    <row r="170" spans="1:29" x14ac:dyDescent="0.35">
      <c r="B170" s="2"/>
      <c r="C170" s="2"/>
      <c r="V170" s="1"/>
      <c r="W170" s="15"/>
      <c r="X170" s="2"/>
      <c r="AA170" s="1"/>
      <c r="AB170" s="15"/>
      <c r="AC170" s="2"/>
    </row>
    <row r="171" spans="1:29" x14ac:dyDescent="0.35">
      <c r="B171" s="2"/>
      <c r="C171" s="2"/>
      <c r="V171" s="1"/>
      <c r="W171" s="15"/>
      <c r="X171" s="2"/>
      <c r="AA171" s="1"/>
      <c r="AB171" s="15"/>
      <c r="AC171" s="2"/>
    </row>
    <row r="172" spans="1:29" x14ac:dyDescent="0.35">
      <c r="A172" s="16" t="s">
        <v>20</v>
      </c>
      <c r="B172" s="23">
        <v>0</v>
      </c>
      <c r="C172" s="23">
        <v>0</v>
      </c>
      <c r="D172" s="17">
        <v>0</v>
      </c>
      <c r="U172" s="16" t="s">
        <v>20</v>
      </c>
      <c r="V172" s="27">
        <v>0</v>
      </c>
      <c r="W172" s="28">
        <v>0</v>
      </c>
      <c r="X172" s="17">
        <v>0</v>
      </c>
      <c r="Z172" s="16" t="s">
        <v>20</v>
      </c>
      <c r="AA172" s="27">
        <v>0</v>
      </c>
      <c r="AB172" s="28">
        <v>0</v>
      </c>
      <c r="AC172" s="17">
        <v>0</v>
      </c>
    </row>
    <row r="173" spans="1:29" x14ac:dyDescent="0.35">
      <c r="B173" s="2"/>
      <c r="C173" s="2"/>
      <c r="V173" s="1"/>
      <c r="W173" s="15"/>
      <c r="X173" s="2"/>
      <c r="AA173" s="1"/>
      <c r="AB173" s="15"/>
      <c r="AC173" s="2"/>
    </row>
    <row r="174" spans="1:29" x14ac:dyDescent="0.35">
      <c r="B174" s="2"/>
      <c r="C174" s="2"/>
      <c r="X174" s="2"/>
      <c r="AC174" s="2"/>
    </row>
    <row r="175" spans="1:29" x14ac:dyDescent="0.35">
      <c r="B175" s="2"/>
      <c r="C175" s="2"/>
      <c r="X175" s="2"/>
      <c r="AC175" s="2"/>
    </row>
    <row r="176" spans="1:29" x14ac:dyDescent="0.35">
      <c r="A176" t="s">
        <v>0</v>
      </c>
      <c r="B176" s="2">
        <v>0</v>
      </c>
      <c r="C176" s="2">
        <v>1032258911.6300001</v>
      </c>
      <c r="D176" s="2">
        <v>1032258911.6300001</v>
      </c>
      <c r="U176" t="s">
        <v>0</v>
      </c>
      <c r="V176" s="1">
        <v>0</v>
      </c>
      <c r="W176" s="15">
        <v>728293535</v>
      </c>
      <c r="X176" s="2">
        <v>728293535</v>
      </c>
      <c r="Z176" t="s">
        <v>0</v>
      </c>
      <c r="AA176" s="1">
        <v>0</v>
      </c>
      <c r="AB176" s="1">
        <v>303965376.63000011</v>
      </c>
      <c r="AC176" s="2">
        <v>303965376.63000011</v>
      </c>
    </row>
    <row r="177" spans="1:29" x14ac:dyDescent="0.35">
      <c r="A177" t="s">
        <v>2</v>
      </c>
      <c r="B177" s="2">
        <v>0</v>
      </c>
      <c r="C177" s="2">
        <v>-1026883590.62</v>
      </c>
      <c r="D177" s="2">
        <v>-1026883590.62</v>
      </c>
      <c r="U177" t="s">
        <v>2</v>
      </c>
      <c r="V177" s="1">
        <v>0</v>
      </c>
      <c r="W177" s="15">
        <v>-716236580.44000006</v>
      </c>
      <c r="X177" s="2">
        <v>-716236580.44000006</v>
      </c>
      <c r="Z177" t="s">
        <v>2</v>
      </c>
      <c r="AA177" s="1">
        <v>0</v>
      </c>
      <c r="AB177" s="1">
        <v>-310647010.17999995</v>
      </c>
      <c r="AC177" s="2">
        <v>-310647010.17999995</v>
      </c>
    </row>
    <row r="178" spans="1:29" x14ac:dyDescent="0.35">
      <c r="A178" s="19" t="s">
        <v>21</v>
      </c>
      <c r="B178" s="20">
        <v>0</v>
      </c>
      <c r="C178" s="20">
        <v>5375321.0100001097</v>
      </c>
      <c r="D178" s="20">
        <v>5375321.0100001097</v>
      </c>
      <c r="U178" s="19" t="s">
        <v>21</v>
      </c>
      <c r="V178" s="20">
        <v>0</v>
      </c>
      <c r="W178" s="20">
        <v>12056954.559999943</v>
      </c>
      <c r="X178" s="20">
        <v>12056954.559999943</v>
      </c>
      <c r="Z178" s="19" t="s">
        <v>21</v>
      </c>
      <c r="AA178" s="20">
        <v>0</v>
      </c>
      <c r="AB178" s="20">
        <v>-6681633.5499998331</v>
      </c>
      <c r="AC178" s="20">
        <v>-6681633.5499998331</v>
      </c>
    </row>
    <row r="179" spans="1:29" x14ac:dyDescent="0.35">
      <c r="B179" s="2"/>
      <c r="C179" s="2"/>
      <c r="V179" s="2"/>
      <c r="W179" s="15"/>
      <c r="X179" s="2"/>
      <c r="AA179" s="2"/>
      <c r="AB179" s="15"/>
      <c r="AC179" s="2"/>
    </row>
    <row r="180" spans="1:29" x14ac:dyDescent="0.35">
      <c r="B180" s="2"/>
      <c r="C180" s="2"/>
      <c r="V180" s="2"/>
      <c r="W180" s="15"/>
      <c r="X180" s="2"/>
      <c r="AA180" s="2"/>
      <c r="AB180" s="15"/>
      <c r="AC180" s="2"/>
    </row>
    <row r="181" spans="1:29" x14ac:dyDescent="0.35">
      <c r="A181" t="s">
        <v>24</v>
      </c>
      <c r="B181" s="2">
        <v>0</v>
      </c>
      <c r="C181" s="2">
        <v>0</v>
      </c>
      <c r="D181" s="2">
        <v>0</v>
      </c>
      <c r="U181" t="s">
        <v>24</v>
      </c>
      <c r="V181" s="1">
        <v>0</v>
      </c>
      <c r="W181" s="15">
        <v>0</v>
      </c>
      <c r="X181" s="2">
        <v>0</v>
      </c>
      <c r="Z181" t="s">
        <v>24</v>
      </c>
      <c r="AA181" s="1">
        <v>0</v>
      </c>
      <c r="AB181" s="1">
        <v>0</v>
      </c>
      <c r="AC181" s="2">
        <v>0</v>
      </c>
    </row>
    <row r="182" spans="1:29" x14ac:dyDescent="0.35">
      <c r="A182" t="s">
        <v>25</v>
      </c>
      <c r="B182" s="2">
        <v>0</v>
      </c>
      <c r="C182" s="2">
        <v>0</v>
      </c>
      <c r="D182" s="2">
        <v>0</v>
      </c>
      <c r="U182" t="s">
        <v>25</v>
      </c>
      <c r="V182" s="1">
        <v>0</v>
      </c>
      <c r="W182" s="15">
        <v>0</v>
      </c>
      <c r="X182" s="2">
        <v>0</v>
      </c>
      <c r="Z182" t="s">
        <v>25</v>
      </c>
      <c r="AA182" s="1">
        <v>0</v>
      </c>
      <c r="AB182" s="1">
        <v>0</v>
      </c>
      <c r="AC182" s="2">
        <v>0</v>
      </c>
    </row>
    <row r="183" spans="1:29" x14ac:dyDescent="0.35">
      <c r="A183" t="s">
        <v>26</v>
      </c>
      <c r="B183" s="2">
        <v>0</v>
      </c>
      <c r="C183" s="2">
        <v>0</v>
      </c>
      <c r="D183" s="2">
        <v>0</v>
      </c>
      <c r="U183" t="s">
        <v>26</v>
      </c>
      <c r="V183" s="1">
        <v>0</v>
      </c>
      <c r="W183" s="15">
        <v>0</v>
      </c>
      <c r="X183" s="2">
        <v>0</v>
      </c>
      <c r="Z183" t="s">
        <v>26</v>
      </c>
      <c r="AA183" s="1">
        <v>0</v>
      </c>
      <c r="AB183" s="1">
        <v>0</v>
      </c>
      <c r="AC183" s="2">
        <v>0</v>
      </c>
    </row>
    <row r="184" spans="1:29" x14ac:dyDescent="0.35">
      <c r="A184" s="19" t="s">
        <v>101</v>
      </c>
      <c r="B184" s="20">
        <v>0</v>
      </c>
      <c r="C184" s="20">
        <v>0</v>
      </c>
      <c r="D184" s="20">
        <v>0</v>
      </c>
      <c r="U184" s="19" t="s">
        <v>152</v>
      </c>
      <c r="V184" s="20">
        <v>0</v>
      </c>
      <c r="W184" s="20">
        <v>0</v>
      </c>
      <c r="X184" s="20">
        <v>0</v>
      </c>
      <c r="Z184" s="19" t="s">
        <v>152</v>
      </c>
      <c r="AA184" s="20">
        <v>0</v>
      </c>
      <c r="AB184" s="20">
        <v>0</v>
      </c>
      <c r="AC184" s="20">
        <v>0</v>
      </c>
    </row>
    <row r="185" spans="1:29" x14ac:dyDescent="0.35">
      <c r="B185" s="2"/>
      <c r="C185" s="2"/>
      <c r="V185" s="2"/>
      <c r="W185" s="15"/>
      <c r="X185" s="2"/>
      <c r="AA185" s="2"/>
      <c r="AB185" s="15"/>
      <c r="AC185" s="2"/>
    </row>
    <row r="186" spans="1:29" x14ac:dyDescent="0.35">
      <c r="B186" s="2"/>
      <c r="C186" s="2"/>
      <c r="V186" s="2"/>
      <c r="W186" s="15"/>
      <c r="X186" s="2"/>
      <c r="AA186" s="2"/>
      <c r="AB186" s="15"/>
      <c r="AC186" s="2"/>
    </row>
    <row r="187" spans="1:29" x14ac:dyDescent="0.35">
      <c r="A187" t="s">
        <v>27</v>
      </c>
      <c r="B187" s="2">
        <v>0</v>
      </c>
      <c r="C187" s="2">
        <v>0</v>
      </c>
      <c r="D187" s="2">
        <v>0</v>
      </c>
      <c r="U187" t="s">
        <v>27</v>
      </c>
      <c r="V187" s="1">
        <v>0</v>
      </c>
      <c r="W187" s="15">
        <v>0</v>
      </c>
      <c r="X187" s="2">
        <v>0</v>
      </c>
      <c r="Z187" t="s">
        <v>27</v>
      </c>
      <c r="AA187" s="1">
        <v>0</v>
      </c>
      <c r="AB187" s="1">
        <v>0</v>
      </c>
      <c r="AC187" s="2">
        <v>0</v>
      </c>
    </row>
    <row r="188" spans="1:29" x14ac:dyDescent="0.35">
      <c r="A188" t="s">
        <v>28</v>
      </c>
      <c r="B188" s="2">
        <v>0</v>
      </c>
      <c r="C188" s="2">
        <v>0</v>
      </c>
      <c r="D188" s="2">
        <v>0</v>
      </c>
      <c r="U188" t="s">
        <v>28</v>
      </c>
      <c r="V188" s="1">
        <v>0</v>
      </c>
      <c r="W188" s="15">
        <v>0</v>
      </c>
      <c r="X188" s="2">
        <v>0</v>
      </c>
      <c r="Z188" t="s">
        <v>28</v>
      </c>
      <c r="AA188" s="1">
        <v>0</v>
      </c>
      <c r="AB188" s="1">
        <v>0</v>
      </c>
      <c r="AC188" s="2">
        <v>0</v>
      </c>
    </row>
    <row r="189" spans="1:29" x14ac:dyDescent="0.35">
      <c r="A189" t="s">
        <v>29</v>
      </c>
      <c r="B189" s="2">
        <v>0</v>
      </c>
      <c r="C189" s="2">
        <v>0</v>
      </c>
      <c r="D189" s="2">
        <v>0</v>
      </c>
      <c r="U189" t="s">
        <v>29</v>
      </c>
      <c r="V189" s="1">
        <v>0</v>
      </c>
      <c r="W189" s="15">
        <v>0</v>
      </c>
      <c r="X189" s="2">
        <v>0</v>
      </c>
      <c r="Z189" t="s">
        <v>29</v>
      </c>
      <c r="AA189" s="1">
        <v>0</v>
      </c>
      <c r="AB189" s="1">
        <v>0</v>
      </c>
      <c r="AC189" s="2">
        <v>0</v>
      </c>
    </row>
    <row r="190" spans="1:29" x14ac:dyDescent="0.35">
      <c r="A190" t="s">
        <v>30</v>
      </c>
      <c r="B190" s="2">
        <v>0</v>
      </c>
      <c r="C190" s="2">
        <v>0</v>
      </c>
      <c r="D190" s="2">
        <v>0</v>
      </c>
      <c r="U190" t="s">
        <v>30</v>
      </c>
      <c r="V190" s="1">
        <v>0</v>
      </c>
      <c r="W190" s="15">
        <v>0</v>
      </c>
      <c r="X190" s="2">
        <v>0</v>
      </c>
      <c r="Z190" t="s">
        <v>30</v>
      </c>
      <c r="AA190" s="1">
        <v>0</v>
      </c>
      <c r="AB190" s="1">
        <v>0</v>
      </c>
      <c r="AC190" s="2">
        <v>0</v>
      </c>
    </row>
    <row r="191" spans="1:29" x14ac:dyDescent="0.35">
      <c r="A191" s="19" t="s">
        <v>90</v>
      </c>
      <c r="B191" s="20">
        <v>0</v>
      </c>
      <c r="C191" s="20">
        <v>0</v>
      </c>
      <c r="D191" s="20">
        <v>0</v>
      </c>
      <c r="U191" s="19" t="s">
        <v>90</v>
      </c>
      <c r="V191" s="20">
        <v>0</v>
      </c>
      <c r="W191" s="20">
        <v>0</v>
      </c>
      <c r="X191" s="20">
        <v>0</v>
      </c>
      <c r="Z191" s="19" t="s">
        <v>90</v>
      </c>
      <c r="AA191" s="20">
        <v>0</v>
      </c>
      <c r="AB191" s="20">
        <v>0</v>
      </c>
      <c r="AC191" s="20">
        <v>0</v>
      </c>
    </row>
    <row r="192" spans="1:29" x14ac:dyDescent="0.35">
      <c r="B192" s="2"/>
      <c r="C192" s="2"/>
      <c r="V192" s="2"/>
      <c r="W192" s="15"/>
      <c r="X192" s="2"/>
      <c r="AA192" s="2"/>
      <c r="AB192" s="15"/>
      <c r="AC192" s="2"/>
    </row>
    <row r="193" spans="1:29" x14ac:dyDescent="0.35">
      <c r="B193" s="2"/>
      <c r="C193" s="2"/>
      <c r="V193" s="2"/>
      <c r="W193" s="15"/>
      <c r="X193" s="2"/>
      <c r="AA193" s="2"/>
      <c r="AB193" s="15"/>
      <c r="AC193" s="2"/>
    </row>
    <row r="194" spans="1:29" x14ac:dyDescent="0.35">
      <c r="A194" s="16" t="s">
        <v>89</v>
      </c>
      <c r="B194" s="23">
        <v>0</v>
      </c>
      <c r="C194" s="23">
        <v>0</v>
      </c>
      <c r="D194" s="17">
        <v>0</v>
      </c>
      <c r="U194" s="16" t="s">
        <v>89</v>
      </c>
      <c r="V194" s="27">
        <v>0</v>
      </c>
      <c r="W194" s="28">
        <v>0</v>
      </c>
      <c r="X194" s="17">
        <v>0</v>
      </c>
      <c r="Z194" s="16" t="s">
        <v>89</v>
      </c>
      <c r="AA194" s="27">
        <v>0</v>
      </c>
      <c r="AB194" s="28">
        <v>0</v>
      </c>
      <c r="AC194" s="17">
        <v>0</v>
      </c>
    </row>
    <row r="195" spans="1:29" x14ac:dyDescent="0.35">
      <c r="B195" s="2"/>
      <c r="C195" s="2"/>
      <c r="V195" s="2"/>
      <c r="W195" s="15"/>
      <c r="X195" s="2"/>
      <c r="AA195" s="2"/>
      <c r="AB195" s="15"/>
      <c r="AC195" s="2"/>
    </row>
    <row r="196" spans="1:29" x14ac:dyDescent="0.35">
      <c r="B196" s="2"/>
      <c r="C196" s="2"/>
      <c r="X196" s="2"/>
      <c r="AC196" s="2"/>
    </row>
    <row r="197" spans="1:29" x14ac:dyDescent="0.35">
      <c r="B197" s="2"/>
      <c r="C197" s="2"/>
      <c r="X197" s="2"/>
      <c r="AC197" s="2"/>
    </row>
    <row r="198" spans="1:29" x14ac:dyDescent="0.35">
      <c r="A198" t="s">
        <v>31</v>
      </c>
      <c r="B198" s="2">
        <v>0</v>
      </c>
      <c r="C198" s="2">
        <v>0</v>
      </c>
      <c r="D198" s="2">
        <v>0</v>
      </c>
      <c r="U198" t="s">
        <v>31</v>
      </c>
      <c r="V198" s="1">
        <v>0</v>
      </c>
      <c r="W198" s="15">
        <v>0</v>
      </c>
      <c r="X198" s="2">
        <v>0</v>
      </c>
      <c r="Z198" t="s">
        <v>31</v>
      </c>
      <c r="AA198" s="1">
        <v>0</v>
      </c>
      <c r="AB198" s="1">
        <v>0</v>
      </c>
      <c r="AC198" s="2">
        <v>0</v>
      </c>
    </row>
    <row r="199" spans="1:29" x14ac:dyDescent="0.35">
      <c r="A199" t="s">
        <v>32</v>
      </c>
      <c r="B199" s="2">
        <v>0</v>
      </c>
      <c r="C199" s="2">
        <v>0</v>
      </c>
      <c r="D199" s="2">
        <v>0</v>
      </c>
      <c r="U199" t="s">
        <v>32</v>
      </c>
      <c r="V199" s="1">
        <v>0</v>
      </c>
      <c r="W199" s="15">
        <v>0</v>
      </c>
      <c r="X199" s="2">
        <v>0</v>
      </c>
      <c r="Z199" t="s">
        <v>32</v>
      </c>
      <c r="AA199" s="1">
        <v>0</v>
      </c>
      <c r="AB199" s="1">
        <v>0</v>
      </c>
      <c r="AC199" s="2">
        <v>0</v>
      </c>
    </row>
    <row r="200" spans="1:29" x14ac:dyDescent="0.35">
      <c r="A200" s="19" t="s">
        <v>33</v>
      </c>
      <c r="B200" s="20">
        <v>0</v>
      </c>
      <c r="C200" s="20">
        <v>0</v>
      </c>
      <c r="D200" s="20">
        <v>0</v>
      </c>
      <c r="U200" s="25" t="s">
        <v>33</v>
      </c>
      <c r="V200" s="20">
        <v>0</v>
      </c>
      <c r="W200" s="20">
        <v>0</v>
      </c>
      <c r="X200" s="20">
        <v>0</v>
      </c>
      <c r="Z200" s="25" t="s">
        <v>33</v>
      </c>
      <c r="AA200" s="20">
        <v>0</v>
      </c>
      <c r="AB200" s="20">
        <v>0</v>
      </c>
      <c r="AC200" s="20">
        <v>0</v>
      </c>
    </row>
    <row r="201" spans="1:29" x14ac:dyDescent="0.35">
      <c r="B201" s="2"/>
      <c r="C201" s="2"/>
      <c r="V201" s="2"/>
      <c r="W201" s="15"/>
      <c r="X201" s="2"/>
      <c r="AA201" s="2"/>
      <c r="AB201" s="15"/>
      <c r="AC201" s="2"/>
    </row>
    <row r="202" spans="1:29" x14ac:dyDescent="0.35">
      <c r="B202" s="2"/>
      <c r="C202" s="2"/>
      <c r="V202" s="2"/>
      <c r="W202" s="15"/>
      <c r="X202" s="2"/>
      <c r="AA202" s="2"/>
      <c r="AB202" s="15"/>
      <c r="AC202" s="2"/>
    </row>
    <row r="203" spans="1:29" x14ac:dyDescent="0.35">
      <c r="A203" t="s">
        <v>35</v>
      </c>
      <c r="B203" s="2">
        <v>0</v>
      </c>
      <c r="C203" s="2">
        <v>1440020.47</v>
      </c>
      <c r="D203" s="2">
        <v>1440020.47</v>
      </c>
      <c r="U203" t="s">
        <v>35</v>
      </c>
      <c r="V203" s="1">
        <v>0</v>
      </c>
      <c r="W203" s="15">
        <v>20</v>
      </c>
      <c r="X203" s="2">
        <v>20</v>
      </c>
      <c r="Z203" t="s">
        <v>35</v>
      </c>
      <c r="AA203" s="1">
        <v>0</v>
      </c>
      <c r="AB203" s="1">
        <v>1440000.47</v>
      </c>
      <c r="AC203" s="2">
        <v>1440000.47</v>
      </c>
    </row>
    <row r="204" spans="1:29" x14ac:dyDescent="0.35">
      <c r="A204" t="s">
        <v>36</v>
      </c>
      <c r="B204" s="2">
        <v>-85313838</v>
      </c>
      <c r="C204" s="2">
        <v>-11883089.439999999</v>
      </c>
      <c r="D204" s="2">
        <v>-97196927.439999998</v>
      </c>
      <c r="U204" t="s">
        <v>36</v>
      </c>
      <c r="V204" s="1">
        <v>-66825556</v>
      </c>
      <c r="W204" s="15">
        <v>-7484055</v>
      </c>
      <c r="X204" s="2">
        <v>-74309611</v>
      </c>
      <c r="Z204" t="s">
        <v>36</v>
      </c>
      <c r="AA204" s="1">
        <v>-18488282</v>
      </c>
      <c r="AB204" s="1">
        <v>-4399034.4399999995</v>
      </c>
      <c r="AC204" s="2">
        <v>-22887316.439999998</v>
      </c>
    </row>
    <row r="205" spans="1:29" x14ac:dyDescent="0.35">
      <c r="A205" s="19" t="s">
        <v>37</v>
      </c>
      <c r="B205" s="20">
        <v>-85313838</v>
      </c>
      <c r="C205" s="20">
        <v>-10443068.969999999</v>
      </c>
      <c r="D205" s="20">
        <v>-95756906.969999999</v>
      </c>
      <c r="U205" s="25" t="s">
        <v>37</v>
      </c>
      <c r="V205" s="20">
        <v>-66825556</v>
      </c>
      <c r="W205" s="20">
        <v>-7484035</v>
      </c>
      <c r="X205" s="20">
        <v>-74309591</v>
      </c>
      <c r="Z205" s="25" t="s">
        <v>37</v>
      </c>
      <c r="AA205" s="20">
        <v>-18488282</v>
      </c>
      <c r="AB205" s="20">
        <v>-2959033.9699999997</v>
      </c>
      <c r="AC205" s="20">
        <v>-21447315.969999999</v>
      </c>
    </row>
    <row r="206" spans="1:29" x14ac:dyDescent="0.35">
      <c r="B206" s="2"/>
      <c r="C206" s="2"/>
      <c r="V206" s="2"/>
      <c r="W206" s="15"/>
      <c r="X206" s="2"/>
      <c r="AA206" s="2"/>
      <c r="AB206" s="15"/>
      <c r="AC206" s="2"/>
    </row>
    <row r="207" spans="1:29" x14ac:dyDescent="0.35">
      <c r="B207" s="2"/>
      <c r="C207" s="2"/>
      <c r="V207" s="2"/>
      <c r="W207" s="15"/>
      <c r="X207" s="2"/>
      <c r="AA207" s="2"/>
      <c r="AB207" s="15"/>
      <c r="AC207" s="2"/>
    </row>
    <row r="208" spans="1:29" x14ac:dyDescent="0.35">
      <c r="A208" t="s">
        <v>47</v>
      </c>
      <c r="B208" s="2">
        <v>0</v>
      </c>
      <c r="C208" s="2">
        <v>0</v>
      </c>
      <c r="D208" s="2">
        <v>0</v>
      </c>
      <c r="U208" t="s">
        <v>38</v>
      </c>
      <c r="V208" s="1">
        <v>0</v>
      </c>
      <c r="W208" s="15">
        <v>0</v>
      </c>
      <c r="X208" s="2">
        <v>0</v>
      </c>
      <c r="Z208" t="s">
        <v>38</v>
      </c>
      <c r="AA208" s="1">
        <v>0</v>
      </c>
      <c r="AB208" s="1">
        <v>0</v>
      </c>
      <c r="AC208" s="2">
        <v>0</v>
      </c>
    </row>
    <row r="209" spans="1:30" x14ac:dyDescent="0.35">
      <c r="A209" t="s">
        <v>78</v>
      </c>
      <c r="B209" s="2">
        <v>0</v>
      </c>
      <c r="C209" s="2">
        <v>-4873498.32</v>
      </c>
      <c r="D209" s="2">
        <v>-4873498.32</v>
      </c>
      <c r="U209" t="s">
        <v>78</v>
      </c>
      <c r="V209" s="1">
        <v>0</v>
      </c>
      <c r="W209" s="15">
        <v>-6694563.5599999996</v>
      </c>
      <c r="X209" s="2">
        <v>-6694563.5599999996</v>
      </c>
      <c r="Z209" t="s">
        <v>78</v>
      </c>
      <c r="AA209" s="1">
        <v>0</v>
      </c>
      <c r="AB209" s="1">
        <v>1821065.2399999993</v>
      </c>
      <c r="AC209" s="2">
        <v>1821065.2399999993</v>
      </c>
    </row>
    <row r="210" spans="1:30" x14ac:dyDescent="0.35">
      <c r="A210" t="s">
        <v>39</v>
      </c>
      <c r="B210" s="2">
        <v>0</v>
      </c>
      <c r="C210" s="2">
        <v>-1901641.7000000002</v>
      </c>
      <c r="D210" s="2">
        <v>-1901641.7000000002</v>
      </c>
      <c r="U210" t="s">
        <v>39</v>
      </c>
      <c r="V210" s="1">
        <v>0</v>
      </c>
      <c r="W210" s="15">
        <v>-4220317</v>
      </c>
      <c r="X210" s="2">
        <v>-4220317</v>
      </c>
      <c r="Z210" t="s">
        <v>39</v>
      </c>
      <c r="AA210" s="1">
        <v>0</v>
      </c>
      <c r="AB210" s="1">
        <v>2318675.2999999998</v>
      </c>
      <c r="AC210" s="2">
        <v>2318675.2999999998</v>
      </c>
    </row>
    <row r="211" spans="1:30" x14ac:dyDescent="0.35">
      <c r="A211" t="s">
        <v>40</v>
      </c>
      <c r="B211" s="2">
        <v>0</v>
      </c>
      <c r="C211" s="2">
        <v>-5040</v>
      </c>
      <c r="D211" s="2">
        <v>-5040</v>
      </c>
      <c r="U211" t="s">
        <v>40</v>
      </c>
      <c r="V211" s="1">
        <v>0</v>
      </c>
      <c r="W211" s="15">
        <v>-5040</v>
      </c>
      <c r="X211" s="2">
        <v>-5040</v>
      </c>
      <c r="Z211" t="s">
        <v>40</v>
      </c>
      <c r="AA211" s="1">
        <v>0</v>
      </c>
      <c r="AB211" s="1">
        <v>0</v>
      </c>
      <c r="AC211" s="2">
        <v>0</v>
      </c>
    </row>
    <row r="212" spans="1:30" x14ac:dyDescent="0.35">
      <c r="A212" t="s">
        <v>41</v>
      </c>
      <c r="B212" s="2">
        <v>0</v>
      </c>
      <c r="C212" s="2">
        <v>-1800871</v>
      </c>
      <c r="D212" s="2">
        <v>-1800871</v>
      </c>
      <c r="U212" t="s">
        <v>41</v>
      </c>
      <c r="V212" s="1">
        <v>0</v>
      </c>
      <c r="W212" s="15">
        <v>-34246</v>
      </c>
      <c r="X212" s="2">
        <v>-34246</v>
      </c>
      <c r="Z212" t="s">
        <v>41</v>
      </c>
      <c r="AA212" s="1">
        <v>0</v>
      </c>
      <c r="AB212" s="1">
        <v>-1766625</v>
      </c>
      <c r="AC212" s="2">
        <v>-1766625</v>
      </c>
    </row>
    <row r="213" spans="1:30" x14ac:dyDescent="0.35">
      <c r="A213" t="s">
        <v>42</v>
      </c>
      <c r="B213" s="2">
        <v>0</v>
      </c>
      <c r="C213" s="2">
        <v>0</v>
      </c>
      <c r="D213" s="2">
        <v>0</v>
      </c>
      <c r="U213" t="s">
        <v>42</v>
      </c>
      <c r="V213" s="1">
        <v>0</v>
      </c>
      <c r="W213" s="15">
        <v>0</v>
      </c>
      <c r="X213" s="2">
        <v>0</v>
      </c>
      <c r="Z213" t="s">
        <v>42</v>
      </c>
      <c r="AA213" s="1">
        <v>0</v>
      </c>
      <c r="AB213" s="1">
        <v>0</v>
      </c>
      <c r="AC213" s="2">
        <v>0</v>
      </c>
    </row>
    <row r="214" spans="1:30" x14ac:dyDescent="0.35">
      <c r="A214" t="s">
        <v>4</v>
      </c>
      <c r="B214" s="2">
        <v>0</v>
      </c>
      <c r="C214" s="2">
        <v>0</v>
      </c>
      <c r="D214" s="2">
        <v>0</v>
      </c>
      <c r="U214" t="s">
        <v>4</v>
      </c>
      <c r="V214" s="1">
        <v>0</v>
      </c>
      <c r="W214" s="15">
        <v>0</v>
      </c>
      <c r="X214" s="2">
        <v>0</v>
      </c>
      <c r="Z214" t="s">
        <v>4</v>
      </c>
      <c r="AA214" s="1">
        <v>0</v>
      </c>
      <c r="AB214" s="1">
        <v>0</v>
      </c>
      <c r="AC214" s="2">
        <v>0</v>
      </c>
    </row>
    <row r="215" spans="1:30" x14ac:dyDescent="0.35">
      <c r="A215" t="s">
        <v>5</v>
      </c>
      <c r="B215" s="2">
        <v>0</v>
      </c>
      <c r="C215" s="2">
        <v>0</v>
      </c>
      <c r="D215" s="2">
        <v>0</v>
      </c>
      <c r="U215" t="s">
        <v>5</v>
      </c>
      <c r="V215" s="1">
        <v>0</v>
      </c>
      <c r="W215" s="15">
        <v>0</v>
      </c>
      <c r="X215" s="2">
        <v>0</v>
      </c>
      <c r="Z215" t="s">
        <v>5</v>
      </c>
      <c r="AA215" s="1">
        <v>0</v>
      </c>
      <c r="AB215" s="1">
        <v>0</v>
      </c>
      <c r="AC215" s="2">
        <v>0</v>
      </c>
    </row>
    <row r="216" spans="1:30" x14ac:dyDescent="0.35">
      <c r="A216" t="s">
        <v>182</v>
      </c>
      <c r="B216" s="2">
        <v>0</v>
      </c>
      <c r="C216" s="2">
        <v>-98822.729999999981</v>
      </c>
      <c r="D216" s="2">
        <v>-98822.729999999981</v>
      </c>
      <c r="U216" t="s">
        <v>182</v>
      </c>
      <c r="V216" s="1">
        <v>0</v>
      </c>
      <c r="W216" s="15">
        <v>-1919720</v>
      </c>
      <c r="X216" s="2">
        <v>-1919720</v>
      </c>
      <c r="Z216" t="s">
        <v>182</v>
      </c>
      <c r="AA216" s="1">
        <v>0</v>
      </c>
      <c r="AB216" s="1">
        <v>1820897.27</v>
      </c>
      <c r="AC216" s="2">
        <v>1820897.27</v>
      </c>
    </row>
    <row r="217" spans="1:30" x14ac:dyDescent="0.35">
      <c r="A217" s="19" t="s">
        <v>11</v>
      </c>
      <c r="B217" s="20">
        <v>0</v>
      </c>
      <c r="C217" s="20">
        <v>-8679873.75</v>
      </c>
      <c r="D217" s="20">
        <v>-8679873.75</v>
      </c>
      <c r="U217" s="19" t="s">
        <v>11</v>
      </c>
      <c r="V217" s="20">
        <v>0</v>
      </c>
      <c r="W217" s="20">
        <v>-12873886.559999999</v>
      </c>
      <c r="X217" s="20">
        <v>-12873886.559999999</v>
      </c>
      <c r="Z217" s="19" t="s">
        <v>11</v>
      </c>
      <c r="AA217" s="20">
        <v>0</v>
      </c>
      <c r="AB217" s="20">
        <v>4194012.8099999991</v>
      </c>
      <c r="AC217" s="20">
        <v>4194012.8099999991</v>
      </c>
    </row>
    <row r="218" spans="1:30" x14ac:dyDescent="0.35">
      <c r="B218" s="2"/>
      <c r="C218" s="2"/>
      <c r="V218" s="2"/>
      <c r="W218" s="15"/>
      <c r="X218" s="2"/>
      <c r="AA218" s="2"/>
      <c r="AB218" s="15"/>
      <c r="AC218" s="2"/>
    </row>
    <row r="219" spans="1:30" x14ac:dyDescent="0.35">
      <c r="B219" s="2"/>
      <c r="C219" s="2"/>
      <c r="V219" s="2"/>
      <c r="W219" s="15"/>
      <c r="X219" s="2"/>
      <c r="AA219" s="2"/>
      <c r="AB219" s="15"/>
      <c r="AC219" s="2"/>
    </row>
    <row r="220" spans="1:30" x14ac:dyDescent="0.35">
      <c r="A220" s="11" t="s">
        <v>43</v>
      </c>
      <c r="B220" s="4">
        <v>-9278718.4399999082</v>
      </c>
      <c r="C220" s="4">
        <v>65677871.310000122</v>
      </c>
      <c r="D220" s="4">
        <v>56399152.870000213</v>
      </c>
      <c r="U220" s="11" t="s">
        <v>43</v>
      </c>
      <c r="V220" s="137">
        <v>-26710740</v>
      </c>
      <c r="W220" s="4">
        <v>41273532.99999994</v>
      </c>
      <c r="X220" s="4">
        <v>14562792.99999994</v>
      </c>
      <c r="Z220" s="11" t="s">
        <v>43</v>
      </c>
      <c r="AA220" s="4">
        <v>17432021.560000099</v>
      </c>
      <c r="AB220" s="4">
        <v>24404338.310000177</v>
      </c>
      <c r="AC220" s="4">
        <v>41836359.870000273</v>
      </c>
      <c r="AD220" s="3"/>
    </row>
    <row r="221" spans="1:30" x14ac:dyDescent="0.35">
      <c r="A221" t="s">
        <v>6</v>
      </c>
      <c r="B221" s="2">
        <v>0</v>
      </c>
      <c r="C221" s="2">
        <v>-14830844.139999999</v>
      </c>
      <c r="D221" s="2">
        <v>-14830844.139999999</v>
      </c>
      <c r="U221" t="s">
        <v>6</v>
      </c>
      <c r="V221" s="1">
        <v>0</v>
      </c>
      <c r="W221" s="15">
        <v>-9188796</v>
      </c>
      <c r="X221" s="2">
        <v>-9188796</v>
      </c>
      <c r="Z221" t="s">
        <v>6</v>
      </c>
      <c r="AA221" s="1">
        <v>0</v>
      </c>
      <c r="AB221" s="1">
        <v>-5642048.1399999987</v>
      </c>
      <c r="AC221" s="2">
        <v>-5642048.1399999987</v>
      </c>
    </row>
    <row r="222" spans="1:30" x14ac:dyDescent="0.35">
      <c r="A222" s="11" t="s">
        <v>7</v>
      </c>
      <c r="B222" s="4">
        <v>-9278718.4399999082</v>
      </c>
      <c r="C222" s="4">
        <v>50847027.170000121</v>
      </c>
      <c r="D222" s="4">
        <v>41568308.730000213</v>
      </c>
      <c r="U222" s="11" t="s">
        <v>7</v>
      </c>
      <c r="V222" s="137">
        <v>-26710740</v>
      </c>
      <c r="W222" s="4">
        <v>32084736.99999994</v>
      </c>
      <c r="X222" s="4">
        <v>5373996.9999999404</v>
      </c>
      <c r="Z222" s="11" t="s">
        <v>7</v>
      </c>
      <c r="AA222" s="137">
        <v>17432021.560000099</v>
      </c>
      <c r="AB222" s="137">
        <v>18762290.170000181</v>
      </c>
      <c r="AC222" s="4">
        <v>36194311.73000028</v>
      </c>
    </row>
    <row r="223" spans="1:30" x14ac:dyDescent="0.35">
      <c r="A223" t="s">
        <v>8</v>
      </c>
      <c r="B223" s="2">
        <v>0</v>
      </c>
      <c r="C223" s="2">
        <v>-21806001.909300044</v>
      </c>
      <c r="D223" s="2">
        <v>-21806001.909300044</v>
      </c>
      <c r="U223" t="s">
        <v>8</v>
      </c>
      <c r="V223" s="1">
        <v>0</v>
      </c>
      <c r="W223" s="15">
        <v>-13630802.009099999</v>
      </c>
      <c r="X223" s="2">
        <v>-13630802.009099999</v>
      </c>
      <c r="Z223" t="s">
        <v>8</v>
      </c>
      <c r="AA223" s="1">
        <v>0</v>
      </c>
      <c r="AB223" s="1">
        <v>-8175199.9002000447</v>
      </c>
      <c r="AC223" s="2">
        <v>-8175199.9002000447</v>
      </c>
    </row>
    <row r="224" spans="1:30" x14ac:dyDescent="0.35">
      <c r="A224" s="11" t="s">
        <v>143</v>
      </c>
      <c r="B224" s="4">
        <v>-9278718.4399999082</v>
      </c>
      <c r="C224" s="4">
        <v>29041025.260700077</v>
      </c>
      <c r="D224" s="4">
        <v>19762306.820700169</v>
      </c>
      <c r="U224" s="11" t="s">
        <v>9</v>
      </c>
      <c r="V224" s="137">
        <v>-26710740</v>
      </c>
      <c r="W224" s="4">
        <v>18453934.990899943</v>
      </c>
      <c r="X224" s="4">
        <v>-8256805.009100059</v>
      </c>
      <c r="Z224" s="11" t="s">
        <v>9</v>
      </c>
      <c r="AA224" s="137">
        <v>17432021.560000099</v>
      </c>
      <c r="AB224" s="137">
        <v>10587090.269800136</v>
      </c>
      <c r="AC224" s="4">
        <v>28019111.829800233</v>
      </c>
      <c r="AD224" s="3"/>
    </row>
    <row r="225" spans="1:29" x14ac:dyDescent="0.35">
      <c r="B225" s="3">
        <v>0</v>
      </c>
      <c r="C225" s="3">
        <v>0</v>
      </c>
      <c r="V225" s="12">
        <v>0</v>
      </c>
      <c r="W225" s="12">
        <v>0</v>
      </c>
      <c r="AA225" s="12">
        <v>0</v>
      </c>
      <c r="AB225" s="12">
        <v>0</v>
      </c>
      <c r="AC225" s="12">
        <v>0</v>
      </c>
    </row>
    <row r="228" spans="1:29" ht="18.5" x14ac:dyDescent="0.35">
      <c r="A228" s="303" t="s">
        <v>146</v>
      </c>
      <c r="B228" s="303"/>
      <c r="C228" s="303"/>
      <c r="D228" s="303"/>
      <c r="F228" s="303" t="s">
        <v>163</v>
      </c>
      <c r="G228" s="303"/>
      <c r="H228" s="303"/>
      <c r="I228" s="303"/>
      <c r="K228" s="303" t="s">
        <v>174</v>
      </c>
      <c r="L228" s="303"/>
      <c r="M228" s="303"/>
      <c r="N228" s="303"/>
      <c r="P228" s="303" t="s">
        <v>177</v>
      </c>
      <c r="Q228" s="303"/>
      <c r="R228" s="303"/>
      <c r="S228" s="303"/>
      <c r="U228" s="135" t="s">
        <v>154</v>
      </c>
      <c r="V228" s="135"/>
      <c r="W228" s="135"/>
      <c r="X228" s="135"/>
      <c r="Z228" s="135" t="s">
        <v>155</v>
      </c>
      <c r="AA228" s="135"/>
      <c r="AB228" s="135"/>
      <c r="AC228" s="135"/>
    </row>
    <row r="229" spans="1:29" ht="15.5" x14ac:dyDescent="0.35">
      <c r="A229" s="8"/>
      <c r="B229" s="8" t="s">
        <v>86</v>
      </c>
      <c r="C229" s="10" t="s">
        <v>1</v>
      </c>
      <c r="D229" s="26" t="s">
        <v>48</v>
      </c>
      <c r="F229" s="24"/>
      <c r="G229" s="10" t="s">
        <v>46</v>
      </c>
      <c r="H229" s="10" t="s">
        <v>1</v>
      </c>
      <c r="I229" s="10" t="s">
        <v>48</v>
      </c>
      <c r="K229" s="8"/>
      <c r="L229" s="10" t="s">
        <v>46</v>
      </c>
      <c r="M229" s="10" t="s">
        <v>1</v>
      </c>
      <c r="N229" s="10" t="s">
        <v>48</v>
      </c>
      <c r="P229" s="8"/>
      <c r="Q229" s="10" t="s">
        <v>46</v>
      </c>
      <c r="R229" s="10" t="s">
        <v>1</v>
      </c>
      <c r="S229" s="10" t="s">
        <v>48</v>
      </c>
      <c r="U229" s="24"/>
      <c r="V229" s="10" t="s">
        <v>46</v>
      </c>
      <c r="W229" s="10" t="s">
        <v>1</v>
      </c>
      <c r="X229" s="26" t="s">
        <v>48</v>
      </c>
      <c r="Z229" s="24"/>
      <c r="AA229" s="10" t="s">
        <v>46</v>
      </c>
      <c r="AB229" s="10" t="s">
        <v>1</v>
      </c>
      <c r="AC229" s="26" t="s">
        <v>48</v>
      </c>
    </row>
    <row r="230" spans="1:29" x14ac:dyDescent="0.35">
      <c r="A230" t="s">
        <v>85</v>
      </c>
      <c r="B230" s="1">
        <v>0</v>
      </c>
      <c r="C230" s="15">
        <v>42648651.400000006</v>
      </c>
      <c r="D230" s="15">
        <v>42648651.400000006</v>
      </c>
      <c r="F230" t="s">
        <v>85</v>
      </c>
      <c r="G230" s="1">
        <v>0</v>
      </c>
      <c r="H230" s="15">
        <v>10349563</v>
      </c>
      <c r="I230" s="15">
        <v>10349563</v>
      </c>
      <c r="K230" s="2" t="s">
        <v>85</v>
      </c>
      <c r="L230" s="2">
        <v>0</v>
      </c>
      <c r="M230" s="2">
        <v>9999336.1199999973</v>
      </c>
      <c r="N230" s="2">
        <v>9999336.1199999973</v>
      </c>
      <c r="P230" t="s">
        <v>85</v>
      </c>
      <c r="Q230" s="2">
        <v>0</v>
      </c>
      <c r="R230" s="2">
        <v>20348899.119999997</v>
      </c>
      <c r="S230" s="2">
        <v>20348899.119999997</v>
      </c>
      <c r="U230" t="s">
        <v>85</v>
      </c>
      <c r="V230" s="1">
        <v>0</v>
      </c>
      <c r="W230" s="15">
        <v>10181297.160000004</v>
      </c>
      <c r="X230" s="15">
        <v>10181297.160000004</v>
      </c>
      <c r="Z230" t="s">
        <v>85</v>
      </c>
      <c r="AA230" s="1">
        <v>0</v>
      </c>
      <c r="AB230" s="1">
        <v>12118455.120000005</v>
      </c>
      <c r="AC230" s="2">
        <v>12118455.120000005</v>
      </c>
    </row>
    <row r="231" spans="1:29" x14ac:dyDescent="0.35">
      <c r="A231" t="s">
        <v>19</v>
      </c>
      <c r="B231" s="1">
        <v>0</v>
      </c>
      <c r="C231" s="15">
        <v>56015.39</v>
      </c>
      <c r="D231" s="15">
        <v>56015.39</v>
      </c>
      <c r="F231" t="s">
        <v>19</v>
      </c>
      <c r="G231" s="1">
        <v>0</v>
      </c>
      <c r="H231" s="15">
        <v>0</v>
      </c>
      <c r="I231" s="15">
        <v>0</v>
      </c>
      <c r="K231" s="2" t="s">
        <v>19</v>
      </c>
      <c r="L231" s="2">
        <v>0</v>
      </c>
      <c r="M231" s="2">
        <v>19930.760000000002</v>
      </c>
      <c r="N231" s="2">
        <v>19930.760000000002</v>
      </c>
      <c r="P231" t="s">
        <v>19</v>
      </c>
      <c r="Q231" s="2">
        <v>0</v>
      </c>
      <c r="R231" s="2">
        <v>19930.760000000002</v>
      </c>
      <c r="S231" s="2">
        <v>19930.760000000002</v>
      </c>
      <c r="U231" t="s">
        <v>19</v>
      </c>
      <c r="V231" s="1">
        <v>0</v>
      </c>
      <c r="W231" s="15">
        <v>11272.61</v>
      </c>
      <c r="X231" s="15">
        <v>11272.61</v>
      </c>
      <c r="Z231" t="s">
        <v>19</v>
      </c>
      <c r="AA231" s="1">
        <v>0</v>
      </c>
      <c r="AB231" s="1">
        <v>24812.019999999997</v>
      </c>
      <c r="AC231" s="2">
        <v>24812.019999999997</v>
      </c>
    </row>
    <row r="232" spans="1:29" x14ac:dyDescent="0.35">
      <c r="A232" t="s">
        <v>86</v>
      </c>
      <c r="B232" s="1">
        <v>0</v>
      </c>
      <c r="C232" s="15">
        <v>0</v>
      </c>
      <c r="D232" s="15">
        <v>0</v>
      </c>
      <c r="F232" t="s">
        <v>86</v>
      </c>
      <c r="G232" s="1">
        <v>0</v>
      </c>
      <c r="H232" s="15">
        <v>0</v>
      </c>
      <c r="I232" s="15">
        <v>0</v>
      </c>
      <c r="K232" s="2" t="s">
        <v>86</v>
      </c>
      <c r="L232" s="2">
        <v>0</v>
      </c>
      <c r="M232" s="2">
        <v>0</v>
      </c>
      <c r="N232" s="2">
        <v>0</v>
      </c>
      <c r="P232" t="s">
        <v>86</v>
      </c>
      <c r="Q232" s="2">
        <v>0</v>
      </c>
      <c r="R232" s="2">
        <v>0</v>
      </c>
      <c r="S232" s="2">
        <v>0</v>
      </c>
      <c r="U232" t="s">
        <v>86</v>
      </c>
      <c r="V232" s="1">
        <v>0</v>
      </c>
      <c r="W232" s="15">
        <v>0</v>
      </c>
      <c r="X232" s="15">
        <v>0</v>
      </c>
      <c r="Z232" t="s">
        <v>86</v>
      </c>
      <c r="AA232" s="1">
        <v>0</v>
      </c>
      <c r="AB232" s="1">
        <v>0</v>
      </c>
      <c r="AC232" s="2">
        <v>0</v>
      </c>
    </row>
    <row r="233" spans="1:29" x14ac:dyDescent="0.35">
      <c r="A233" t="s">
        <v>87</v>
      </c>
      <c r="B233" s="1">
        <v>0</v>
      </c>
      <c r="C233" s="15">
        <v>0</v>
      </c>
      <c r="D233" s="15">
        <v>0</v>
      </c>
      <c r="F233" t="s">
        <v>87</v>
      </c>
      <c r="G233" s="1">
        <v>0</v>
      </c>
      <c r="H233" s="15">
        <v>0</v>
      </c>
      <c r="I233" s="15">
        <v>0</v>
      </c>
      <c r="K233" s="2" t="s">
        <v>87</v>
      </c>
      <c r="L233" s="2">
        <v>0</v>
      </c>
      <c r="M233" s="2">
        <v>0</v>
      </c>
      <c r="N233" s="2">
        <v>0</v>
      </c>
      <c r="P233" t="s">
        <v>87</v>
      </c>
      <c r="Q233" s="2">
        <v>0</v>
      </c>
      <c r="R233" s="2">
        <v>0</v>
      </c>
      <c r="S233" s="2">
        <v>0</v>
      </c>
      <c r="U233" t="s">
        <v>87</v>
      </c>
      <c r="V233" s="1">
        <v>0</v>
      </c>
      <c r="W233" s="15">
        <v>0</v>
      </c>
      <c r="X233" s="15">
        <v>0</v>
      </c>
      <c r="Z233" t="s">
        <v>87</v>
      </c>
      <c r="AA233" s="1">
        <v>0</v>
      </c>
      <c r="AB233" s="1">
        <v>0</v>
      </c>
      <c r="AC233" s="2">
        <v>0</v>
      </c>
    </row>
    <row r="234" spans="1:29" x14ac:dyDescent="0.35">
      <c r="A234" s="19" t="s">
        <v>18</v>
      </c>
      <c r="B234" s="20">
        <v>0</v>
      </c>
      <c r="C234" s="20">
        <v>42704666.790000007</v>
      </c>
      <c r="D234" s="20">
        <v>42704666.790000007</v>
      </c>
      <c r="F234" s="19" t="s">
        <v>18</v>
      </c>
      <c r="G234" s="20">
        <v>0</v>
      </c>
      <c r="H234" s="20">
        <v>10349563</v>
      </c>
      <c r="I234" s="20">
        <v>10349563</v>
      </c>
      <c r="K234" s="20" t="s">
        <v>18</v>
      </c>
      <c r="L234" s="20">
        <v>0</v>
      </c>
      <c r="M234" s="20">
        <v>10019266.879999997</v>
      </c>
      <c r="N234" s="20">
        <v>10019266.879999997</v>
      </c>
      <c r="P234" s="19" t="s">
        <v>18</v>
      </c>
      <c r="Q234" s="20">
        <v>0</v>
      </c>
      <c r="R234" s="20">
        <v>20368829.879999999</v>
      </c>
      <c r="S234" s="20">
        <v>20368829.879999999</v>
      </c>
      <c r="U234" s="19" t="s">
        <v>18</v>
      </c>
      <c r="V234" s="20">
        <v>0</v>
      </c>
      <c r="W234" s="20">
        <v>10192569.770000003</v>
      </c>
      <c r="X234" s="20">
        <v>10192569.770000003</v>
      </c>
      <c r="Z234" s="19" t="s">
        <v>18</v>
      </c>
      <c r="AA234" s="20">
        <v>0</v>
      </c>
      <c r="AB234" s="20">
        <v>12143267.140000004</v>
      </c>
      <c r="AC234" s="20">
        <v>12143267.140000004</v>
      </c>
    </row>
    <row r="235" spans="1:29" x14ac:dyDescent="0.35">
      <c r="B235" s="1"/>
      <c r="C235" s="15"/>
      <c r="D235" s="15"/>
      <c r="K235" s="2"/>
      <c r="L235" s="2"/>
      <c r="M235" s="15"/>
      <c r="N235" s="2"/>
      <c r="Q235" s="2"/>
      <c r="R235" s="15"/>
      <c r="S235" s="2"/>
      <c r="V235" s="1"/>
      <c r="W235" s="15"/>
      <c r="X235" s="15"/>
      <c r="AA235" s="1"/>
      <c r="AB235" s="15"/>
      <c r="AC235" s="2"/>
    </row>
    <row r="236" spans="1:29" x14ac:dyDescent="0.35">
      <c r="B236" s="1"/>
      <c r="C236" s="15"/>
      <c r="D236" s="15"/>
      <c r="K236" s="2"/>
      <c r="L236" s="2"/>
      <c r="M236" s="15"/>
      <c r="N236" s="2"/>
      <c r="Q236" s="2"/>
      <c r="R236" s="15"/>
      <c r="S236" s="2"/>
      <c r="V236" s="1"/>
      <c r="W236" s="15"/>
      <c r="X236" s="15"/>
      <c r="AA236" s="1"/>
      <c r="AB236" s="15"/>
      <c r="AC236" s="2"/>
    </row>
    <row r="237" spans="1:29" x14ac:dyDescent="0.35">
      <c r="A237" t="s">
        <v>12</v>
      </c>
      <c r="B237" s="1">
        <v>515434968.19999999</v>
      </c>
      <c r="C237" s="15">
        <v>22977791.949999996</v>
      </c>
      <c r="D237" s="15">
        <v>538412760.14999998</v>
      </c>
      <c r="F237" t="s">
        <v>12</v>
      </c>
      <c r="G237" s="1">
        <v>162714761</v>
      </c>
      <c r="H237" s="15">
        <v>7835898</v>
      </c>
      <c r="I237" s="15">
        <v>170550659</v>
      </c>
      <c r="K237" s="2" t="s">
        <v>12</v>
      </c>
      <c r="L237" s="2">
        <v>140421849.94999987</v>
      </c>
      <c r="M237" s="2">
        <v>4646466.9099999983</v>
      </c>
      <c r="N237" s="2">
        <v>145068316.85999987</v>
      </c>
      <c r="P237" t="s">
        <v>12</v>
      </c>
      <c r="Q237" s="2">
        <v>303136610.94999987</v>
      </c>
      <c r="R237" s="2">
        <v>12482364.909999998</v>
      </c>
      <c r="S237" s="2">
        <v>315618975.8599999</v>
      </c>
      <c r="U237" t="s">
        <v>12</v>
      </c>
      <c r="V237" s="1">
        <v>115718426.46000016</v>
      </c>
      <c r="W237" s="15">
        <v>5041953.8899999987</v>
      </c>
      <c r="X237" s="15">
        <v>120760380.35000016</v>
      </c>
      <c r="Z237" t="s">
        <v>12</v>
      </c>
      <c r="AA237" s="1">
        <v>96579930.789999962</v>
      </c>
      <c r="AB237" s="1">
        <v>5453473.1499999966</v>
      </c>
      <c r="AC237" s="2">
        <v>102033403.93999995</v>
      </c>
    </row>
    <row r="238" spans="1:29" x14ac:dyDescent="0.35">
      <c r="A238" t="s">
        <v>3</v>
      </c>
      <c r="B238" s="1">
        <v>-462395788.01999992</v>
      </c>
      <c r="C238" s="15">
        <v>-2807920.1500000004</v>
      </c>
      <c r="D238" s="15">
        <v>-465203708.1699999</v>
      </c>
      <c r="F238" t="s">
        <v>3</v>
      </c>
      <c r="G238" s="1">
        <v>-140804321</v>
      </c>
      <c r="H238" s="15">
        <v>-2177096</v>
      </c>
      <c r="I238" s="15">
        <v>-142981417</v>
      </c>
      <c r="K238" s="2" t="s">
        <v>3</v>
      </c>
      <c r="L238" s="2">
        <v>-123212485.66</v>
      </c>
      <c r="M238" s="2">
        <v>-207361.4700000002</v>
      </c>
      <c r="N238" s="2">
        <v>-123419847.13</v>
      </c>
      <c r="P238" t="s">
        <v>3</v>
      </c>
      <c r="Q238" s="2">
        <v>-264016806.66</v>
      </c>
      <c r="R238" s="2">
        <v>-2384457.4700000002</v>
      </c>
      <c r="S238" s="2">
        <v>-266401264.13</v>
      </c>
      <c r="U238" t="s">
        <v>3</v>
      </c>
      <c r="V238" s="1">
        <v>-107853347.60000005</v>
      </c>
      <c r="W238" s="15">
        <v>-284195.56000000006</v>
      </c>
      <c r="X238" s="15">
        <v>-108137543.16000006</v>
      </c>
      <c r="Z238" t="s">
        <v>3</v>
      </c>
      <c r="AA238" s="1">
        <v>-90525633.759999841</v>
      </c>
      <c r="AB238" s="1">
        <v>-139267.12000000011</v>
      </c>
      <c r="AC238" s="2">
        <v>-90664900.879999846</v>
      </c>
    </row>
    <row r="239" spans="1:29" x14ac:dyDescent="0.35">
      <c r="A239" t="s">
        <v>88</v>
      </c>
      <c r="B239" s="1">
        <v>39299107.549999997</v>
      </c>
      <c r="C239" s="15">
        <v>4884339.5199999996</v>
      </c>
      <c r="D239" s="15">
        <v>44183447.069999993</v>
      </c>
      <c r="F239" t="s">
        <v>88</v>
      </c>
      <c r="G239" s="1">
        <v>10961407</v>
      </c>
      <c r="H239" s="15">
        <v>1082650</v>
      </c>
      <c r="I239" s="15">
        <v>12044057</v>
      </c>
      <c r="K239" s="2" t="s">
        <v>88</v>
      </c>
      <c r="L239" s="2">
        <v>9713862.3900000006</v>
      </c>
      <c r="M239" s="2">
        <v>878884.81</v>
      </c>
      <c r="N239" s="2">
        <v>10592747.200000001</v>
      </c>
      <c r="P239" t="s">
        <v>88</v>
      </c>
      <c r="Q239" s="2">
        <v>20675269.390000001</v>
      </c>
      <c r="R239" s="2">
        <v>1961534.81</v>
      </c>
      <c r="S239" s="2">
        <v>22636804.199999999</v>
      </c>
      <c r="U239" t="s">
        <v>88</v>
      </c>
      <c r="V239" s="1">
        <v>9996407.2799999975</v>
      </c>
      <c r="W239" s="15">
        <v>1673824.08</v>
      </c>
      <c r="X239" s="15">
        <v>11670231.359999998</v>
      </c>
      <c r="Z239" t="s">
        <v>88</v>
      </c>
      <c r="AA239" s="1">
        <v>8627430.879999999</v>
      </c>
      <c r="AB239" s="1">
        <v>1248980.6299999994</v>
      </c>
      <c r="AC239" s="2">
        <v>9876411.5099999979</v>
      </c>
    </row>
    <row r="240" spans="1:29" x14ac:dyDescent="0.35">
      <c r="A240" t="s">
        <v>13</v>
      </c>
      <c r="B240" s="1">
        <v>-29460594.990000002</v>
      </c>
      <c r="C240" s="15">
        <v>-856146.7</v>
      </c>
      <c r="D240" s="15">
        <v>-30316741.690000001</v>
      </c>
      <c r="F240" t="s">
        <v>13</v>
      </c>
      <c r="G240" s="1">
        <v>-8647477</v>
      </c>
      <c r="H240" s="15">
        <v>-271162</v>
      </c>
      <c r="I240" s="15">
        <v>-8918639</v>
      </c>
      <c r="K240" s="2" t="s">
        <v>13</v>
      </c>
      <c r="L240" s="2">
        <v>-7206875.4499999993</v>
      </c>
      <c r="M240" s="2">
        <v>-225098.22999999998</v>
      </c>
      <c r="N240" s="2">
        <v>-7431973.6799999997</v>
      </c>
      <c r="P240" t="s">
        <v>13</v>
      </c>
      <c r="Q240" s="2">
        <v>-15854352.449999999</v>
      </c>
      <c r="R240" s="2">
        <v>-496260.23</v>
      </c>
      <c r="S240" s="2">
        <v>-16350612.68</v>
      </c>
      <c r="U240" t="s">
        <v>13</v>
      </c>
      <c r="V240" s="1">
        <v>-3102379.0199999996</v>
      </c>
      <c r="W240" s="15">
        <v>-152181.16999999993</v>
      </c>
      <c r="X240" s="15">
        <v>-3254560.1899999995</v>
      </c>
      <c r="Z240" t="s">
        <v>13</v>
      </c>
      <c r="AA240" s="1">
        <v>-10503863.520000003</v>
      </c>
      <c r="AB240" s="1">
        <v>-207705.30000000005</v>
      </c>
      <c r="AC240" s="2">
        <v>-10711568.820000004</v>
      </c>
    </row>
    <row r="241" spans="1:29" x14ac:dyDescent="0.35">
      <c r="A241" s="19" t="s">
        <v>14</v>
      </c>
      <c r="B241" s="20">
        <v>62877692.740000062</v>
      </c>
      <c r="C241" s="20">
        <v>24198064.619999997</v>
      </c>
      <c r="D241" s="20">
        <v>87075757.360000059</v>
      </c>
      <c r="F241" s="19" t="s">
        <v>14</v>
      </c>
      <c r="G241" s="20">
        <v>24224370</v>
      </c>
      <c r="H241" s="20">
        <v>6470290</v>
      </c>
      <c r="I241" s="20">
        <v>30694660</v>
      </c>
      <c r="K241" s="20" t="s">
        <v>14</v>
      </c>
      <c r="L241" s="20">
        <v>19716351.229999874</v>
      </c>
      <c r="M241" s="20">
        <v>5092892.0199999977</v>
      </c>
      <c r="N241" s="20">
        <v>24809243.249999873</v>
      </c>
      <c r="P241" s="19" t="s">
        <v>14</v>
      </c>
      <c r="Q241" s="20">
        <v>43940721.22999987</v>
      </c>
      <c r="R241" s="20">
        <v>11563182.019999998</v>
      </c>
      <c r="S241" s="20">
        <v>55503903.249999866</v>
      </c>
      <c r="U241" s="19" t="s">
        <v>14</v>
      </c>
      <c r="V241" s="20">
        <v>14759107.120000102</v>
      </c>
      <c r="W241" s="20">
        <v>6279401.2399999984</v>
      </c>
      <c r="X241" s="20">
        <v>21038508.3600001</v>
      </c>
      <c r="Z241" s="19" t="s">
        <v>14</v>
      </c>
      <c r="AA241" s="20">
        <v>4177864.3900001161</v>
      </c>
      <c r="AB241" s="20">
        <v>6355481.3599999966</v>
      </c>
      <c r="AC241" s="20">
        <v>10533345.750000112</v>
      </c>
    </row>
    <row r="242" spans="1:29" x14ac:dyDescent="0.35">
      <c r="B242" s="2"/>
      <c r="C242" s="15"/>
      <c r="D242" s="15"/>
      <c r="K242" s="2"/>
      <c r="L242" s="2"/>
      <c r="M242" s="15"/>
      <c r="N242" s="2"/>
      <c r="Q242" s="2"/>
      <c r="R242" s="15"/>
      <c r="S242" s="2"/>
      <c r="V242" s="12"/>
      <c r="W242" s="15"/>
      <c r="X242" s="15"/>
      <c r="AA242" s="12"/>
      <c r="AB242" s="15"/>
      <c r="AC242" s="2"/>
    </row>
    <row r="243" spans="1:29" x14ac:dyDescent="0.35">
      <c r="B243" s="2"/>
      <c r="C243" s="15"/>
      <c r="D243" s="15"/>
      <c r="K243" s="2"/>
      <c r="L243" s="2"/>
      <c r="M243" s="15"/>
      <c r="N243" s="2"/>
      <c r="Q243" s="2"/>
      <c r="R243" s="15"/>
      <c r="S243" s="2"/>
      <c r="V243" s="12"/>
      <c r="W243" s="15"/>
      <c r="X243" s="15"/>
      <c r="AA243" s="12"/>
      <c r="AB243" s="15"/>
      <c r="AC243" s="2"/>
    </row>
    <row r="244" spans="1:29" x14ac:dyDescent="0.35">
      <c r="A244" t="s">
        <v>15</v>
      </c>
      <c r="B244" s="1">
        <v>0</v>
      </c>
      <c r="C244" s="15">
        <v>8078799.3200000003</v>
      </c>
      <c r="D244" s="15">
        <v>8078799.3200000003</v>
      </c>
      <c r="F244" t="s">
        <v>15</v>
      </c>
      <c r="G244" s="1">
        <v>0</v>
      </c>
      <c r="H244" s="15">
        <v>1973408</v>
      </c>
      <c r="I244" s="15">
        <v>1973408</v>
      </c>
      <c r="K244" s="2" t="s">
        <v>15</v>
      </c>
      <c r="L244" s="2">
        <v>0</v>
      </c>
      <c r="M244" s="2">
        <v>2143059.17</v>
      </c>
      <c r="N244" s="2">
        <v>2143059.17</v>
      </c>
      <c r="P244" t="s">
        <v>15</v>
      </c>
      <c r="Q244" s="2">
        <v>0</v>
      </c>
      <c r="R244" s="2">
        <v>4116467.17</v>
      </c>
      <c r="S244" s="2">
        <v>4116467.17</v>
      </c>
      <c r="U244" t="s">
        <v>15</v>
      </c>
      <c r="V244" s="1">
        <v>0</v>
      </c>
      <c r="W244" s="15">
        <v>2102668.5500000007</v>
      </c>
      <c r="X244" s="15">
        <v>2102668.5500000007</v>
      </c>
      <c r="Z244" t="s">
        <v>15</v>
      </c>
      <c r="AA244" s="1">
        <v>0</v>
      </c>
      <c r="AB244" s="1">
        <v>1859663.5999999996</v>
      </c>
      <c r="AC244" s="2">
        <v>1859663.5999999996</v>
      </c>
    </row>
    <row r="245" spans="1:29" x14ac:dyDescent="0.35">
      <c r="A245" t="s">
        <v>16</v>
      </c>
      <c r="B245" s="1">
        <v>0</v>
      </c>
      <c r="C245" s="15">
        <v>-6440615</v>
      </c>
      <c r="D245" s="15">
        <v>-6440615</v>
      </c>
      <c r="F245" t="s">
        <v>16</v>
      </c>
      <c r="G245" s="1">
        <v>0</v>
      </c>
      <c r="H245" s="15">
        <v>-9956723</v>
      </c>
      <c r="I245" s="15">
        <v>-9956723</v>
      </c>
      <c r="K245" s="2" t="s">
        <v>16</v>
      </c>
      <c r="L245" s="2">
        <v>0</v>
      </c>
      <c r="M245" s="2">
        <v>6366717.21</v>
      </c>
      <c r="N245" s="2">
        <v>6366717.21</v>
      </c>
      <c r="P245" t="s">
        <v>16</v>
      </c>
      <c r="Q245" s="2">
        <v>0</v>
      </c>
      <c r="R245" s="2">
        <v>-3590005.79</v>
      </c>
      <c r="S245" s="2">
        <v>-3590005.79</v>
      </c>
      <c r="U245" t="s">
        <v>16</v>
      </c>
      <c r="V245" s="1">
        <v>0</v>
      </c>
      <c r="W245" s="15">
        <v>-1499949.0300000003</v>
      </c>
      <c r="X245" s="15">
        <v>-1499949.0300000003</v>
      </c>
      <c r="Z245" t="s">
        <v>16</v>
      </c>
      <c r="AA245" s="1">
        <v>0</v>
      </c>
      <c r="AB245" s="1">
        <v>-1350660.1799999997</v>
      </c>
      <c r="AC245" s="2">
        <v>-1350660.1799999997</v>
      </c>
    </row>
    <row r="246" spans="1:29" x14ac:dyDescent="0.35">
      <c r="A246" s="19" t="s">
        <v>17</v>
      </c>
      <c r="B246" s="20">
        <v>0</v>
      </c>
      <c r="C246" s="20">
        <v>1638184.3200000003</v>
      </c>
      <c r="D246" s="20">
        <v>1638184.3200000003</v>
      </c>
      <c r="F246" s="19" t="s">
        <v>17</v>
      </c>
      <c r="G246" s="20">
        <v>0</v>
      </c>
      <c r="H246" s="20">
        <v>-7983315</v>
      </c>
      <c r="I246" s="20">
        <v>-7983315</v>
      </c>
      <c r="K246" s="20" t="s">
        <v>17</v>
      </c>
      <c r="L246" s="20">
        <v>0</v>
      </c>
      <c r="M246" s="20">
        <v>8509776.379999999</v>
      </c>
      <c r="N246" s="20">
        <v>8509776.379999999</v>
      </c>
      <c r="P246" s="19" t="s">
        <v>17</v>
      </c>
      <c r="Q246" s="20">
        <v>0</v>
      </c>
      <c r="R246" s="20">
        <v>526461.37999999989</v>
      </c>
      <c r="S246" s="20">
        <v>526461.37999999989</v>
      </c>
      <c r="U246" s="19" t="s">
        <v>17</v>
      </c>
      <c r="V246" s="20">
        <v>0</v>
      </c>
      <c r="W246" s="20">
        <v>602719.52000000048</v>
      </c>
      <c r="X246" s="20">
        <v>602719.52000000048</v>
      </c>
      <c r="Z246" s="19" t="s">
        <v>17</v>
      </c>
      <c r="AA246" s="20">
        <v>0</v>
      </c>
      <c r="AB246" s="20">
        <v>509003.41999999993</v>
      </c>
      <c r="AC246" s="20">
        <v>509003.41999999993</v>
      </c>
    </row>
    <row r="247" spans="1:29" x14ac:dyDescent="0.35">
      <c r="B247" s="1"/>
      <c r="C247" s="15"/>
      <c r="D247" s="15"/>
      <c r="K247" s="2"/>
      <c r="L247" s="2"/>
      <c r="M247" s="15"/>
      <c r="N247" s="2"/>
      <c r="Q247" s="2"/>
      <c r="R247" s="15"/>
      <c r="S247" s="2"/>
      <c r="V247" s="1"/>
      <c r="W247" s="15"/>
      <c r="X247" s="15"/>
      <c r="AA247" s="1"/>
      <c r="AB247" s="15"/>
      <c r="AC247" s="2"/>
    </row>
    <row r="248" spans="1:29" x14ac:dyDescent="0.35">
      <c r="B248" s="1"/>
      <c r="C248" s="15"/>
      <c r="D248" s="15"/>
      <c r="K248" s="2"/>
      <c r="L248" s="2"/>
      <c r="M248" s="15"/>
      <c r="N248" s="2"/>
      <c r="Q248" s="2"/>
      <c r="R248" s="15"/>
      <c r="S248" s="2"/>
      <c r="V248" s="1"/>
      <c r="W248" s="15"/>
      <c r="X248" s="15"/>
      <c r="AA248" s="1"/>
      <c r="AB248" s="15"/>
      <c r="AC248" s="2"/>
    </row>
    <row r="249" spans="1:29" x14ac:dyDescent="0.35">
      <c r="A249" s="16" t="s">
        <v>20</v>
      </c>
      <c r="B249" s="27">
        <v>0</v>
      </c>
      <c r="C249" s="28">
        <v>0</v>
      </c>
      <c r="D249" s="21">
        <v>0</v>
      </c>
      <c r="F249" t="s">
        <v>20</v>
      </c>
      <c r="G249" s="1">
        <v>0</v>
      </c>
      <c r="H249" s="15">
        <v>0</v>
      </c>
      <c r="I249" s="15">
        <v>0</v>
      </c>
      <c r="K249" s="7" t="s">
        <v>20</v>
      </c>
      <c r="L249" s="2">
        <v>0</v>
      </c>
      <c r="M249" s="2">
        <v>0</v>
      </c>
      <c r="N249" s="7">
        <v>0</v>
      </c>
      <c r="P249" s="6" t="s">
        <v>20</v>
      </c>
      <c r="Q249" s="2">
        <v>0</v>
      </c>
      <c r="R249" s="2">
        <v>0</v>
      </c>
      <c r="S249" s="7">
        <v>0</v>
      </c>
      <c r="U249" s="16" t="s">
        <v>20</v>
      </c>
      <c r="V249" s="27">
        <v>0</v>
      </c>
      <c r="W249" s="28">
        <v>0</v>
      </c>
      <c r="X249" s="21">
        <v>0</v>
      </c>
      <c r="Z249" s="16" t="s">
        <v>20</v>
      </c>
      <c r="AA249" s="27">
        <v>0</v>
      </c>
      <c r="AB249" s="28">
        <v>0</v>
      </c>
      <c r="AC249" s="17">
        <v>0</v>
      </c>
    </row>
    <row r="250" spans="1:29" x14ac:dyDescent="0.35">
      <c r="B250" s="1"/>
      <c r="C250" s="15"/>
      <c r="D250" s="15"/>
      <c r="F250" s="13"/>
      <c r="G250" s="13"/>
      <c r="H250" s="13"/>
      <c r="I250" s="13"/>
      <c r="K250" s="155"/>
      <c r="L250" s="155"/>
      <c r="M250" s="156"/>
      <c r="N250" s="155"/>
      <c r="P250" s="13"/>
      <c r="Q250" s="155"/>
      <c r="R250" s="156"/>
      <c r="S250" s="155"/>
      <c r="V250" s="1"/>
      <c r="W250" s="15"/>
      <c r="X250" s="15"/>
      <c r="AA250" s="1"/>
      <c r="AB250" s="15"/>
      <c r="AC250" s="2"/>
    </row>
    <row r="251" spans="1:29" x14ac:dyDescent="0.35">
      <c r="B251" s="1"/>
      <c r="C251" s="15"/>
      <c r="D251" s="15"/>
      <c r="K251" s="2"/>
      <c r="L251" s="2"/>
      <c r="M251" s="15"/>
      <c r="N251" s="2"/>
      <c r="Q251" s="2"/>
      <c r="R251" s="15"/>
      <c r="S251" s="2"/>
      <c r="X251" s="15"/>
      <c r="AC251" s="2"/>
    </row>
    <row r="252" spans="1:29" x14ac:dyDescent="0.35">
      <c r="B252" s="1"/>
      <c r="C252" s="15"/>
      <c r="D252" s="15"/>
      <c r="K252" s="2"/>
      <c r="L252" s="2"/>
      <c r="M252" s="15"/>
      <c r="N252" s="2"/>
      <c r="Q252" s="2"/>
      <c r="R252" s="15"/>
      <c r="S252" s="2"/>
      <c r="X252" s="15"/>
      <c r="AC252" s="2"/>
    </row>
    <row r="253" spans="1:29" x14ac:dyDescent="0.35">
      <c r="A253" t="s">
        <v>0</v>
      </c>
      <c r="B253" s="1">
        <v>0</v>
      </c>
      <c r="C253" s="15">
        <v>342579810.94</v>
      </c>
      <c r="D253" s="15">
        <v>342579810.94</v>
      </c>
      <c r="F253" t="s">
        <v>0</v>
      </c>
      <c r="G253" s="1">
        <v>0</v>
      </c>
      <c r="H253" s="15">
        <v>173370166</v>
      </c>
      <c r="I253" s="15">
        <v>173370166</v>
      </c>
      <c r="K253" s="2" t="s">
        <v>0</v>
      </c>
      <c r="L253" s="2">
        <v>0</v>
      </c>
      <c r="M253" s="2">
        <v>96001847.569999993</v>
      </c>
      <c r="N253" s="2">
        <v>96001847.569999993</v>
      </c>
      <c r="P253" t="s">
        <v>0</v>
      </c>
      <c r="Q253" s="2">
        <v>0</v>
      </c>
      <c r="R253" s="2">
        <v>269372013.56999999</v>
      </c>
      <c r="S253" s="2">
        <v>269372013.56999999</v>
      </c>
      <c r="U253" t="s">
        <v>0</v>
      </c>
      <c r="V253" s="1">
        <v>0</v>
      </c>
      <c r="W253" s="15">
        <v>68110096.860000014</v>
      </c>
      <c r="X253" s="15">
        <v>68110096.860000014</v>
      </c>
      <c r="Z253" t="s">
        <v>0</v>
      </c>
      <c r="AA253" s="1">
        <v>0</v>
      </c>
      <c r="AB253" s="1">
        <v>5097700.5099999905</v>
      </c>
      <c r="AC253" s="2">
        <v>5097700.5099999905</v>
      </c>
    </row>
    <row r="254" spans="1:29" x14ac:dyDescent="0.35">
      <c r="A254" t="s">
        <v>2</v>
      </c>
      <c r="B254" s="1">
        <v>0</v>
      </c>
      <c r="C254" s="15">
        <v>-333430064.91000003</v>
      </c>
      <c r="D254" s="15">
        <v>-333430064.91000003</v>
      </c>
      <c r="F254" t="s">
        <v>2</v>
      </c>
      <c r="G254" s="1">
        <v>0</v>
      </c>
      <c r="H254" s="15">
        <v>-161163282</v>
      </c>
      <c r="I254" s="15">
        <v>-161163282</v>
      </c>
      <c r="K254" s="2" t="s">
        <v>2</v>
      </c>
      <c r="L254" s="2">
        <v>0</v>
      </c>
      <c r="M254" s="2">
        <v>-104490164.53999999</v>
      </c>
      <c r="N254" s="2">
        <v>-104490164.53999999</v>
      </c>
      <c r="P254" t="s">
        <v>2</v>
      </c>
      <c r="Q254" s="2">
        <v>0</v>
      </c>
      <c r="R254" s="2">
        <v>-265653446.53999999</v>
      </c>
      <c r="S254" s="2">
        <v>-265653446.53999999</v>
      </c>
      <c r="U254" t="s">
        <v>2</v>
      </c>
      <c r="V254" s="1">
        <v>0</v>
      </c>
      <c r="W254" s="15">
        <v>-65171618.610000044</v>
      </c>
      <c r="X254" s="15">
        <v>-65171618.610000044</v>
      </c>
      <c r="Z254" t="s">
        <v>2</v>
      </c>
      <c r="AA254" s="1">
        <v>0</v>
      </c>
      <c r="AB254" s="1">
        <v>-2604999.7599999905</v>
      </c>
      <c r="AC254" s="2">
        <v>-2604999.7599999905</v>
      </c>
    </row>
    <row r="255" spans="1:29" x14ac:dyDescent="0.35">
      <c r="A255" s="19" t="s">
        <v>21</v>
      </c>
      <c r="B255" s="20">
        <v>0</v>
      </c>
      <c r="C255" s="20">
        <v>9149746.0299999714</v>
      </c>
      <c r="D255" s="20">
        <v>9149746.0299999714</v>
      </c>
      <c r="F255" s="19" t="s">
        <v>21</v>
      </c>
      <c r="G255" s="20">
        <v>0</v>
      </c>
      <c r="H255" s="20">
        <v>12206884</v>
      </c>
      <c r="I255" s="20">
        <v>12206884</v>
      </c>
      <c r="K255" s="20" t="s">
        <v>21</v>
      </c>
      <c r="L255" s="20">
        <v>0</v>
      </c>
      <c r="M255" s="20">
        <v>-8488316.9699999988</v>
      </c>
      <c r="N255" s="20">
        <v>-8488316.9699999988</v>
      </c>
      <c r="P255" s="19" t="s">
        <v>21</v>
      </c>
      <c r="Q255" s="20">
        <v>0</v>
      </c>
      <c r="R255" s="20">
        <v>3718567.0300000012</v>
      </c>
      <c r="S255" s="20">
        <v>3718567.0300000012</v>
      </c>
      <c r="U255" s="19" t="s">
        <v>21</v>
      </c>
      <c r="V255" s="20">
        <v>0</v>
      </c>
      <c r="W255" s="20">
        <v>2938478.2499999702</v>
      </c>
      <c r="X255" s="20">
        <v>2938478.2499999702</v>
      </c>
      <c r="Z255" s="19" t="s">
        <v>21</v>
      </c>
      <c r="AA255" s="20">
        <v>0</v>
      </c>
      <c r="AB255" s="20">
        <v>2492700.75</v>
      </c>
      <c r="AC255" s="20">
        <v>2492700.75</v>
      </c>
    </row>
    <row r="256" spans="1:29" x14ac:dyDescent="0.35">
      <c r="B256" s="2"/>
      <c r="C256" s="15"/>
      <c r="D256" s="15"/>
      <c r="K256" s="2"/>
      <c r="L256" s="2"/>
      <c r="M256" s="15"/>
      <c r="N256" s="2"/>
      <c r="Q256" s="2"/>
      <c r="R256" s="15"/>
      <c r="S256" s="2"/>
      <c r="V256" s="2"/>
      <c r="W256" s="15"/>
      <c r="X256" s="15"/>
      <c r="AA256" s="2"/>
      <c r="AB256" s="15"/>
      <c r="AC256" s="2"/>
    </row>
    <row r="257" spans="1:29" x14ac:dyDescent="0.35">
      <c r="B257" s="2"/>
      <c r="C257" s="15"/>
      <c r="D257" s="15"/>
      <c r="K257" s="2"/>
      <c r="L257" s="2"/>
      <c r="M257" s="15"/>
      <c r="N257" s="2"/>
      <c r="Q257" s="2"/>
      <c r="R257" s="15"/>
      <c r="S257" s="2"/>
      <c r="V257" s="2"/>
      <c r="W257" s="15"/>
      <c r="X257" s="15"/>
      <c r="AA257" s="2"/>
      <c r="AB257" s="15"/>
      <c r="AC257" s="2"/>
    </row>
    <row r="258" spans="1:29" x14ac:dyDescent="0.35">
      <c r="A258" t="s">
        <v>24</v>
      </c>
      <c r="B258" s="1">
        <v>0</v>
      </c>
      <c r="C258" s="15">
        <v>0</v>
      </c>
      <c r="D258" s="15">
        <v>0</v>
      </c>
      <c r="F258" t="s">
        <v>24</v>
      </c>
      <c r="G258" s="1">
        <v>0</v>
      </c>
      <c r="H258" s="15">
        <v>0</v>
      </c>
      <c r="I258" s="15">
        <v>0</v>
      </c>
      <c r="K258" s="2" t="s">
        <v>24</v>
      </c>
      <c r="L258" s="2">
        <v>0</v>
      </c>
      <c r="M258" s="2">
        <v>0</v>
      </c>
      <c r="N258" s="2">
        <v>0</v>
      </c>
      <c r="P258" t="s">
        <v>24</v>
      </c>
      <c r="Q258" s="2">
        <v>0</v>
      </c>
      <c r="R258" s="2">
        <v>0</v>
      </c>
      <c r="S258" s="2">
        <v>0</v>
      </c>
      <c r="U258" t="s">
        <v>24</v>
      </c>
      <c r="V258" s="1">
        <v>0</v>
      </c>
      <c r="W258" s="15">
        <v>0</v>
      </c>
      <c r="X258" s="15">
        <v>0</v>
      </c>
      <c r="Z258" t="s">
        <v>24</v>
      </c>
      <c r="AA258" s="1">
        <v>0</v>
      </c>
      <c r="AB258" s="1">
        <v>0</v>
      </c>
      <c r="AC258" s="2">
        <v>0</v>
      </c>
    </row>
    <row r="259" spans="1:29" x14ac:dyDescent="0.35">
      <c r="A259" t="s">
        <v>25</v>
      </c>
      <c r="B259" s="1">
        <v>0</v>
      </c>
      <c r="C259" s="15">
        <v>0</v>
      </c>
      <c r="D259" s="15">
        <v>0</v>
      </c>
      <c r="F259" t="s">
        <v>25</v>
      </c>
      <c r="G259" s="1">
        <v>0</v>
      </c>
      <c r="H259" s="15">
        <v>0</v>
      </c>
      <c r="I259" s="15">
        <v>0</v>
      </c>
      <c r="K259" s="2" t="s">
        <v>25</v>
      </c>
      <c r="L259" s="2">
        <v>0</v>
      </c>
      <c r="M259" s="2">
        <v>0</v>
      </c>
      <c r="N259" s="2">
        <v>0</v>
      </c>
      <c r="P259" t="s">
        <v>25</v>
      </c>
      <c r="Q259" s="2">
        <v>0</v>
      </c>
      <c r="R259" s="2">
        <v>0</v>
      </c>
      <c r="S259" s="2">
        <v>0</v>
      </c>
      <c r="U259" t="s">
        <v>25</v>
      </c>
      <c r="V259" s="1">
        <v>0</v>
      </c>
      <c r="W259" s="15">
        <v>0</v>
      </c>
      <c r="X259" s="15">
        <v>0</v>
      </c>
      <c r="Z259" t="s">
        <v>25</v>
      </c>
      <c r="AA259" s="1">
        <v>0</v>
      </c>
      <c r="AB259" s="1">
        <v>0</v>
      </c>
      <c r="AC259" s="2">
        <v>0</v>
      </c>
    </row>
    <row r="260" spans="1:29" x14ac:dyDescent="0.35">
      <c r="A260" t="s">
        <v>26</v>
      </c>
      <c r="B260" s="1">
        <v>0</v>
      </c>
      <c r="C260" s="15">
        <v>0</v>
      </c>
      <c r="D260" s="15">
        <v>0</v>
      </c>
      <c r="F260" t="s">
        <v>26</v>
      </c>
      <c r="G260" s="1">
        <v>0</v>
      </c>
      <c r="H260" s="15">
        <v>0</v>
      </c>
      <c r="I260" s="15">
        <v>0</v>
      </c>
      <c r="K260" s="2" t="s">
        <v>26</v>
      </c>
      <c r="L260" s="2">
        <v>0</v>
      </c>
      <c r="M260" s="2">
        <v>0</v>
      </c>
      <c r="N260" s="2">
        <v>0</v>
      </c>
      <c r="P260" t="s">
        <v>26</v>
      </c>
      <c r="Q260" s="2">
        <v>0</v>
      </c>
      <c r="R260" s="2">
        <v>0</v>
      </c>
      <c r="S260" s="2">
        <v>0</v>
      </c>
      <c r="U260" t="s">
        <v>26</v>
      </c>
      <c r="V260" s="1">
        <v>0</v>
      </c>
      <c r="W260" s="15">
        <v>0</v>
      </c>
      <c r="X260" s="15">
        <v>0</v>
      </c>
      <c r="Z260" t="s">
        <v>26</v>
      </c>
      <c r="AA260" s="1">
        <v>0</v>
      </c>
      <c r="AB260" s="1">
        <v>0</v>
      </c>
      <c r="AC260" s="2">
        <v>0</v>
      </c>
    </row>
    <row r="261" spans="1:29" x14ac:dyDescent="0.35">
      <c r="A261" s="19" t="s">
        <v>101</v>
      </c>
      <c r="B261" s="20">
        <v>0</v>
      </c>
      <c r="C261" s="20">
        <v>0</v>
      </c>
      <c r="D261" s="20">
        <v>0</v>
      </c>
      <c r="F261" s="19" t="s">
        <v>101</v>
      </c>
      <c r="G261" s="20">
        <v>0</v>
      </c>
      <c r="H261" s="20">
        <v>0</v>
      </c>
      <c r="I261" s="20">
        <v>0</v>
      </c>
      <c r="K261" s="20" t="s">
        <v>101</v>
      </c>
      <c r="L261" s="20">
        <v>0</v>
      </c>
      <c r="M261" s="20">
        <v>0</v>
      </c>
      <c r="N261" s="20">
        <v>0</v>
      </c>
      <c r="P261" s="19" t="s">
        <v>101</v>
      </c>
      <c r="Q261" s="20">
        <v>0</v>
      </c>
      <c r="R261" s="20">
        <v>0</v>
      </c>
      <c r="S261" s="20">
        <v>0</v>
      </c>
      <c r="U261" s="19" t="s">
        <v>152</v>
      </c>
      <c r="V261" s="20">
        <v>0</v>
      </c>
      <c r="W261" s="20">
        <v>0</v>
      </c>
      <c r="X261" s="20">
        <v>0</v>
      </c>
      <c r="Z261" s="19" t="s">
        <v>152</v>
      </c>
      <c r="AA261" s="20">
        <v>0</v>
      </c>
      <c r="AB261" s="20">
        <v>0</v>
      </c>
      <c r="AC261" s="20">
        <v>0</v>
      </c>
    </row>
    <row r="262" spans="1:29" x14ac:dyDescent="0.35">
      <c r="B262" s="2"/>
      <c r="C262" s="15"/>
      <c r="D262" s="15"/>
      <c r="K262" s="2"/>
      <c r="L262" s="2"/>
      <c r="M262" s="15"/>
      <c r="N262" s="2"/>
      <c r="Q262" s="2"/>
      <c r="R262" s="15"/>
      <c r="S262" s="2"/>
      <c r="V262" s="2"/>
      <c r="W262" s="15"/>
      <c r="X262" s="15"/>
      <c r="AA262" s="2"/>
      <c r="AB262" s="15"/>
      <c r="AC262" s="2"/>
    </row>
    <row r="263" spans="1:29" x14ac:dyDescent="0.35">
      <c r="B263" s="2"/>
      <c r="C263" s="15"/>
      <c r="D263" s="15"/>
      <c r="K263" s="2"/>
      <c r="L263" s="2"/>
      <c r="M263" s="15"/>
      <c r="N263" s="2"/>
      <c r="Q263" s="2"/>
      <c r="R263" s="15"/>
      <c r="S263" s="2"/>
      <c r="V263" s="2"/>
      <c r="W263" s="15"/>
      <c r="X263" s="15"/>
      <c r="AA263" s="2"/>
      <c r="AB263" s="15"/>
      <c r="AC263" s="2"/>
    </row>
    <row r="264" spans="1:29" x14ac:dyDescent="0.35">
      <c r="A264" t="s">
        <v>27</v>
      </c>
      <c r="B264" s="1">
        <v>0</v>
      </c>
      <c r="C264" s="15">
        <v>0</v>
      </c>
      <c r="D264" s="15">
        <v>0</v>
      </c>
      <c r="F264" t="s">
        <v>27</v>
      </c>
      <c r="G264" s="1">
        <v>0</v>
      </c>
      <c r="H264" s="15">
        <v>0</v>
      </c>
      <c r="I264" s="15">
        <v>0</v>
      </c>
      <c r="K264" s="2" t="s">
        <v>27</v>
      </c>
      <c r="L264" s="2">
        <v>0</v>
      </c>
      <c r="M264" s="2">
        <v>0</v>
      </c>
      <c r="N264" s="2">
        <v>0</v>
      </c>
      <c r="P264" t="s">
        <v>27</v>
      </c>
      <c r="Q264" s="2">
        <v>0</v>
      </c>
      <c r="R264" s="2">
        <v>0</v>
      </c>
      <c r="S264" s="2">
        <v>0</v>
      </c>
      <c r="U264" t="s">
        <v>27</v>
      </c>
      <c r="V264" s="1">
        <v>0</v>
      </c>
      <c r="W264" s="15">
        <v>0</v>
      </c>
      <c r="X264" s="15">
        <v>0</v>
      </c>
      <c r="Z264" t="s">
        <v>27</v>
      </c>
      <c r="AA264" s="1">
        <v>0</v>
      </c>
      <c r="AB264" s="1">
        <v>0</v>
      </c>
      <c r="AC264" s="2">
        <v>0</v>
      </c>
    </row>
    <row r="265" spans="1:29" x14ac:dyDescent="0.35">
      <c r="A265" t="s">
        <v>28</v>
      </c>
      <c r="B265" s="1">
        <v>0</v>
      </c>
      <c r="C265" s="15">
        <v>0</v>
      </c>
      <c r="D265" s="15">
        <v>0</v>
      </c>
      <c r="F265" t="s">
        <v>28</v>
      </c>
      <c r="G265" s="1">
        <v>0</v>
      </c>
      <c r="H265" s="15">
        <v>0</v>
      </c>
      <c r="I265" s="15">
        <v>0</v>
      </c>
      <c r="K265" s="2" t="s">
        <v>28</v>
      </c>
      <c r="L265" s="2">
        <v>0</v>
      </c>
      <c r="M265" s="2">
        <v>0</v>
      </c>
      <c r="N265" s="2">
        <v>0</v>
      </c>
      <c r="P265" t="s">
        <v>28</v>
      </c>
      <c r="Q265" s="2">
        <v>0</v>
      </c>
      <c r="R265" s="2">
        <v>0</v>
      </c>
      <c r="S265" s="2">
        <v>0</v>
      </c>
      <c r="U265" t="s">
        <v>28</v>
      </c>
      <c r="V265" s="1">
        <v>0</v>
      </c>
      <c r="W265" s="15">
        <v>0</v>
      </c>
      <c r="X265" s="15">
        <v>0</v>
      </c>
      <c r="Z265" t="s">
        <v>28</v>
      </c>
      <c r="AA265" s="1">
        <v>0</v>
      </c>
      <c r="AB265" s="1">
        <v>0</v>
      </c>
      <c r="AC265" s="2">
        <v>0</v>
      </c>
    </row>
    <row r="266" spans="1:29" x14ac:dyDescent="0.35">
      <c r="A266" t="s">
        <v>29</v>
      </c>
      <c r="B266" s="1">
        <v>0</v>
      </c>
      <c r="C266" s="15">
        <v>0</v>
      </c>
      <c r="D266" s="15">
        <v>0</v>
      </c>
      <c r="F266" t="s">
        <v>29</v>
      </c>
      <c r="G266" s="1">
        <v>0</v>
      </c>
      <c r="H266" s="15">
        <v>0</v>
      </c>
      <c r="I266" s="15">
        <v>0</v>
      </c>
      <c r="K266" s="2" t="s">
        <v>29</v>
      </c>
      <c r="L266" s="2">
        <v>0</v>
      </c>
      <c r="M266" s="2">
        <v>0</v>
      </c>
      <c r="N266" s="2">
        <v>0</v>
      </c>
      <c r="P266" t="s">
        <v>29</v>
      </c>
      <c r="Q266" s="2">
        <v>0</v>
      </c>
      <c r="R266" s="2">
        <v>0</v>
      </c>
      <c r="S266" s="2">
        <v>0</v>
      </c>
      <c r="U266" t="s">
        <v>29</v>
      </c>
      <c r="V266" s="1">
        <v>0</v>
      </c>
      <c r="W266" s="15">
        <v>0</v>
      </c>
      <c r="X266" s="15">
        <v>0</v>
      </c>
      <c r="Z266" t="s">
        <v>29</v>
      </c>
      <c r="AA266" s="1">
        <v>0</v>
      </c>
      <c r="AB266" s="1">
        <v>0</v>
      </c>
      <c r="AC266" s="2">
        <v>0</v>
      </c>
    </row>
    <row r="267" spans="1:29" x14ac:dyDescent="0.35">
      <c r="A267" t="s">
        <v>30</v>
      </c>
      <c r="B267" s="1">
        <v>0</v>
      </c>
      <c r="C267" s="15">
        <v>0</v>
      </c>
      <c r="D267" s="15">
        <v>0</v>
      </c>
      <c r="F267" t="s">
        <v>30</v>
      </c>
      <c r="G267" s="1">
        <v>0</v>
      </c>
      <c r="H267" s="15">
        <v>0</v>
      </c>
      <c r="I267" s="15">
        <v>0</v>
      </c>
      <c r="K267" s="2" t="s">
        <v>30</v>
      </c>
      <c r="L267" s="2">
        <v>0</v>
      </c>
      <c r="M267" s="2">
        <v>0</v>
      </c>
      <c r="N267" s="2">
        <v>0</v>
      </c>
      <c r="P267" t="s">
        <v>30</v>
      </c>
      <c r="Q267" s="2">
        <v>0</v>
      </c>
      <c r="R267" s="2">
        <v>0</v>
      </c>
      <c r="S267" s="2">
        <v>0</v>
      </c>
      <c r="U267" t="s">
        <v>30</v>
      </c>
      <c r="V267" s="1">
        <v>0</v>
      </c>
      <c r="W267" s="15">
        <v>0</v>
      </c>
      <c r="X267" s="15">
        <v>0</v>
      </c>
      <c r="Z267" t="s">
        <v>30</v>
      </c>
      <c r="AA267" s="1">
        <v>0</v>
      </c>
      <c r="AB267" s="1">
        <v>0</v>
      </c>
      <c r="AC267" s="2">
        <v>0</v>
      </c>
    </row>
    <row r="268" spans="1:29" x14ac:dyDescent="0.35">
      <c r="A268" s="19" t="s">
        <v>90</v>
      </c>
      <c r="B268" s="20">
        <v>0</v>
      </c>
      <c r="C268" s="20">
        <v>0</v>
      </c>
      <c r="D268" s="20">
        <v>0</v>
      </c>
      <c r="F268" s="19" t="s">
        <v>90</v>
      </c>
      <c r="G268" s="20">
        <v>0</v>
      </c>
      <c r="H268" s="20">
        <v>0</v>
      </c>
      <c r="I268" s="20">
        <v>0</v>
      </c>
      <c r="K268" s="20" t="s">
        <v>90</v>
      </c>
      <c r="L268" s="20">
        <v>0</v>
      </c>
      <c r="M268" s="20">
        <v>0</v>
      </c>
      <c r="N268" s="20">
        <v>0</v>
      </c>
      <c r="P268" s="19" t="s">
        <v>90</v>
      </c>
      <c r="Q268" s="20">
        <v>0</v>
      </c>
      <c r="R268" s="20">
        <v>0</v>
      </c>
      <c r="S268" s="20">
        <v>0</v>
      </c>
      <c r="U268" s="19" t="s">
        <v>90</v>
      </c>
      <c r="V268" s="20">
        <v>0</v>
      </c>
      <c r="W268" s="20">
        <v>0</v>
      </c>
      <c r="X268" s="20">
        <v>0</v>
      </c>
      <c r="Z268" s="19" t="s">
        <v>90</v>
      </c>
      <c r="AA268" s="20">
        <v>0</v>
      </c>
      <c r="AB268" s="20">
        <v>0</v>
      </c>
      <c r="AC268" s="20">
        <v>0</v>
      </c>
    </row>
    <row r="269" spans="1:29" x14ac:dyDescent="0.35">
      <c r="B269" s="2"/>
      <c r="C269" s="15"/>
      <c r="D269" s="15"/>
      <c r="K269" s="2"/>
      <c r="L269" s="2"/>
      <c r="M269" s="15"/>
      <c r="N269" s="2"/>
      <c r="Q269" s="2"/>
      <c r="R269" s="15"/>
      <c r="S269" s="2"/>
      <c r="V269" s="2"/>
      <c r="W269" s="15"/>
      <c r="X269" s="15"/>
      <c r="AA269" s="2"/>
      <c r="AB269" s="15"/>
      <c r="AC269" s="2"/>
    </row>
    <row r="270" spans="1:29" x14ac:dyDescent="0.35">
      <c r="B270" s="2"/>
      <c r="C270" s="15"/>
      <c r="D270" s="15"/>
      <c r="K270" s="2"/>
      <c r="L270" s="2"/>
      <c r="M270" s="15"/>
      <c r="N270" s="2"/>
      <c r="Q270" s="2"/>
      <c r="R270" s="15"/>
      <c r="S270" s="2"/>
      <c r="V270" s="2"/>
      <c r="W270" s="15"/>
      <c r="X270" s="15"/>
      <c r="AA270" s="2"/>
      <c r="AB270" s="15"/>
      <c r="AC270" s="2"/>
    </row>
    <row r="271" spans="1:29" x14ac:dyDescent="0.35">
      <c r="A271" s="16" t="s">
        <v>89</v>
      </c>
      <c r="B271" s="27">
        <v>0</v>
      </c>
      <c r="C271" s="28">
        <v>0</v>
      </c>
      <c r="D271" s="21">
        <v>0</v>
      </c>
      <c r="F271" t="s">
        <v>89</v>
      </c>
      <c r="G271" s="1">
        <v>0</v>
      </c>
      <c r="H271" s="15">
        <v>0</v>
      </c>
      <c r="I271" s="15">
        <v>0</v>
      </c>
      <c r="K271" s="2" t="s">
        <v>89</v>
      </c>
      <c r="L271" s="2">
        <v>0</v>
      </c>
      <c r="M271" s="2">
        <v>0</v>
      </c>
      <c r="N271" s="2">
        <v>0</v>
      </c>
      <c r="P271" t="s">
        <v>89</v>
      </c>
      <c r="Q271" s="2">
        <v>0</v>
      </c>
      <c r="R271" s="2">
        <v>0</v>
      </c>
      <c r="S271" s="2">
        <v>0</v>
      </c>
      <c r="U271" s="16" t="s">
        <v>89</v>
      </c>
      <c r="V271" s="27">
        <v>0</v>
      </c>
      <c r="W271" s="28">
        <v>0</v>
      </c>
      <c r="X271" s="21">
        <v>0</v>
      </c>
      <c r="Z271" s="16" t="s">
        <v>89</v>
      </c>
      <c r="AA271" s="27">
        <v>0</v>
      </c>
      <c r="AB271" s="28">
        <v>0</v>
      </c>
      <c r="AC271" s="17">
        <v>0</v>
      </c>
    </row>
    <row r="272" spans="1:29" x14ac:dyDescent="0.35">
      <c r="B272" s="2"/>
      <c r="C272" s="15"/>
      <c r="D272" s="15"/>
      <c r="K272" s="2"/>
      <c r="L272" s="2"/>
      <c r="M272" s="15"/>
      <c r="N272" s="2"/>
      <c r="Q272" s="2"/>
      <c r="R272" s="15"/>
      <c r="S272" s="2"/>
      <c r="V272" s="2"/>
      <c r="W272" s="15"/>
      <c r="X272" s="15"/>
      <c r="AA272" s="2"/>
      <c r="AB272" s="15"/>
      <c r="AC272" s="2"/>
    </row>
    <row r="273" spans="1:29" x14ac:dyDescent="0.35">
      <c r="B273" s="2"/>
      <c r="C273" s="15"/>
      <c r="D273" s="15"/>
      <c r="K273" s="2"/>
      <c r="L273" s="2"/>
      <c r="M273" s="15"/>
      <c r="N273" s="2"/>
      <c r="Q273" s="2"/>
      <c r="R273" s="15"/>
      <c r="S273" s="2"/>
      <c r="X273" s="15"/>
      <c r="AC273" s="2"/>
    </row>
    <row r="274" spans="1:29" x14ac:dyDescent="0.35">
      <c r="B274" s="2"/>
      <c r="C274" s="15"/>
      <c r="D274" s="15"/>
      <c r="K274" s="2"/>
      <c r="L274" s="2"/>
      <c r="M274" s="15"/>
      <c r="N274" s="2"/>
      <c r="Q274" s="2"/>
      <c r="R274" s="15"/>
      <c r="S274" s="2"/>
      <c r="X274" s="15"/>
      <c r="AC274" s="2"/>
    </row>
    <row r="275" spans="1:29" x14ac:dyDescent="0.35">
      <c r="A275" t="s">
        <v>31</v>
      </c>
      <c r="B275" s="1">
        <v>0</v>
      </c>
      <c r="C275" s="15">
        <v>0</v>
      </c>
      <c r="D275" s="15">
        <v>0</v>
      </c>
      <c r="F275" t="s">
        <v>31</v>
      </c>
      <c r="G275" s="1">
        <v>0</v>
      </c>
      <c r="H275" s="15">
        <v>0</v>
      </c>
      <c r="I275" s="15">
        <v>0</v>
      </c>
      <c r="K275" s="2" t="s">
        <v>31</v>
      </c>
      <c r="L275" s="2">
        <v>0</v>
      </c>
      <c r="M275" s="2">
        <v>0</v>
      </c>
      <c r="N275" s="2">
        <v>0</v>
      </c>
      <c r="P275" t="s">
        <v>31</v>
      </c>
      <c r="Q275" s="2">
        <v>0</v>
      </c>
      <c r="R275" s="2">
        <v>0</v>
      </c>
      <c r="S275" s="2">
        <v>0</v>
      </c>
      <c r="U275" t="s">
        <v>31</v>
      </c>
      <c r="V275" s="1">
        <v>0</v>
      </c>
      <c r="W275" s="15">
        <v>0</v>
      </c>
      <c r="X275" s="15">
        <v>0</v>
      </c>
      <c r="Z275" t="s">
        <v>31</v>
      </c>
      <c r="AA275" s="1">
        <v>0</v>
      </c>
      <c r="AB275" s="1">
        <v>0</v>
      </c>
      <c r="AC275" s="2">
        <v>0</v>
      </c>
    </row>
    <row r="276" spans="1:29" x14ac:dyDescent="0.35">
      <c r="A276" t="s">
        <v>32</v>
      </c>
      <c r="B276" s="1">
        <v>0</v>
      </c>
      <c r="C276" s="15">
        <v>0</v>
      </c>
      <c r="D276" s="15">
        <v>0</v>
      </c>
      <c r="F276" t="s">
        <v>32</v>
      </c>
      <c r="G276" s="1">
        <v>0</v>
      </c>
      <c r="H276" s="15">
        <v>0</v>
      </c>
      <c r="I276" s="15">
        <v>0</v>
      </c>
      <c r="K276" s="2" t="s">
        <v>32</v>
      </c>
      <c r="L276" s="2">
        <v>0</v>
      </c>
      <c r="M276" s="2">
        <v>0</v>
      </c>
      <c r="N276" s="2">
        <v>0</v>
      </c>
      <c r="P276" t="s">
        <v>32</v>
      </c>
      <c r="Q276" s="2">
        <v>0</v>
      </c>
      <c r="R276" s="2">
        <v>0</v>
      </c>
      <c r="S276" s="2">
        <v>0</v>
      </c>
      <c r="U276" t="s">
        <v>32</v>
      </c>
      <c r="V276" s="1">
        <v>0</v>
      </c>
      <c r="W276" s="15">
        <v>0</v>
      </c>
      <c r="X276" s="15">
        <v>0</v>
      </c>
      <c r="Z276" t="s">
        <v>32</v>
      </c>
      <c r="AA276" s="1">
        <v>0</v>
      </c>
      <c r="AB276" s="1">
        <v>0</v>
      </c>
      <c r="AC276" s="2">
        <v>0</v>
      </c>
    </row>
    <row r="277" spans="1:29" x14ac:dyDescent="0.35">
      <c r="A277" s="19" t="s">
        <v>33</v>
      </c>
      <c r="B277" s="20">
        <v>0</v>
      </c>
      <c r="C277" s="20">
        <v>0</v>
      </c>
      <c r="D277" s="20">
        <v>0</v>
      </c>
      <c r="F277" s="19" t="s">
        <v>33</v>
      </c>
      <c r="G277" s="20">
        <v>0</v>
      </c>
      <c r="H277" s="20">
        <v>0</v>
      </c>
      <c r="I277" s="20">
        <v>0</v>
      </c>
      <c r="K277" s="20" t="s">
        <v>33</v>
      </c>
      <c r="L277" s="20">
        <v>0</v>
      </c>
      <c r="M277" s="20">
        <v>0</v>
      </c>
      <c r="N277" s="20">
        <v>0</v>
      </c>
      <c r="P277" s="19" t="s">
        <v>33</v>
      </c>
      <c r="Q277" s="20">
        <v>0</v>
      </c>
      <c r="R277" s="20">
        <v>0</v>
      </c>
      <c r="S277" s="20">
        <v>0</v>
      </c>
      <c r="U277" s="25" t="s">
        <v>33</v>
      </c>
      <c r="V277" s="20">
        <v>0</v>
      </c>
      <c r="W277" s="20">
        <v>0</v>
      </c>
      <c r="X277" s="20">
        <v>0</v>
      </c>
      <c r="Z277" s="25" t="s">
        <v>33</v>
      </c>
      <c r="AA277" s="20">
        <v>0</v>
      </c>
      <c r="AB277" s="20">
        <v>0</v>
      </c>
      <c r="AC277" s="20">
        <v>0</v>
      </c>
    </row>
    <row r="278" spans="1:29" x14ac:dyDescent="0.35">
      <c r="B278" s="2"/>
      <c r="C278" s="15"/>
      <c r="D278" s="15"/>
      <c r="K278" s="2"/>
      <c r="L278" s="2"/>
      <c r="M278" s="15"/>
      <c r="N278" s="2"/>
      <c r="Q278" s="2"/>
      <c r="R278" s="15"/>
      <c r="S278" s="2"/>
      <c r="V278" s="2"/>
      <c r="W278" s="15"/>
      <c r="X278" s="15"/>
      <c r="AA278" s="2"/>
      <c r="AB278" s="15"/>
      <c r="AC278" s="2"/>
    </row>
    <row r="279" spans="1:29" x14ac:dyDescent="0.35">
      <c r="B279" s="2"/>
      <c r="C279" s="15"/>
      <c r="D279" s="15"/>
      <c r="K279" s="2"/>
      <c r="L279" s="2"/>
      <c r="M279" s="15"/>
      <c r="N279" s="2"/>
      <c r="Q279" s="2"/>
      <c r="R279" s="15"/>
      <c r="S279" s="2"/>
      <c r="V279" s="2"/>
      <c r="W279" s="15"/>
      <c r="X279" s="15"/>
      <c r="AA279" s="2"/>
      <c r="AB279" s="15"/>
      <c r="AC279" s="2"/>
    </row>
    <row r="280" spans="1:29" x14ac:dyDescent="0.35">
      <c r="A280" t="s">
        <v>35</v>
      </c>
      <c r="B280" s="1">
        <v>0</v>
      </c>
      <c r="C280" s="15">
        <v>1584726.18</v>
      </c>
      <c r="D280" s="15">
        <v>1584726.18</v>
      </c>
      <c r="F280" t="s">
        <v>35</v>
      </c>
      <c r="G280" s="1">
        <v>0</v>
      </c>
      <c r="H280" s="15">
        <v>124879</v>
      </c>
      <c r="I280" s="15">
        <v>124879</v>
      </c>
      <c r="K280" s="2" t="s">
        <v>35</v>
      </c>
      <c r="L280" s="2">
        <v>0</v>
      </c>
      <c r="M280" s="2">
        <v>-5.5400000000081491</v>
      </c>
      <c r="N280" s="2">
        <v>-5.5400000000081491</v>
      </c>
      <c r="P280" t="s">
        <v>35</v>
      </c>
      <c r="Q280" s="2">
        <v>0</v>
      </c>
      <c r="R280" s="2">
        <v>124873.45999999999</v>
      </c>
      <c r="S280" s="2">
        <v>124873.45999999999</v>
      </c>
      <c r="U280" t="s">
        <v>35</v>
      </c>
      <c r="V280" s="1">
        <v>0</v>
      </c>
      <c r="W280" s="15">
        <v>-16.459999999991851</v>
      </c>
      <c r="X280" s="15">
        <v>-16.459999999991851</v>
      </c>
      <c r="Z280" t="s">
        <v>35</v>
      </c>
      <c r="AA280" s="1">
        <v>0</v>
      </c>
      <c r="AB280" s="1">
        <v>1459869.18</v>
      </c>
      <c r="AC280" s="2">
        <v>1459869.18</v>
      </c>
    </row>
    <row r="281" spans="1:29" x14ac:dyDescent="0.35">
      <c r="A281" t="s">
        <v>36</v>
      </c>
      <c r="B281" s="1">
        <v>-75247565.200000003</v>
      </c>
      <c r="C281" s="15">
        <v>-10225183.280000001</v>
      </c>
      <c r="D281" s="15">
        <v>-85472748.480000004</v>
      </c>
      <c r="F281" t="s">
        <v>36</v>
      </c>
      <c r="G281" s="1">
        <v>-23463755</v>
      </c>
      <c r="H281" s="15">
        <v>-2892584</v>
      </c>
      <c r="I281" s="15">
        <v>-26356339</v>
      </c>
      <c r="K281" s="2" t="s">
        <v>36</v>
      </c>
      <c r="L281" s="2">
        <v>-20183493.299999997</v>
      </c>
      <c r="M281" s="2">
        <v>-2637610.9799999995</v>
      </c>
      <c r="N281" s="2">
        <v>-22821104.279999997</v>
      </c>
      <c r="P281" t="s">
        <v>36</v>
      </c>
      <c r="Q281" s="2">
        <v>-43647248.299999997</v>
      </c>
      <c r="R281" s="2">
        <v>-5530194.9799999995</v>
      </c>
      <c r="S281" s="2">
        <v>-49177443.279999994</v>
      </c>
      <c r="U281" t="s">
        <v>36</v>
      </c>
      <c r="V281" s="1">
        <v>-20309952.790000007</v>
      </c>
      <c r="W281" s="15">
        <v>-2228143.4300000006</v>
      </c>
      <c r="X281" s="15">
        <v>-22538096.220000006</v>
      </c>
      <c r="Z281" t="s">
        <v>36</v>
      </c>
      <c r="AA281" s="1">
        <v>-11290364.109999999</v>
      </c>
      <c r="AB281" s="1">
        <v>-2466844.870000001</v>
      </c>
      <c r="AC281" s="2">
        <v>-13757208.98</v>
      </c>
    </row>
    <row r="282" spans="1:29" x14ac:dyDescent="0.35">
      <c r="A282" s="19" t="s">
        <v>37</v>
      </c>
      <c r="B282" s="20">
        <v>-75247565.200000003</v>
      </c>
      <c r="C282" s="20">
        <v>-8640457.1000000015</v>
      </c>
      <c r="D282" s="20">
        <v>-83888022.300000012</v>
      </c>
      <c r="F282" s="19" t="s">
        <v>37</v>
      </c>
      <c r="G282" s="20">
        <v>-23463755</v>
      </c>
      <c r="H282" s="20">
        <v>-2767705</v>
      </c>
      <c r="I282" s="20">
        <v>-26231460</v>
      </c>
      <c r="K282" s="20" t="s">
        <v>37</v>
      </c>
      <c r="L282" s="20">
        <v>-20183493.299999997</v>
      </c>
      <c r="M282" s="20">
        <v>-2637616.5199999996</v>
      </c>
      <c r="N282" s="20">
        <v>-22821109.819999997</v>
      </c>
      <c r="P282" s="19" t="s">
        <v>37</v>
      </c>
      <c r="Q282" s="20">
        <v>-43647248.299999997</v>
      </c>
      <c r="R282" s="20">
        <v>-5405321.5199999996</v>
      </c>
      <c r="S282" s="20">
        <v>-49052569.819999993</v>
      </c>
      <c r="U282" s="25" t="s">
        <v>37</v>
      </c>
      <c r="V282" s="20">
        <v>-20309952.790000007</v>
      </c>
      <c r="W282" s="20">
        <v>-2228159.8900000006</v>
      </c>
      <c r="X282" s="20">
        <v>-22538112.680000007</v>
      </c>
      <c r="Z282" s="25" t="s">
        <v>37</v>
      </c>
      <c r="AA282" s="20">
        <v>-11290364.109999999</v>
      </c>
      <c r="AB282" s="20">
        <v>-1006975.6900000011</v>
      </c>
      <c r="AC282" s="20">
        <v>-12297339.800000001</v>
      </c>
    </row>
    <row r="283" spans="1:29" x14ac:dyDescent="0.35">
      <c r="B283" s="2"/>
      <c r="C283" s="15"/>
      <c r="D283" s="15"/>
      <c r="K283" s="2"/>
      <c r="L283" s="2"/>
      <c r="M283" s="15"/>
      <c r="N283" s="2"/>
      <c r="Q283" s="2"/>
      <c r="R283" s="15"/>
      <c r="S283" s="2"/>
      <c r="V283" s="2"/>
      <c r="W283" s="15"/>
      <c r="X283" s="15"/>
      <c r="AA283" s="2"/>
      <c r="AB283" s="15"/>
      <c r="AC283" s="2"/>
    </row>
    <row r="284" spans="1:29" x14ac:dyDescent="0.35">
      <c r="B284" s="2"/>
      <c r="C284" s="15"/>
      <c r="D284" s="15"/>
      <c r="K284" s="2"/>
      <c r="L284" s="2"/>
      <c r="M284" s="15"/>
      <c r="N284" s="2"/>
      <c r="Q284" s="2"/>
      <c r="R284" s="15"/>
      <c r="S284" s="2"/>
      <c r="V284" s="2"/>
      <c r="W284" s="15"/>
      <c r="X284" s="15"/>
      <c r="AA284" s="2"/>
      <c r="AB284" s="15"/>
      <c r="AC284" s="2"/>
    </row>
    <row r="285" spans="1:29" x14ac:dyDescent="0.35">
      <c r="A285" t="s">
        <v>38</v>
      </c>
      <c r="B285" s="1">
        <v>0</v>
      </c>
      <c r="C285" s="15">
        <v>0</v>
      </c>
      <c r="D285" s="15">
        <v>0</v>
      </c>
      <c r="F285" t="s">
        <v>38</v>
      </c>
      <c r="G285" s="1">
        <v>0</v>
      </c>
      <c r="H285" s="15">
        <v>0</v>
      </c>
      <c r="I285" s="15">
        <v>0</v>
      </c>
      <c r="K285" s="2" t="s">
        <v>38</v>
      </c>
      <c r="L285" s="2">
        <v>0</v>
      </c>
      <c r="M285" s="2">
        <v>0</v>
      </c>
      <c r="N285" s="2">
        <v>0</v>
      </c>
      <c r="P285" t="s">
        <v>38</v>
      </c>
      <c r="Q285" s="2">
        <v>0</v>
      </c>
      <c r="R285" s="2">
        <v>0</v>
      </c>
      <c r="S285" s="2">
        <v>0</v>
      </c>
      <c r="U285" t="s">
        <v>38</v>
      </c>
      <c r="V285" s="1">
        <v>0</v>
      </c>
      <c r="W285" s="15">
        <v>0</v>
      </c>
      <c r="X285" s="15">
        <v>0</v>
      </c>
      <c r="Z285" t="s">
        <v>38</v>
      </c>
      <c r="AA285" s="1">
        <v>0</v>
      </c>
      <c r="AB285" s="1">
        <v>0</v>
      </c>
      <c r="AC285" s="2">
        <v>0</v>
      </c>
    </row>
    <row r="286" spans="1:29" x14ac:dyDescent="0.35">
      <c r="A286" t="s">
        <v>78</v>
      </c>
      <c r="B286" s="1">
        <v>0</v>
      </c>
      <c r="C286" s="15">
        <v>-4788678.84</v>
      </c>
      <c r="D286" s="15">
        <v>-4788678.84</v>
      </c>
      <c r="F286" t="s">
        <v>78</v>
      </c>
      <c r="G286" s="1">
        <v>0</v>
      </c>
      <c r="H286" s="15">
        <v>-3329100.77</v>
      </c>
      <c r="I286" s="15">
        <v>-3329100.77</v>
      </c>
      <c r="K286" s="2" t="s">
        <v>78</v>
      </c>
      <c r="L286" s="2">
        <v>0</v>
      </c>
      <c r="M286" s="2">
        <v>-3122964.8499999992</v>
      </c>
      <c r="N286" s="2">
        <v>-3122964.8499999992</v>
      </c>
      <c r="P286" t="s">
        <v>78</v>
      </c>
      <c r="Q286" s="2">
        <v>0</v>
      </c>
      <c r="R286" s="2">
        <v>-6452065.6199999992</v>
      </c>
      <c r="S286" s="2">
        <v>-6452065.6199999992</v>
      </c>
      <c r="U286" t="s">
        <v>78</v>
      </c>
      <c r="V286" s="1">
        <v>0</v>
      </c>
      <c r="W286" s="15">
        <v>2466734.629999999</v>
      </c>
      <c r="X286" s="15">
        <v>2466734.629999999</v>
      </c>
      <c r="Z286" t="s">
        <v>78</v>
      </c>
      <c r="AA286" s="1">
        <v>0</v>
      </c>
      <c r="AB286" s="1">
        <v>-803347.84999999963</v>
      </c>
      <c r="AC286" s="2">
        <v>-803347.84999999963</v>
      </c>
    </row>
    <row r="287" spans="1:29" x14ac:dyDescent="0.35">
      <c r="A287" t="s">
        <v>39</v>
      </c>
      <c r="B287" s="1">
        <v>0</v>
      </c>
      <c r="C287" s="15">
        <v>-7653549.7999999989</v>
      </c>
      <c r="D287" s="15">
        <v>-7653549.7999999989</v>
      </c>
      <c r="F287" t="s">
        <v>39</v>
      </c>
      <c r="G287" s="1">
        <v>0</v>
      </c>
      <c r="H287" s="15">
        <v>-982561.23</v>
      </c>
      <c r="I287" s="15">
        <v>-982561.23</v>
      </c>
      <c r="K287" s="2" t="s">
        <v>39</v>
      </c>
      <c r="L287" s="2">
        <v>0</v>
      </c>
      <c r="M287" s="2">
        <v>622408.65999999922</v>
      </c>
      <c r="N287" s="2">
        <v>622408.65999999922</v>
      </c>
      <c r="P287" t="s">
        <v>39</v>
      </c>
      <c r="Q287" s="2">
        <v>0</v>
      </c>
      <c r="R287" s="2">
        <v>-360152.57000000076</v>
      </c>
      <c r="S287" s="2">
        <v>-360152.57000000076</v>
      </c>
      <c r="U287" t="s">
        <v>39</v>
      </c>
      <c r="V287" s="1">
        <v>0</v>
      </c>
      <c r="W287" s="15">
        <v>-4941330.2699999996</v>
      </c>
      <c r="X287" s="15">
        <v>-4941330.2699999996</v>
      </c>
      <c r="Z287" t="s">
        <v>39</v>
      </c>
      <c r="AA287" s="1">
        <v>0</v>
      </c>
      <c r="AB287" s="1">
        <v>-2352066.9599999986</v>
      </c>
      <c r="AC287" s="2">
        <v>-2352066.9599999986</v>
      </c>
    </row>
    <row r="288" spans="1:29" x14ac:dyDescent="0.35">
      <c r="A288" t="s">
        <v>40</v>
      </c>
      <c r="B288" s="1">
        <v>0</v>
      </c>
      <c r="C288" s="15">
        <v>-24750</v>
      </c>
      <c r="D288" s="15">
        <v>-24750</v>
      </c>
      <c r="F288" t="s">
        <v>40</v>
      </c>
      <c r="G288" s="1">
        <v>0</v>
      </c>
      <c r="H288" s="15">
        <v>0</v>
      </c>
      <c r="I288" s="15">
        <v>0</v>
      </c>
      <c r="K288" s="2" t="s">
        <v>40</v>
      </c>
      <c r="L288" s="2">
        <v>0</v>
      </c>
      <c r="M288" s="2">
        <v>-21732</v>
      </c>
      <c r="N288" s="2">
        <v>-21732</v>
      </c>
      <c r="P288" t="s">
        <v>40</v>
      </c>
      <c r="Q288" s="2">
        <v>0</v>
      </c>
      <c r="R288" s="2">
        <v>-21732</v>
      </c>
      <c r="S288" s="2">
        <v>-21732</v>
      </c>
      <c r="U288" t="s">
        <v>40</v>
      </c>
      <c r="V288" s="1">
        <v>0</v>
      </c>
      <c r="W288" s="15">
        <v>15132</v>
      </c>
      <c r="X288" s="15">
        <v>15132</v>
      </c>
      <c r="Z288" t="s">
        <v>40</v>
      </c>
      <c r="AA288" s="1">
        <v>0</v>
      </c>
      <c r="AB288" s="1">
        <v>-18150</v>
      </c>
      <c r="AC288" s="2">
        <v>-18150</v>
      </c>
    </row>
    <row r="289" spans="1:30" x14ac:dyDescent="0.35">
      <c r="A289" t="s">
        <v>41</v>
      </c>
      <c r="B289" s="1">
        <v>0</v>
      </c>
      <c r="C289" s="15">
        <v>-9774937.7600000016</v>
      </c>
      <c r="D289" s="15">
        <v>-9774937.7600000016</v>
      </c>
      <c r="F289" t="s">
        <v>41</v>
      </c>
      <c r="G289" s="1">
        <v>0</v>
      </c>
      <c r="H289" s="15">
        <v>-29959</v>
      </c>
      <c r="I289" s="15">
        <v>-29959</v>
      </c>
      <c r="K289" s="2" t="s">
        <v>41</v>
      </c>
      <c r="L289" s="2">
        <v>0</v>
      </c>
      <c r="M289" s="2">
        <v>-3441</v>
      </c>
      <c r="N289" s="2">
        <v>-3441</v>
      </c>
      <c r="P289" t="s">
        <v>41</v>
      </c>
      <c r="Q289" s="2">
        <v>0</v>
      </c>
      <c r="R289" s="2">
        <v>-33400</v>
      </c>
      <c r="S289" s="2">
        <v>-33400</v>
      </c>
      <c r="U289" t="s">
        <v>41</v>
      </c>
      <c r="V289" s="1">
        <v>0</v>
      </c>
      <c r="W289" s="15">
        <v>-34898.739999999991</v>
      </c>
      <c r="X289" s="15">
        <v>-34898.739999999991</v>
      </c>
      <c r="Z289" t="s">
        <v>41</v>
      </c>
      <c r="AA289" s="1">
        <v>0</v>
      </c>
      <c r="AB289" s="1">
        <v>-9706639.0200000014</v>
      </c>
      <c r="AC289" s="2">
        <v>-9706639.0200000014</v>
      </c>
    </row>
    <row r="290" spans="1:30" x14ac:dyDescent="0.35">
      <c r="A290" t="s">
        <v>42</v>
      </c>
      <c r="B290" s="1">
        <v>0</v>
      </c>
      <c r="C290" s="15">
        <v>0</v>
      </c>
      <c r="D290" s="15">
        <v>0</v>
      </c>
      <c r="F290" t="s">
        <v>42</v>
      </c>
      <c r="G290" s="1">
        <v>0</v>
      </c>
      <c r="H290" s="15">
        <v>0</v>
      </c>
      <c r="I290" s="15">
        <v>0</v>
      </c>
      <c r="K290" s="2" t="s">
        <v>42</v>
      </c>
      <c r="L290" s="2">
        <v>0</v>
      </c>
      <c r="M290" s="2">
        <v>0</v>
      </c>
      <c r="N290" s="2">
        <v>0</v>
      </c>
      <c r="P290" t="s">
        <v>42</v>
      </c>
      <c r="Q290" s="2">
        <v>0</v>
      </c>
      <c r="R290" s="2">
        <v>0</v>
      </c>
      <c r="S290" s="2">
        <v>0</v>
      </c>
      <c r="U290" t="s">
        <v>42</v>
      </c>
      <c r="V290" s="1">
        <v>0</v>
      </c>
      <c r="W290" s="15">
        <v>0</v>
      </c>
      <c r="X290" s="15">
        <v>0</v>
      </c>
      <c r="Z290" t="s">
        <v>42</v>
      </c>
      <c r="AA290" s="1">
        <v>0</v>
      </c>
      <c r="AB290" s="1">
        <v>0</v>
      </c>
      <c r="AC290" s="2">
        <v>0</v>
      </c>
    </row>
    <row r="291" spans="1:30" x14ac:dyDescent="0.35">
      <c r="A291" t="s">
        <v>4</v>
      </c>
      <c r="B291" s="1">
        <v>0</v>
      </c>
      <c r="C291" s="15">
        <v>0</v>
      </c>
      <c r="D291" s="15">
        <v>0</v>
      </c>
      <c r="F291" t="s">
        <v>4</v>
      </c>
      <c r="G291" s="1">
        <v>0</v>
      </c>
      <c r="H291" s="15">
        <v>0</v>
      </c>
      <c r="I291" s="15">
        <v>0</v>
      </c>
      <c r="K291" s="2" t="s">
        <v>4</v>
      </c>
      <c r="L291" s="2">
        <v>0</v>
      </c>
      <c r="M291" s="2">
        <v>0</v>
      </c>
      <c r="N291" s="2">
        <v>0</v>
      </c>
      <c r="P291" t="s">
        <v>4</v>
      </c>
      <c r="Q291" s="2">
        <v>0</v>
      </c>
      <c r="R291" s="2">
        <v>0</v>
      </c>
      <c r="S291" s="2">
        <v>0</v>
      </c>
      <c r="U291" t="s">
        <v>4</v>
      </c>
      <c r="V291" s="1">
        <v>0</v>
      </c>
      <c r="W291" s="15">
        <v>0</v>
      </c>
      <c r="X291" s="15">
        <v>0</v>
      </c>
      <c r="Z291" t="s">
        <v>4</v>
      </c>
      <c r="AA291" s="1">
        <v>0</v>
      </c>
      <c r="AB291" s="1">
        <v>0</v>
      </c>
      <c r="AC291" s="2">
        <v>0</v>
      </c>
    </row>
    <row r="292" spans="1:30" x14ac:dyDescent="0.35">
      <c r="A292" t="s">
        <v>5</v>
      </c>
      <c r="B292" s="1">
        <v>0</v>
      </c>
      <c r="C292" s="15">
        <v>0</v>
      </c>
      <c r="D292" s="15">
        <v>0</v>
      </c>
      <c r="F292" t="s">
        <v>5</v>
      </c>
      <c r="G292" s="1">
        <v>0</v>
      </c>
      <c r="H292" s="15">
        <v>0</v>
      </c>
      <c r="I292" s="15">
        <v>0</v>
      </c>
      <c r="K292" s="2" t="s">
        <v>5</v>
      </c>
      <c r="L292" s="2">
        <v>0</v>
      </c>
      <c r="M292" s="2">
        <v>0</v>
      </c>
      <c r="N292" s="2">
        <v>0</v>
      </c>
      <c r="P292" t="s">
        <v>5</v>
      </c>
      <c r="Q292" s="2">
        <v>0</v>
      </c>
      <c r="R292" s="2">
        <v>0</v>
      </c>
      <c r="S292" s="2">
        <v>0</v>
      </c>
      <c r="U292" t="s">
        <v>5</v>
      </c>
      <c r="V292" s="1">
        <v>0</v>
      </c>
      <c r="W292" s="15">
        <v>0</v>
      </c>
      <c r="X292" s="15">
        <v>0</v>
      </c>
      <c r="Z292" t="s">
        <v>5</v>
      </c>
      <c r="AA292" s="1">
        <v>0</v>
      </c>
      <c r="AB292" s="1">
        <v>0</v>
      </c>
      <c r="AC292" s="2">
        <v>0</v>
      </c>
    </row>
    <row r="293" spans="1:30" x14ac:dyDescent="0.35">
      <c r="A293" t="s">
        <v>182</v>
      </c>
      <c r="B293" s="1">
        <v>0</v>
      </c>
      <c r="C293" s="15">
        <v>2065642.44</v>
      </c>
      <c r="D293" s="15">
        <v>2065642.44</v>
      </c>
      <c r="F293" t="s">
        <v>182</v>
      </c>
      <c r="G293" s="1">
        <v>0</v>
      </c>
      <c r="H293" s="15">
        <v>408424</v>
      </c>
      <c r="I293" s="15">
        <v>408424</v>
      </c>
      <c r="K293" s="2" t="s">
        <v>182</v>
      </c>
      <c r="L293" s="2">
        <v>0</v>
      </c>
      <c r="M293" s="2">
        <v>929146.36999999988</v>
      </c>
      <c r="N293" s="2">
        <v>929146.36999999988</v>
      </c>
      <c r="P293" t="s">
        <v>182</v>
      </c>
      <c r="Q293" s="2">
        <v>0</v>
      </c>
      <c r="R293" s="2">
        <v>1337570.3699999999</v>
      </c>
      <c r="S293" s="2">
        <v>1337570.3699999999</v>
      </c>
      <c r="U293" t="s">
        <v>182</v>
      </c>
      <c r="V293" s="1">
        <v>0</v>
      </c>
      <c r="W293" s="15">
        <v>-507090.70999999985</v>
      </c>
      <c r="X293" s="15">
        <v>-507090.70999999985</v>
      </c>
      <c r="Z293" t="s">
        <v>182</v>
      </c>
      <c r="AA293" s="1">
        <v>0</v>
      </c>
      <c r="AB293" s="1">
        <v>1235162.78</v>
      </c>
      <c r="AC293" s="2">
        <v>1235162.78</v>
      </c>
    </row>
    <row r="294" spans="1:30" x14ac:dyDescent="0.35">
      <c r="A294" s="19" t="s">
        <v>11</v>
      </c>
      <c r="B294" s="20">
        <v>0</v>
      </c>
      <c r="C294" s="20">
        <v>-20176273.959999997</v>
      </c>
      <c r="D294" s="20">
        <v>-20176273.959999997</v>
      </c>
      <c r="F294" s="19" t="s">
        <v>11</v>
      </c>
      <c r="G294" s="20">
        <v>0</v>
      </c>
      <c r="H294" s="20">
        <v>-3933197</v>
      </c>
      <c r="I294" s="20">
        <v>-3933197</v>
      </c>
      <c r="K294" s="20" t="s">
        <v>11</v>
      </c>
      <c r="L294" s="20">
        <v>0</v>
      </c>
      <c r="M294" s="20">
        <v>-1596582.82</v>
      </c>
      <c r="N294" s="20">
        <v>-1596582.82</v>
      </c>
      <c r="P294" s="19" t="s">
        <v>11</v>
      </c>
      <c r="Q294" s="20">
        <v>0</v>
      </c>
      <c r="R294" s="20">
        <v>-5529779.8199999994</v>
      </c>
      <c r="S294" s="20">
        <v>-5529779.8199999994</v>
      </c>
      <c r="U294" s="19" t="s">
        <v>11</v>
      </c>
      <c r="V294" s="20">
        <v>0</v>
      </c>
      <c r="W294" s="20">
        <v>-3001453.0900000008</v>
      </c>
      <c r="X294" s="20">
        <v>-3001453.0900000008</v>
      </c>
      <c r="Z294" s="19" t="s">
        <v>11</v>
      </c>
      <c r="AA294" s="20">
        <v>0</v>
      </c>
      <c r="AB294" s="20">
        <v>-11645041.050000001</v>
      </c>
      <c r="AC294" s="20">
        <v>-11645041.050000001</v>
      </c>
    </row>
    <row r="295" spans="1:30" x14ac:dyDescent="0.35">
      <c r="B295" s="2"/>
      <c r="C295" s="15"/>
      <c r="D295" s="15"/>
      <c r="K295" s="2"/>
      <c r="L295" s="2"/>
      <c r="M295" s="15"/>
      <c r="N295" s="2"/>
      <c r="Q295" s="2"/>
      <c r="R295" s="15"/>
      <c r="S295" s="2"/>
      <c r="V295" s="2"/>
      <c r="W295" s="15"/>
      <c r="X295" s="15"/>
      <c r="AA295" s="2"/>
      <c r="AB295" s="15"/>
      <c r="AC295" s="2"/>
    </row>
    <row r="296" spans="1:30" x14ac:dyDescent="0.35">
      <c r="B296" s="2"/>
      <c r="C296" s="15"/>
      <c r="D296" s="15"/>
      <c r="K296" s="2"/>
      <c r="L296" s="2"/>
      <c r="M296" s="15"/>
      <c r="N296" s="2"/>
      <c r="Q296" s="2"/>
      <c r="R296" s="15"/>
      <c r="S296" s="2"/>
      <c r="V296" s="2"/>
      <c r="W296" s="15"/>
      <c r="X296" s="15"/>
      <c r="AA296" s="2"/>
      <c r="AB296" s="15"/>
      <c r="AC296" s="2"/>
    </row>
    <row r="297" spans="1:30" x14ac:dyDescent="0.35">
      <c r="A297" s="11" t="s">
        <v>43</v>
      </c>
      <c r="B297" s="4">
        <v>-12369872.459999941</v>
      </c>
      <c r="C297" s="4">
        <v>48873930.699999973</v>
      </c>
      <c r="D297" s="4">
        <v>36504058.240000032</v>
      </c>
      <c r="F297" s="11" t="s">
        <v>43</v>
      </c>
      <c r="G297" s="4">
        <v>760615</v>
      </c>
      <c r="H297" s="4">
        <v>14342520</v>
      </c>
      <c r="I297" s="4">
        <v>15103135</v>
      </c>
      <c r="K297" s="4" t="s">
        <v>43</v>
      </c>
      <c r="L297" s="4">
        <v>-467142.07000012323</v>
      </c>
      <c r="M297" s="4">
        <v>10899418.969999995</v>
      </c>
      <c r="N297" s="4">
        <v>10432276.899999872</v>
      </c>
      <c r="P297" s="11" t="s">
        <v>43</v>
      </c>
      <c r="Q297" s="4">
        <v>293472.92999987304</v>
      </c>
      <c r="R297" s="4">
        <v>25241938.970000003</v>
      </c>
      <c r="S297" s="4">
        <v>25535411.899999876</v>
      </c>
      <c r="U297" s="11" t="s">
        <v>43</v>
      </c>
      <c r="V297" s="137">
        <v>-5550845.6699998975</v>
      </c>
      <c r="W297" s="4">
        <v>14783555.799999963</v>
      </c>
      <c r="X297" s="4">
        <v>9232710.130000066</v>
      </c>
      <c r="Z297" s="11" t="s">
        <v>43</v>
      </c>
      <c r="AA297" s="4">
        <v>-7112499.7199998833</v>
      </c>
      <c r="AB297" s="4">
        <v>8848435.9299999997</v>
      </c>
      <c r="AC297" s="4">
        <v>1735936.2100001164</v>
      </c>
    </row>
    <row r="298" spans="1:30" x14ac:dyDescent="0.35">
      <c r="A298" t="s">
        <v>6</v>
      </c>
      <c r="B298" s="1">
        <v>0</v>
      </c>
      <c r="C298" s="15">
        <v>-13014739.539999999</v>
      </c>
      <c r="D298" s="2">
        <v>-13014739.539999999</v>
      </c>
      <c r="F298" t="s">
        <v>6</v>
      </c>
      <c r="G298" s="1">
        <v>0</v>
      </c>
      <c r="H298" s="15">
        <v>-2994157</v>
      </c>
      <c r="I298" s="15">
        <v>-2994157</v>
      </c>
      <c r="K298" s="2" t="s">
        <v>6</v>
      </c>
      <c r="L298" s="2">
        <v>0</v>
      </c>
      <c r="M298" s="2">
        <v>-2922619.4399999995</v>
      </c>
      <c r="N298" s="2">
        <v>-2922619.4399999995</v>
      </c>
      <c r="P298" t="s">
        <v>6</v>
      </c>
      <c r="Q298" s="2">
        <v>0</v>
      </c>
      <c r="R298" s="2">
        <v>-5916776.4399999995</v>
      </c>
      <c r="S298" s="2">
        <v>-5916776.4399999995</v>
      </c>
      <c r="U298" t="s">
        <v>6</v>
      </c>
      <c r="V298" s="1">
        <v>0</v>
      </c>
      <c r="W298" s="15">
        <v>-3354976.8299999982</v>
      </c>
      <c r="X298" s="2">
        <v>-3354976.8299999982</v>
      </c>
      <c r="Z298" t="s">
        <v>6</v>
      </c>
      <c r="AA298" s="1">
        <v>0</v>
      </c>
      <c r="AB298" s="1">
        <v>-3742986.2700000014</v>
      </c>
      <c r="AC298" s="2">
        <v>-3742986.2700000014</v>
      </c>
    </row>
    <row r="299" spans="1:30" x14ac:dyDescent="0.35">
      <c r="A299" s="11" t="s">
        <v>7</v>
      </c>
      <c r="B299" s="4">
        <v>-12369872.459999941</v>
      </c>
      <c r="C299" s="4">
        <v>35859191.159999974</v>
      </c>
      <c r="D299" s="4">
        <v>23489318.700000033</v>
      </c>
      <c r="F299" s="11" t="s">
        <v>7</v>
      </c>
      <c r="G299" s="4">
        <v>760615</v>
      </c>
      <c r="H299" s="4">
        <v>11348363</v>
      </c>
      <c r="I299" s="4">
        <v>12108978</v>
      </c>
      <c r="K299" s="4" t="s">
        <v>7</v>
      </c>
      <c r="L299" s="4">
        <v>-467142.07000012323</v>
      </c>
      <c r="M299" s="4">
        <v>7976799.5299999956</v>
      </c>
      <c r="N299" s="4">
        <v>7509657.4599998724</v>
      </c>
      <c r="P299" s="11" t="s">
        <v>7</v>
      </c>
      <c r="Q299" s="4">
        <v>293472.92999987304</v>
      </c>
      <c r="R299" s="4">
        <v>19325162.530000001</v>
      </c>
      <c r="S299" s="4">
        <v>19618635.459999874</v>
      </c>
      <c r="U299" s="11" t="s">
        <v>7</v>
      </c>
      <c r="V299" s="137">
        <v>-5550845.6699998975</v>
      </c>
      <c r="W299" s="4">
        <v>11428578.969999969</v>
      </c>
      <c r="X299" s="4">
        <v>5877733.3000000715</v>
      </c>
      <c r="Z299" s="11" t="s">
        <v>7</v>
      </c>
      <c r="AA299" s="137">
        <v>-7112499.7199998833</v>
      </c>
      <c r="AB299" s="137">
        <v>5105449.6599999983</v>
      </c>
      <c r="AC299" s="4">
        <v>-2007050.059999885</v>
      </c>
    </row>
    <row r="300" spans="1:30" x14ac:dyDescent="0.35">
      <c r="A300" t="s">
        <v>8</v>
      </c>
      <c r="B300" s="1">
        <v>0</v>
      </c>
      <c r="C300" s="15">
        <v>-13637656.777499987</v>
      </c>
      <c r="D300" s="2">
        <v>-13637656.777499987</v>
      </c>
      <c r="F300" t="s">
        <v>8</v>
      </c>
      <c r="G300" s="1">
        <v>0</v>
      </c>
      <c r="H300" s="15">
        <v>-4498399.2997000003</v>
      </c>
      <c r="I300" s="2">
        <v>-4498399.2997000003</v>
      </c>
      <c r="K300" s="2" t="s">
        <v>8</v>
      </c>
      <c r="L300" s="2">
        <v>0</v>
      </c>
      <c r="M300" s="2">
        <v>-2682953.2869999968</v>
      </c>
      <c r="N300" s="2">
        <v>-2682953.2869999968</v>
      </c>
      <c r="P300" t="s">
        <v>8</v>
      </c>
      <c r="Q300" s="2">
        <v>0</v>
      </c>
      <c r="R300" s="2">
        <v>-7181352.5866999971</v>
      </c>
      <c r="S300" s="2">
        <v>-7181352.5866999971</v>
      </c>
      <c r="U300" t="s">
        <v>8</v>
      </c>
      <c r="V300" s="1">
        <v>0</v>
      </c>
      <c r="W300" s="15">
        <v>-4932516.0788179832</v>
      </c>
      <c r="X300" s="2">
        <v>-4932516.0788179832</v>
      </c>
      <c r="Z300" t="s">
        <v>8</v>
      </c>
      <c r="AA300" s="1">
        <v>0</v>
      </c>
      <c r="AB300" s="1">
        <v>-1523788.1119820056</v>
      </c>
      <c r="AC300" s="2">
        <v>-1523788.1119820056</v>
      </c>
    </row>
    <row r="301" spans="1:30" x14ac:dyDescent="0.35">
      <c r="A301" s="11" t="s">
        <v>143</v>
      </c>
      <c r="B301" s="4">
        <v>-12369872.459999941</v>
      </c>
      <c r="C301" s="4">
        <v>22221534.382499985</v>
      </c>
      <c r="D301" s="4">
        <v>9851661.9225000441</v>
      </c>
      <c r="F301" s="11" t="s">
        <v>161</v>
      </c>
      <c r="G301" s="4">
        <v>760615</v>
      </c>
      <c r="H301" s="4">
        <v>6849963.7002999997</v>
      </c>
      <c r="I301" s="4">
        <v>7610578.7002999997</v>
      </c>
      <c r="K301" s="4" t="s">
        <v>161</v>
      </c>
      <c r="L301" s="4">
        <v>-467142.07000012323</v>
      </c>
      <c r="M301" s="4">
        <v>5293846.2429999989</v>
      </c>
      <c r="N301" s="4">
        <v>4826704.1729998756</v>
      </c>
      <c r="P301" s="11" t="s">
        <v>161</v>
      </c>
      <c r="Q301" s="4">
        <v>293472.92999987304</v>
      </c>
      <c r="R301" s="4">
        <v>12143809.943300005</v>
      </c>
      <c r="S301" s="4">
        <v>12437282.873299878</v>
      </c>
      <c r="U301" s="11" t="s">
        <v>9</v>
      </c>
      <c r="V301" s="137">
        <v>-5550845.6699998975</v>
      </c>
      <c r="W301" s="4">
        <v>6496062.8911819868</v>
      </c>
      <c r="X301" s="4">
        <v>945217.2211820893</v>
      </c>
      <c r="Z301" s="11" t="s">
        <v>9</v>
      </c>
      <c r="AA301" s="137">
        <v>-7112499.7199998833</v>
      </c>
      <c r="AB301" s="137">
        <v>3581661.5480179926</v>
      </c>
      <c r="AC301" s="4">
        <v>-3530838.1719818907</v>
      </c>
      <c r="AD301" s="3"/>
    </row>
    <row r="302" spans="1:30" x14ac:dyDescent="0.35">
      <c r="B302" s="3">
        <v>0</v>
      </c>
      <c r="C302" s="3">
        <v>0</v>
      </c>
      <c r="K302" s="2"/>
      <c r="L302" s="2">
        <v>-3.7252902984619141E-9</v>
      </c>
      <c r="M302" s="2">
        <v>0</v>
      </c>
      <c r="N302" s="2">
        <v>0</v>
      </c>
      <c r="Q302" s="3"/>
      <c r="R302" s="3"/>
      <c r="V302" s="12">
        <v>0</v>
      </c>
      <c r="W302" s="12">
        <v>0</v>
      </c>
      <c r="AA302" s="12">
        <v>-3.3527612686157227E-8</v>
      </c>
      <c r="AB302" s="12">
        <v>0</v>
      </c>
      <c r="AC302" s="12">
        <v>-3.3527612686157227E-8</v>
      </c>
    </row>
    <row r="304" spans="1:30" ht="18.5" x14ac:dyDescent="0.35">
      <c r="A304" s="303" t="s">
        <v>167</v>
      </c>
      <c r="B304" s="303"/>
      <c r="C304" s="303"/>
      <c r="D304" s="303"/>
      <c r="F304" s="303" t="s">
        <v>164</v>
      </c>
      <c r="G304" s="303"/>
      <c r="H304" s="303"/>
      <c r="I304" s="303"/>
      <c r="K304" s="303" t="s">
        <v>173</v>
      </c>
      <c r="L304" s="303"/>
      <c r="M304" s="303"/>
      <c r="N304" s="303"/>
      <c r="P304" s="303" t="s">
        <v>178</v>
      </c>
      <c r="Q304" s="303"/>
      <c r="R304" s="303"/>
      <c r="S304" s="303"/>
      <c r="U304" s="303" t="s">
        <v>183</v>
      </c>
      <c r="V304" s="303"/>
      <c r="W304" s="303"/>
      <c r="X304" s="303"/>
      <c r="Z304" s="135" t="s">
        <v>207</v>
      </c>
      <c r="AA304" s="135"/>
      <c r="AB304" s="135"/>
      <c r="AC304" s="135"/>
    </row>
    <row r="305" spans="1:29" ht="15.5" x14ac:dyDescent="0.35">
      <c r="A305" s="8"/>
      <c r="B305" s="10" t="s">
        <v>46</v>
      </c>
      <c r="C305" s="10" t="s">
        <v>1</v>
      </c>
      <c r="D305" s="10" t="s">
        <v>48</v>
      </c>
      <c r="F305" s="8"/>
      <c r="G305" s="10" t="s">
        <v>46</v>
      </c>
      <c r="H305" s="10" t="s">
        <v>1</v>
      </c>
      <c r="I305" s="10" t="s">
        <v>48</v>
      </c>
      <c r="K305" s="8"/>
      <c r="L305" s="10" t="s">
        <v>46</v>
      </c>
      <c r="M305" s="10" t="s">
        <v>1</v>
      </c>
      <c r="N305" s="10" t="s">
        <v>48</v>
      </c>
      <c r="P305" s="8"/>
      <c r="Q305" s="10" t="s">
        <v>46</v>
      </c>
      <c r="R305" s="10" t="s">
        <v>1</v>
      </c>
      <c r="S305" s="10" t="s">
        <v>48</v>
      </c>
      <c r="U305" s="8"/>
      <c r="V305" s="10" t="s">
        <v>46</v>
      </c>
      <c r="W305" s="10" t="s">
        <v>1</v>
      </c>
      <c r="X305" s="10" t="s">
        <v>48</v>
      </c>
      <c r="Z305" s="24"/>
      <c r="AA305" s="10" t="s">
        <v>46</v>
      </c>
      <c r="AB305" s="10" t="s">
        <v>1</v>
      </c>
      <c r="AC305" s="26" t="s">
        <v>48</v>
      </c>
    </row>
    <row r="306" spans="1:29" x14ac:dyDescent="0.35">
      <c r="A306" t="s">
        <v>85</v>
      </c>
      <c r="B306" s="2">
        <v>0</v>
      </c>
      <c r="C306" s="2">
        <v>17304479.109999999</v>
      </c>
      <c r="D306" s="3">
        <v>17304479.109999999</v>
      </c>
      <c r="F306" t="s">
        <v>85</v>
      </c>
      <c r="G306" s="1">
        <v>0</v>
      </c>
      <c r="H306" s="1">
        <v>12186834.85</v>
      </c>
      <c r="I306" s="12">
        <v>12186834.85</v>
      </c>
      <c r="K306" t="s">
        <v>85</v>
      </c>
      <c r="L306" s="2">
        <v>0</v>
      </c>
      <c r="M306" s="2">
        <v>1660681.3600000013</v>
      </c>
      <c r="N306" s="2">
        <v>1660681.3600000013</v>
      </c>
      <c r="P306" t="s">
        <v>85</v>
      </c>
      <c r="Q306" s="1">
        <v>0</v>
      </c>
      <c r="R306" s="1">
        <v>13847516.210000001</v>
      </c>
      <c r="S306" s="12">
        <v>13847516.210000001</v>
      </c>
      <c r="U306" t="s">
        <v>85</v>
      </c>
      <c r="V306" s="2">
        <v>0</v>
      </c>
      <c r="W306" s="2">
        <v>1710044.7300000004</v>
      </c>
      <c r="X306" s="2">
        <v>1710044.7300000004</v>
      </c>
      <c r="Y306" s="12">
        <v>15557560.940000001</v>
      </c>
      <c r="Z306" t="s">
        <v>85</v>
      </c>
      <c r="AA306" s="1">
        <v>0</v>
      </c>
      <c r="AB306" s="1">
        <v>1746918.1699999981</v>
      </c>
      <c r="AC306" s="2">
        <v>1746918.1699999981</v>
      </c>
    </row>
    <row r="307" spans="1:29" x14ac:dyDescent="0.35">
      <c r="A307" t="s">
        <v>19</v>
      </c>
      <c r="B307" s="2">
        <v>0</v>
      </c>
      <c r="C307" s="2">
        <v>88899.78</v>
      </c>
      <c r="D307" s="3">
        <v>88899.78</v>
      </c>
      <c r="F307" t="s">
        <v>19</v>
      </c>
      <c r="G307" s="1">
        <v>0</v>
      </c>
      <c r="H307" s="1">
        <v>12270.94</v>
      </c>
      <c r="I307" s="12">
        <v>12270.94</v>
      </c>
      <c r="K307" t="s">
        <v>19</v>
      </c>
      <c r="L307" s="2">
        <v>0</v>
      </c>
      <c r="M307" s="2">
        <v>40747.42</v>
      </c>
      <c r="N307" s="2">
        <v>40747.42</v>
      </c>
      <c r="P307" t="s">
        <v>19</v>
      </c>
      <c r="Q307" s="1">
        <v>0</v>
      </c>
      <c r="R307" s="1">
        <v>53018.36</v>
      </c>
      <c r="S307" s="12">
        <v>53018.36</v>
      </c>
      <c r="U307" t="s">
        <v>19</v>
      </c>
      <c r="V307" s="2">
        <v>0</v>
      </c>
      <c r="W307" s="2">
        <v>21517.61</v>
      </c>
      <c r="X307" s="2">
        <v>21517.61</v>
      </c>
      <c r="Y307" s="12">
        <v>74535.97</v>
      </c>
      <c r="Z307" t="s">
        <v>19</v>
      </c>
      <c r="AA307" s="1">
        <v>0</v>
      </c>
      <c r="AB307" s="1">
        <v>14363.809999999998</v>
      </c>
      <c r="AC307" s="2">
        <v>14363.809999999998</v>
      </c>
    </row>
    <row r="308" spans="1:29" x14ac:dyDescent="0.35">
      <c r="A308" t="s">
        <v>86</v>
      </c>
      <c r="B308" s="2">
        <v>0</v>
      </c>
      <c r="C308" s="2">
        <v>0</v>
      </c>
      <c r="D308" s="3">
        <v>0</v>
      </c>
      <c r="F308" t="s">
        <v>86</v>
      </c>
      <c r="G308" s="1">
        <v>0</v>
      </c>
      <c r="H308" s="1">
        <v>0</v>
      </c>
      <c r="I308" s="12">
        <v>0</v>
      </c>
      <c r="K308" t="s">
        <v>86</v>
      </c>
      <c r="L308" s="2">
        <v>0</v>
      </c>
      <c r="M308" s="2">
        <v>0</v>
      </c>
      <c r="N308" s="2">
        <v>0</v>
      </c>
      <c r="P308" t="s">
        <v>86</v>
      </c>
      <c r="Q308" s="1">
        <v>0</v>
      </c>
      <c r="R308" s="1">
        <v>0</v>
      </c>
      <c r="S308" s="12">
        <v>0</v>
      </c>
      <c r="U308" t="s">
        <v>86</v>
      </c>
      <c r="V308" s="2">
        <v>0</v>
      </c>
      <c r="W308" s="2">
        <v>0</v>
      </c>
      <c r="X308" s="2">
        <v>0</v>
      </c>
      <c r="Y308" s="12">
        <v>0</v>
      </c>
      <c r="Z308" t="s">
        <v>86</v>
      </c>
      <c r="AA308" s="1">
        <v>0</v>
      </c>
      <c r="AB308" s="1">
        <v>0</v>
      </c>
      <c r="AC308" s="2">
        <v>0</v>
      </c>
    </row>
    <row r="309" spans="1:29" x14ac:dyDescent="0.35">
      <c r="A309" t="s">
        <v>87</v>
      </c>
      <c r="B309" s="2">
        <v>0</v>
      </c>
      <c r="C309" s="2">
        <v>0</v>
      </c>
      <c r="D309" s="3">
        <v>0</v>
      </c>
      <c r="F309" t="s">
        <v>87</v>
      </c>
      <c r="G309" s="1">
        <v>0</v>
      </c>
      <c r="H309" s="1">
        <v>0</v>
      </c>
      <c r="I309" s="12">
        <v>0</v>
      </c>
      <c r="K309" t="s">
        <v>87</v>
      </c>
      <c r="L309" s="2">
        <v>0</v>
      </c>
      <c r="M309" s="2">
        <v>0</v>
      </c>
      <c r="N309" s="2">
        <v>0</v>
      </c>
      <c r="P309" t="s">
        <v>87</v>
      </c>
      <c r="Q309" s="1">
        <v>0</v>
      </c>
      <c r="R309" s="1">
        <v>0</v>
      </c>
      <c r="S309" s="12">
        <v>0</v>
      </c>
      <c r="U309" t="s">
        <v>87</v>
      </c>
      <c r="V309" s="2">
        <v>0</v>
      </c>
      <c r="W309" s="2">
        <v>0</v>
      </c>
      <c r="X309" s="2">
        <v>0</v>
      </c>
      <c r="Y309" s="12">
        <v>0</v>
      </c>
      <c r="Z309" t="s">
        <v>87</v>
      </c>
      <c r="AA309" s="1">
        <v>0</v>
      </c>
      <c r="AB309" s="1">
        <v>0</v>
      </c>
      <c r="AC309" s="2">
        <v>0</v>
      </c>
    </row>
    <row r="310" spans="1:29" x14ac:dyDescent="0.35">
      <c r="A310" s="19" t="s">
        <v>18</v>
      </c>
      <c r="B310" s="20">
        <v>0</v>
      </c>
      <c r="C310" s="20">
        <v>17393378.890000001</v>
      </c>
      <c r="D310" s="20">
        <v>17393378.890000001</v>
      </c>
      <c r="F310" s="19" t="s">
        <v>18</v>
      </c>
      <c r="G310" s="20">
        <v>0</v>
      </c>
      <c r="H310" s="20">
        <v>12199105.789999999</v>
      </c>
      <c r="I310" s="20">
        <v>12199105.789999999</v>
      </c>
      <c r="K310" s="19" t="s">
        <v>18</v>
      </c>
      <c r="L310" s="20">
        <v>0</v>
      </c>
      <c r="M310" s="20">
        <v>1701428.7800000012</v>
      </c>
      <c r="N310" s="20">
        <v>1701428.7800000012</v>
      </c>
      <c r="P310" s="19" t="s">
        <v>18</v>
      </c>
      <c r="Q310" s="20">
        <v>0</v>
      </c>
      <c r="R310" s="20">
        <v>13900534.57</v>
      </c>
      <c r="S310" s="20">
        <v>13900534.57</v>
      </c>
      <c r="U310" s="19" t="s">
        <v>18</v>
      </c>
      <c r="V310" s="20">
        <v>0</v>
      </c>
      <c r="W310" s="20">
        <v>1731562.3400000005</v>
      </c>
      <c r="X310" s="20">
        <v>1731562.3400000005</v>
      </c>
      <c r="Y310" s="12">
        <v>15632096.91</v>
      </c>
      <c r="Z310" s="19" t="s">
        <v>18</v>
      </c>
      <c r="AA310" s="20">
        <v>0</v>
      </c>
      <c r="AB310" s="20">
        <v>1761281.9799999981</v>
      </c>
      <c r="AC310" s="20">
        <v>1761281.9799999981</v>
      </c>
    </row>
    <row r="311" spans="1:29" x14ac:dyDescent="0.35">
      <c r="B311" s="2"/>
      <c r="C311" s="15"/>
      <c r="D311" s="3"/>
      <c r="G311" s="1"/>
      <c r="H311" s="15"/>
      <c r="I311" s="12"/>
      <c r="L311" s="2"/>
      <c r="M311" s="15"/>
      <c r="N311" s="2"/>
      <c r="Q311" s="1"/>
      <c r="R311" s="15"/>
      <c r="S311" s="12"/>
      <c r="V311" s="2"/>
      <c r="W311" s="15"/>
      <c r="X311" s="2"/>
      <c r="Y311" s="12">
        <v>0</v>
      </c>
      <c r="AA311" s="1"/>
      <c r="AB311" s="15"/>
      <c r="AC311" s="2"/>
    </row>
    <row r="312" spans="1:29" x14ac:dyDescent="0.35">
      <c r="B312" s="2"/>
      <c r="C312" s="15"/>
      <c r="D312" s="3"/>
      <c r="G312" s="1"/>
      <c r="H312" s="15"/>
      <c r="I312" s="12"/>
      <c r="L312" s="2"/>
      <c r="M312" s="15"/>
      <c r="N312" s="2"/>
      <c r="Q312" s="1"/>
      <c r="R312" s="15"/>
      <c r="S312" s="12"/>
      <c r="V312" s="2"/>
      <c r="W312" s="15"/>
      <c r="X312" s="2"/>
      <c r="Y312" s="12">
        <v>0</v>
      </c>
      <c r="AA312" s="1"/>
      <c r="AB312" s="15"/>
      <c r="AC312" s="2"/>
    </row>
    <row r="313" spans="1:29" x14ac:dyDescent="0.35">
      <c r="A313" t="s">
        <v>12</v>
      </c>
      <c r="B313" s="2">
        <v>245043234.70000002</v>
      </c>
      <c r="C313" s="2">
        <v>19943798.407474592</v>
      </c>
      <c r="D313" s="3">
        <v>264987033.10747463</v>
      </c>
      <c r="F313" t="s">
        <v>12</v>
      </c>
      <c r="G313" s="1">
        <v>79120903.289999977</v>
      </c>
      <c r="H313" s="1">
        <v>3793852.3600000003</v>
      </c>
      <c r="I313" s="12">
        <v>82914755.649999976</v>
      </c>
      <c r="K313" t="s">
        <v>12</v>
      </c>
      <c r="L313" s="2">
        <v>66541703.570000008</v>
      </c>
      <c r="M313" s="2">
        <v>3265662.2899999991</v>
      </c>
      <c r="N313" s="2">
        <v>69807365.860000014</v>
      </c>
      <c r="P313" t="s">
        <v>12</v>
      </c>
      <c r="Q313" s="1">
        <v>145662606.85999998</v>
      </c>
      <c r="R313" s="1">
        <v>7059514.6499999994</v>
      </c>
      <c r="S313" s="12">
        <v>152722121.50999999</v>
      </c>
      <c r="U313" t="s">
        <v>12</v>
      </c>
      <c r="V313" s="2">
        <v>55472836.939999998</v>
      </c>
      <c r="W313" s="2">
        <v>6252701.8621825306</v>
      </c>
      <c r="X313" s="2">
        <v>61725538.802182525</v>
      </c>
      <c r="Y313" s="12">
        <v>214447660.31218252</v>
      </c>
      <c r="Z313" t="s">
        <v>12</v>
      </c>
      <c r="AA313" s="1">
        <v>43907790.900000036</v>
      </c>
      <c r="AB313" s="1">
        <v>6631581.8952920614</v>
      </c>
      <c r="AC313" s="2">
        <v>50539372.795292094</v>
      </c>
    </row>
    <row r="314" spans="1:29" x14ac:dyDescent="0.35">
      <c r="A314" t="s">
        <v>3</v>
      </c>
      <c r="B314" s="2">
        <v>-230836701.53000003</v>
      </c>
      <c r="C314" s="2">
        <v>-1291189.2054950001</v>
      </c>
      <c r="D314" s="3">
        <v>-232127890.73549503</v>
      </c>
      <c r="F314" t="s">
        <v>3</v>
      </c>
      <c r="G314" s="1">
        <v>-74309325.349999994</v>
      </c>
      <c r="H314" s="1">
        <v>-232134.88134399996</v>
      </c>
      <c r="I314" s="12">
        <v>-74541460.231344</v>
      </c>
      <c r="K314" t="s">
        <v>3</v>
      </c>
      <c r="L314" s="2">
        <v>-62182846.219999999</v>
      </c>
      <c r="M314" s="2">
        <v>-238339.06008766676</v>
      </c>
      <c r="N314" s="2">
        <v>-62421185.280087665</v>
      </c>
      <c r="P314" t="s">
        <v>3</v>
      </c>
      <c r="Q314" s="1">
        <v>-136492171.56999999</v>
      </c>
      <c r="R314" s="1">
        <v>-470473.94143166672</v>
      </c>
      <c r="S314" s="12">
        <v>-136962645.51143166</v>
      </c>
      <c r="U314" t="s">
        <v>3</v>
      </c>
      <c r="V314" s="2">
        <v>-52382989.150000006</v>
      </c>
      <c r="W314" s="2">
        <v>-234832.27756125003</v>
      </c>
      <c r="X314" s="2">
        <v>-52617821.427561253</v>
      </c>
      <c r="Y314" s="12">
        <v>-189580466.93899292</v>
      </c>
      <c r="Z314" t="s">
        <v>3</v>
      </c>
      <c r="AA314" s="1">
        <v>-41961540.810000032</v>
      </c>
      <c r="AB314" s="1">
        <v>-585882.98650208348</v>
      </c>
      <c r="AC314" s="2">
        <v>-42547423.796502113</v>
      </c>
    </row>
    <row r="315" spans="1:29" x14ac:dyDescent="0.35">
      <c r="A315" t="s">
        <v>88</v>
      </c>
      <c r="B315" s="2">
        <v>19958680.59</v>
      </c>
      <c r="C315" s="2">
        <v>9636807.5965743996</v>
      </c>
      <c r="D315" s="3">
        <v>29595488.186574399</v>
      </c>
      <c r="F315" t="s">
        <v>88</v>
      </c>
      <c r="G315" s="1">
        <v>4346773.8099999996</v>
      </c>
      <c r="H315" s="1">
        <v>2885656.41</v>
      </c>
      <c r="I315" s="12">
        <v>7232430.2199999997</v>
      </c>
      <c r="K315" t="s">
        <v>88</v>
      </c>
      <c r="L315" s="2">
        <v>6642514.3600000003</v>
      </c>
      <c r="M315" s="2">
        <v>2483390.1900000004</v>
      </c>
      <c r="N315" s="2">
        <v>9125904.5500000007</v>
      </c>
      <c r="P315" t="s">
        <v>88</v>
      </c>
      <c r="Q315" s="1">
        <v>10989288.17</v>
      </c>
      <c r="R315" s="1">
        <v>5369046.6000000006</v>
      </c>
      <c r="S315" s="12">
        <v>16358334.77</v>
      </c>
      <c r="U315" t="s">
        <v>88</v>
      </c>
      <c r="V315" s="2">
        <v>4091313.290000001</v>
      </c>
      <c r="W315" s="2">
        <v>2850388.6015966227</v>
      </c>
      <c r="X315" s="2">
        <v>6941701.8915966237</v>
      </c>
      <c r="Y315" s="12">
        <v>23300036.661596622</v>
      </c>
      <c r="Z315" t="s">
        <v>88</v>
      </c>
      <c r="AA315" s="1">
        <v>4878079.129999999</v>
      </c>
      <c r="AB315" s="1">
        <v>1417372.3949777763</v>
      </c>
      <c r="AC315" s="2">
        <v>6295451.5249777753</v>
      </c>
    </row>
    <row r="316" spans="1:29" x14ac:dyDescent="0.35">
      <c r="A316" t="s">
        <v>13</v>
      </c>
      <c r="B316" s="2">
        <v>-13712737.52</v>
      </c>
      <c r="C316" s="2">
        <v>-226202.62</v>
      </c>
      <c r="D316" s="3">
        <v>-13938940.139999999</v>
      </c>
      <c r="F316" t="s">
        <v>13</v>
      </c>
      <c r="G316" s="1">
        <v>-4425534.3900000006</v>
      </c>
      <c r="H316" s="1">
        <v>-94225.8</v>
      </c>
      <c r="I316" s="12">
        <v>-4519760.1900000004</v>
      </c>
      <c r="K316" t="s">
        <v>13</v>
      </c>
      <c r="L316" s="2">
        <v>-3762231.0199999996</v>
      </c>
      <c r="M316" s="2">
        <v>-43743.08</v>
      </c>
      <c r="N316" s="2">
        <v>-3805974.0999999996</v>
      </c>
      <c r="P316" t="s">
        <v>13</v>
      </c>
      <c r="Q316" s="1">
        <v>-8187765.4100000001</v>
      </c>
      <c r="R316" s="1">
        <v>-137968.88</v>
      </c>
      <c r="S316" s="12">
        <v>-8325734.29</v>
      </c>
      <c r="U316" t="s">
        <v>13</v>
      </c>
      <c r="V316" s="2">
        <v>-3081657.16</v>
      </c>
      <c r="W316" s="2">
        <v>-25872.210000000021</v>
      </c>
      <c r="X316" s="2">
        <v>-3107529.37</v>
      </c>
      <c r="Y316" s="12">
        <v>-11433263.66</v>
      </c>
      <c r="Z316" t="s">
        <v>13</v>
      </c>
      <c r="AA316" s="1">
        <v>-2443314.9499999993</v>
      </c>
      <c r="AB316" s="1">
        <v>-62361.52999999997</v>
      </c>
      <c r="AC316" s="2">
        <v>-2505676.4799999991</v>
      </c>
    </row>
    <row r="317" spans="1:29" x14ac:dyDescent="0.35">
      <c r="A317" s="19" t="s">
        <v>14</v>
      </c>
      <c r="B317" s="20">
        <v>20452476.239999991</v>
      </c>
      <c r="C317" s="20">
        <v>28063214.178553991</v>
      </c>
      <c r="D317" s="20">
        <v>48515690.418553978</v>
      </c>
      <c r="F317" s="19" t="s">
        <v>14</v>
      </c>
      <c r="G317" s="20">
        <v>4732817.3599999808</v>
      </c>
      <c r="H317" s="20">
        <v>6353148.0886560008</v>
      </c>
      <c r="I317" s="20">
        <v>11085965.448655982</v>
      </c>
      <c r="K317" s="19" t="s">
        <v>14</v>
      </c>
      <c r="L317" s="20">
        <v>7239140.6900000088</v>
      </c>
      <c r="M317" s="20">
        <v>5466970.3399123326</v>
      </c>
      <c r="N317" s="20">
        <v>12706111.029912341</v>
      </c>
      <c r="P317" s="19" t="s">
        <v>14</v>
      </c>
      <c r="Q317" s="20">
        <v>11971958.049999993</v>
      </c>
      <c r="R317" s="20">
        <v>11820118.428568332</v>
      </c>
      <c r="S317" s="20">
        <v>23792076.478568323</v>
      </c>
      <c r="U317" s="19" t="s">
        <v>14</v>
      </c>
      <c r="V317" s="20">
        <v>4099503.9199999925</v>
      </c>
      <c r="W317" s="20">
        <v>8842385.9762179032</v>
      </c>
      <c r="X317" s="20">
        <v>12941889.896217896</v>
      </c>
      <c r="Y317" s="12">
        <v>36733966.37478622</v>
      </c>
      <c r="Z317" s="19" t="s">
        <v>14</v>
      </c>
      <c r="AA317" s="20">
        <v>4381014.2700000033</v>
      </c>
      <c r="AB317" s="20">
        <v>7400709.7737677535</v>
      </c>
      <c r="AC317" s="20">
        <v>11781724.043767758</v>
      </c>
    </row>
    <row r="318" spans="1:29" x14ac:dyDescent="0.35">
      <c r="B318" s="2"/>
      <c r="C318" s="15"/>
      <c r="D318" s="3"/>
      <c r="G318" s="2"/>
      <c r="H318" s="15"/>
      <c r="I318" s="12"/>
      <c r="L318" s="2"/>
      <c r="M318" s="15"/>
      <c r="N318" s="2"/>
      <c r="Q318" s="2"/>
      <c r="R318" s="15"/>
      <c r="S318" s="12"/>
      <c r="V318" s="2"/>
      <c r="W318" s="15"/>
      <c r="X318" s="2"/>
      <c r="Y318" s="12">
        <v>0</v>
      </c>
      <c r="AA318" s="12"/>
      <c r="AB318" s="15"/>
      <c r="AC318" s="2"/>
    </row>
    <row r="319" spans="1:29" x14ac:dyDescent="0.35">
      <c r="B319" s="2"/>
      <c r="C319" s="15"/>
      <c r="D319" s="3"/>
      <c r="G319" s="2"/>
      <c r="H319" s="15"/>
      <c r="I319" s="12"/>
      <c r="L319" s="2"/>
      <c r="M319" s="15"/>
      <c r="N319" s="2"/>
      <c r="Q319" s="2"/>
      <c r="R319" s="15"/>
      <c r="S319" s="12"/>
      <c r="V319" s="2"/>
      <c r="W319" s="15"/>
      <c r="X319" s="2"/>
      <c r="Y319" s="12">
        <v>0</v>
      </c>
      <c r="AA319" s="12"/>
      <c r="AB319" s="15"/>
      <c r="AC319" s="2"/>
    </row>
    <row r="320" spans="1:29" x14ac:dyDescent="0.35">
      <c r="A320" t="s">
        <v>15</v>
      </c>
      <c r="B320" s="2">
        <v>0</v>
      </c>
      <c r="C320" s="2">
        <v>4598012.800666932</v>
      </c>
      <c r="D320" s="3">
        <v>4598012.800666932</v>
      </c>
      <c r="F320" t="s">
        <v>15</v>
      </c>
      <c r="G320" s="1">
        <v>0</v>
      </c>
      <c r="H320" s="1">
        <v>2242118.34</v>
      </c>
      <c r="I320" s="12">
        <v>2242118.34</v>
      </c>
      <c r="K320" t="s">
        <v>15</v>
      </c>
      <c r="L320" s="2">
        <v>0</v>
      </c>
      <c r="M320" s="2">
        <v>-254809.66999999969</v>
      </c>
      <c r="N320" s="2">
        <v>-254809.66999999969</v>
      </c>
      <c r="P320" t="s">
        <v>15</v>
      </c>
      <c r="Q320" s="1">
        <v>0</v>
      </c>
      <c r="R320" s="1">
        <v>1987308.6700000002</v>
      </c>
      <c r="S320" s="12">
        <v>1987308.6700000002</v>
      </c>
      <c r="U320" t="s">
        <v>15</v>
      </c>
      <c r="V320" s="2">
        <v>0</v>
      </c>
      <c r="W320" s="2">
        <v>1915341.1382937592</v>
      </c>
      <c r="X320" s="2">
        <v>1915341.1382937592</v>
      </c>
      <c r="Y320" s="12">
        <v>3902649.8082937594</v>
      </c>
      <c r="Z320" t="s">
        <v>15</v>
      </c>
      <c r="AA320" s="1">
        <v>0</v>
      </c>
      <c r="AB320" s="1">
        <v>695362.99237317289</v>
      </c>
      <c r="AC320" s="2">
        <v>695362.99237317289</v>
      </c>
    </row>
    <row r="321" spans="1:29" x14ac:dyDescent="0.35">
      <c r="A321" t="s">
        <v>16</v>
      </c>
      <c r="B321" s="2">
        <v>0</v>
      </c>
      <c r="C321" s="2">
        <v>-4067867.84</v>
      </c>
      <c r="D321" s="3">
        <v>-4067867.84</v>
      </c>
      <c r="F321" t="s">
        <v>16</v>
      </c>
      <c r="G321" s="1">
        <v>0</v>
      </c>
      <c r="H321" s="1">
        <v>-1126895.19</v>
      </c>
      <c r="I321" s="12">
        <v>-1126895.19</v>
      </c>
      <c r="K321" t="s">
        <v>16</v>
      </c>
      <c r="L321" s="2">
        <v>0</v>
      </c>
      <c r="M321" s="2">
        <v>-351430.77</v>
      </c>
      <c r="N321" s="2">
        <v>-351430.77</v>
      </c>
      <c r="P321" t="s">
        <v>16</v>
      </c>
      <c r="Q321" s="1">
        <v>0</v>
      </c>
      <c r="R321" s="1">
        <v>-1478325.96</v>
      </c>
      <c r="S321" s="12">
        <v>-1478325.96</v>
      </c>
      <c r="U321" t="s">
        <v>16</v>
      </c>
      <c r="V321" s="2">
        <v>0</v>
      </c>
      <c r="W321" s="2">
        <v>-1084269.9699999997</v>
      </c>
      <c r="X321" s="2">
        <v>-1084269.9699999997</v>
      </c>
      <c r="Y321" s="12">
        <v>-2562595.9299999997</v>
      </c>
      <c r="Z321" t="s">
        <v>16</v>
      </c>
      <c r="AA321" s="1">
        <v>0</v>
      </c>
      <c r="AB321" s="1">
        <v>-1505271.9100000001</v>
      </c>
      <c r="AC321" s="2">
        <v>-1505271.9100000001</v>
      </c>
    </row>
    <row r="322" spans="1:29" x14ac:dyDescent="0.35">
      <c r="A322" s="19" t="s">
        <v>17</v>
      </c>
      <c r="B322" s="20">
        <v>0</v>
      </c>
      <c r="C322" s="20">
        <v>530144.96066693217</v>
      </c>
      <c r="D322" s="20">
        <v>530144.96066693217</v>
      </c>
      <c r="F322" s="19" t="s">
        <v>17</v>
      </c>
      <c r="G322" s="20">
        <v>0</v>
      </c>
      <c r="H322" s="20">
        <v>1115223.1499999999</v>
      </c>
      <c r="I322" s="20">
        <v>1115223.1499999999</v>
      </c>
      <c r="K322" s="19" t="s">
        <v>17</v>
      </c>
      <c r="L322" s="20">
        <v>0</v>
      </c>
      <c r="M322" s="20">
        <v>-606240.43999999971</v>
      </c>
      <c r="N322" s="20">
        <v>-606240.43999999971</v>
      </c>
      <c r="P322" s="19" t="s">
        <v>17</v>
      </c>
      <c r="Q322" s="20">
        <v>0</v>
      </c>
      <c r="R322" s="20">
        <v>508982.7100000002</v>
      </c>
      <c r="S322" s="20">
        <v>508982.7100000002</v>
      </c>
      <c r="U322" s="19" t="s">
        <v>17</v>
      </c>
      <c r="V322" s="20">
        <v>0</v>
      </c>
      <c r="W322" s="20">
        <v>831071.16829375946</v>
      </c>
      <c r="X322" s="20">
        <v>831071.16829375946</v>
      </c>
      <c r="Y322" s="12">
        <v>1340053.8782937597</v>
      </c>
      <c r="Z322" s="19" t="s">
        <v>17</v>
      </c>
      <c r="AA322" s="20">
        <v>0</v>
      </c>
      <c r="AB322" s="20">
        <v>-809908.91762682726</v>
      </c>
      <c r="AC322" s="20">
        <v>-809908.91762682726</v>
      </c>
    </row>
    <row r="323" spans="1:29" x14ac:dyDescent="0.35">
      <c r="B323" s="2"/>
      <c r="C323" s="15"/>
      <c r="D323" s="3"/>
      <c r="G323" s="1"/>
      <c r="H323" s="15"/>
      <c r="I323" s="12"/>
      <c r="L323" s="2"/>
      <c r="M323" s="15"/>
      <c r="N323" s="2"/>
      <c r="Q323" s="1"/>
      <c r="R323" s="15"/>
      <c r="S323" s="12"/>
      <c r="V323" s="2"/>
      <c r="W323" s="15"/>
      <c r="X323" s="2"/>
      <c r="Y323" s="12">
        <v>0</v>
      </c>
      <c r="AA323" s="1"/>
      <c r="AB323" s="15"/>
      <c r="AC323" s="2"/>
    </row>
    <row r="324" spans="1:29" x14ac:dyDescent="0.35">
      <c r="B324" s="2"/>
      <c r="C324" s="15"/>
      <c r="D324" s="3"/>
      <c r="G324" s="1"/>
      <c r="H324" s="15"/>
      <c r="I324" s="12"/>
      <c r="L324" s="2"/>
      <c r="M324" s="15"/>
      <c r="N324" s="2"/>
      <c r="Q324" s="1"/>
      <c r="R324" s="15"/>
      <c r="S324" s="12"/>
      <c r="V324" s="2"/>
      <c r="W324" s="15"/>
      <c r="X324" s="2"/>
      <c r="Y324" s="12">
        <v>0</v>
      </c>
      <c r="AA324" s="1"/>
      <c r="AB324" s="15"/>
      <c r="AC324" s="2"/>
    </row>
    <row r="325" spans="1:29" x14ac:dyDescent="0.35">
      <c r="A325" s="16" t="s">
        <v>20</v>
      </c>
      <c r="B325" s="23">
        <v>0</v>
      </c>
      <c r="C325" s="23">
        <v>0</v>
      </c>
      <c r="D325" s="208">
        <v>0</v>
      </c>
      <c r="F325" s="16" t="s">
        <v>20</v>
      </c>
      <c r="G325" s="141">
        <v>0</v>
      </c>
      <c r="H325" s="141">
        <v>0</v>
      </c>
      <c r="I325" s="142">
        <v>0</v>
      </c>
      <c r="K325" s="16" t="s">
        <v>20</v>
      </c>
      <c r="L325" s="2">
        <v>0</v>
      </c>
      <c r="M325" s="2">
        <v>0</v>
      </c>
      <c r="N325" s="7">
        <v>0</v>
      </c>
      <c r="P325" s="16" t="s">
        <v>20</v>
      </c>
      <c r="Q325" s="1">
        <v>0</v>
      </c>
      <c r="R325" s="1">
        <v>0</v>
      </c>
      <c r="S325" s="142">
        <v>0</v>
      </c>
      <c r="U325" s="16" t="s">
        <v>20</v>
      </c>
      <c r="V325" s="2">
        <v>0</v>
      </c>
      <c r="W325" s="2">
        <v>0</v>
      </c>
      <c r="X325" s="7">
        <v>0</v>
      </c>
      <c r="Y325" s="12">
        <v>0</v>
      </c>
      <c r="Z325" s="16" t="s">
        <v>20</v>
      </c>
      <c r="AA325" s="27">
        <v>0</v>
      </c>
      <c r="AB325" s="28">
        <v>0</v>
      </c>
      <c r="AC325" s="17">
        <v>0</v>
      </c>
    </row>
    <row r="326" spans="1:29" x14ac:dyDescent="0.35">
      <c r="B326" s="2"/>
      <c r="C326" s="15"/>
      <c r="D326" s="3"/>
      <c r="G326" s="1"/>
      <c r="H326" s="15"/>
      <c r="I326" s="12"/>
      <c r="L326" s="155"/>
      <c r="M326" s="156"/>
      <c r="N326" s="155"/>
      <c r="Q326" s="1"/>
      <c r="R326" s="15"/>
      <c r="S326" s="12"/>
      <c r="V326" s="155"/>
      <c r="W326" s="156"/>
      <c r="X326" s="155"/>
      <c r="Y326" s="12">
        <v>0</v>
      </c>
      <c r="AA326" s="1"/>
      <c r="AB326" s="15"/>
      <c r="AC326" s="2"/>
    </row>
    <row r="327" spans="1:29" x14ac:dyDescent="0.35">
      <c r="B327" s="2"/>
      <c r="C327" s="15"/>
      <c r="D327" s="3"/>
      <c r="G327" s="1"/>
      <c r="H327" s="15"/>
      <c r="I327" s="12"/>
      <c r="L327" s="2"/>
      <c r="M327" s="15"/>
      <c r="N327" s="2"/>
      <c r="Q327" s="1"/>
      <c r="R327" s="15"/>
      <c r="S327" s="12"/>
      <c r="V327" s="2"/>
      <c r="W327" s="15"/>
      <c r="X327" s="2"/>
      <c r="Y327" s="12">
        <v>0</v>
      </c>
      <c r="AC327" s="2"/>
    </row>
    <row r="328" spans="1:29" x14ac:dyDescent="0.35">
      <c r="B328" s="2"/>
      <c r="C328" s="15"/>
      <c r="D328" s="3"/>
      <c r="G328" s="1"/>
      <c r="H328" s="15"/>
      <c r="I328" s="12"/>
      <c r="L328" s="2"/>
      <c r="M328" s="15"/>
      <c r="N328" s="2"/>
      <c r="Q328" s="1"/>
      <c r="R328" s="15"/>
      <c r="S328" s="12"/>
      <c r="V328" s="2"/>
      <c r="W328" s="15"/>
      <c r="X328" s="2"/>
      <c r="Y328" s="12">
        <v>0</v>
      </c>
      <c r="AC328" s="2"/>
    </row>
    <row r="329" spans="1:29" x14ac:dyDescent="0.35">
      <c r="A329" t="s">
        <v>0</v>
      </c>
      <c r="B329" s="2">
        <v>0</v>
      </c>
      <c r="C329" s="2">
        <v>22303987</v>
      </c>
      <c r="D329" s="3">
        <v>22303987</v>
      </c>
      <c r="F329" t="s">
        <v>0</v>
      </c>
      <c r="G329" s="1">
        <v>0</v>
      </c>
      <c r="H329" s="1">
        <v>7056667</v>
      </c>
      <c r="I329" s="12">
        <v>7056667</v>
      </c>
      <c r="K329" t="s">
        <v>0</v>
      </c>
      <c r="L329" s="2">
        <v>0</v>
      </c>
      <c r="M329" s="2">
        <v>4889397</v>
      </c>
      <c r="N329" s="2">
        <v>4889397</v>
      </c>
      <c r="P329" t="s">
        <v>0</v>
      </c>
      <c r="Q329" s="1">
        <v>0</v>
      </c>
      <c r="R329" s="1">
        <v>11946064</v>
      </c>
      <c r="S329" s="12">
        <v>11946064</v>
      </c>
      <c r="U329" t="s">
        <v>0</v>
      </c>
      <c r="V329" s="2">
        <v>0</v>
      </c>
      <c r="W329" s="2">
        <v>5878737</v>
      </c>
      <c r="X329" s="2">
        <v>5878737</v>
      </c>
      <c r="Y329" s="12">
        <v>17824801</v>
      </c>
      <c r="Z329" t="s">
        <v>0</v>
      </c>
      <c r="AA329" s="1">
        <v>0</v>
      </c>
      <c r="AB329" s="1">
        <v>4479186</v>
      </c>
      <c r="AC329" s="2">
        <v>4479186</v>
      </c>
    </row>
    <row r="330" spans="1:29" x14ac:dyDescent="0.35">
      <c r="A330" t="s">
        <v>2</v>
      </c>
      <c r="B330" s="2">
        <v>0</v>
      </c>
      <c r="C330" s="2">
        <v>-12469794.805179611</v>
      </c>
      <c r="D330" s="3">
        <v>-12469794.805179611</v>
      </c>
      <c r="F330" t="s">
        <v>2</v>
      </c>
      <c r="G330" s="1">
        <v>0</v>
      </c>
      <c r="H330" s="1">
        <v>-2887142.99</v>
      </c>
      <c r="I330" s="12">
        <v>-2887142.99</v>
      </c>
      <c r="K330" t="s">
        <v>2</v>
      </c>
      <c r="L330" s="2">
        <v>0</v>
      </c>
      <c r="M330" s="2">
        <v>-3145564</v>
      </c>
      <c r="N330" s="2">
        <v>-3145564</v>
      </c>
      <c r="P330" t="s">
        <v>2</v>
      </c>
      <c r="Q330" s="1">
        <v>0</v>
      </c>
      <c r="R330" s="1">
        <v>-6032706.9900000002</v>
      </c>
      <c r="S330" s="12">
        <v>-6032706.9900000002</v>
      </c>
      <c r="U330" t="s">
        <v>2</v>
      </c>
      <c r="V330" s="2">
        <v>0</v>
      </c>
      <c r="W330" s="2">
        <v>-3112837.635518657</v>
      </c>
      <c r="X330" s="2">
        <v>-3112837.635518657</v>
      </c>
      <c r="Y330" s="12">
        <v>-9145544.6255186573</v>
      </c>
      <c r="Z330" t="s">
        <v>2</v>
      </c>
      <c r="AA330" s="1">
        <v>0</v>
      </c>
      <c r="AB330" s="1">
        <v>-3324250.1796609536</v>
      </c>
      <c r="AC330" s="2">
        <v>-3324250.1796609536</v>
      </c>
    </row>
    <row r="331" spans="1:29" x14ac:dyDescent="0.35">
      <c r="A331" s="19" t="s">
        <v>21</v>
      </c>
      <c r="B331" s="20">
        <v>0</v>
      </c>
      <c r="C331" s="20">
        <v>9834192.1948203892</v>
      </c>
      <c r="D331" s="20">
        <v>9834192.1948203892</v>
      </c>
      <c r="F331" s="19" t="s">
        <v>21</v>
      </c>
      <c r="G331" s="20">
        <v>0</v>
      </c>
      <c r="H331" s="20">
        <v>4169524.01</v>
      </c>
      <c r="I331" s="20">
        <v>4169524.01</v>
      </c>
      <c r="K331" s="19" t="s">
        <v>21</v>
      </c>
      <c r="L331" s="20">
        <v>0</v>
      </c>
      <c r="M331" s="20">
        <v>1743833</v>
      </c>
      <c r="N331" s="20">
        <v>1743833</v>
      </c>
      <c r="P331" s="19" t="s">
        <v>21</v>
      </c>
      <c r="Q331" s="20">
        <v>0</v>
      </c>
      <c r="R331" s="20">
        <v>5913357.0099999998</v>
      </c>
      <c r="S331" s="20">
        <v>5913357.0099999998</v>
      </c>
      <c r="U331" s="19" t="s">
        <v>21</v>
      </c>
      <c r="V331" s="20">
        <v>0</v>
      </c>
      <c r="W331" s="20">
        <v>2765899.364481343</v>
      </c>
      <c r="X331" s="20">
        <v>2765899.364481343</v>
      </c>
      <c r="Y331" s="12">
        <v>8679256.3744813427</v>
      </c>
      <c r="Z331" s="19" t="s">
        <v>21</v>
      </c>
      <c r="AA331" s="20">
        <v>0</v>
      </c>
      <c r="AB331" s="20">
        <v>1154935.8203390464</v>
      </c>
      <c r="AC331" s="20">
        <v>1154935.8203390464</v>
      </c>
    </row>
    <row r="332" spans="1:29" x14ac:dyDescent="0.35">
      <c r="B332" s="2"/>
      <c r="C332" s="15"/>
      <c r="D332" s="3"/>
      <c r="G332" s="2"/>
      <c r="H332" s="15"/>
      <c r="I332" s="12"/>
      <c r="L332" s="2"/>
      <c r="M332" s="15"/>
      <c r="N332" s="2"/>
      <c r="Q332" s="2"/>
      <c r="R332" s="15"/>
      <c r="S332" s="12"/>
      <c r="V332" s="2"/>
      <c r="W332" s="15"/>
      <c r="X332" s="2"/>
      <c r="Y332" s="12">
        <v>0</v>
      </c>
      <c r="AA332" s="2"/>
      <c r="AB332" s="15"/>
      <c r="AC332" s="2"/>
    </row>
    <row r="333" spans="1:29" x14ac:dyDescent="0.35">
      <c r="B333" s="2"/>
      <c r="C333" s="15"/>
      <c r="D333" s="3"/>
      <c r="G333" s="2"/>
      <c r="H333" s="15"/>
      <c r="I333" s="12"/>
      <c r="L333" s="2"/>
      <c r="M333" s="15"/>
      <c r="N333" s="2"/>
      <c r="Q333" s="2"/>
      <c r="R333" s="15"/>
      <c r="S333" s="12"/>
      <c r="V333" s="2"/>
      <c r="W333" s="15"/>
      <c r="X333" s="2"/>
      <c r="Y333" s="12">
        <v>0</v>
      </c>
      <c r="AA333" s="2"/>
      <c r="AB333" s="15"/>
      <c r="AC333" s="2"/>
    </row>
    <row r="334" spans="1:29" x14ac:dyDescent="0.35">
      <c r="A334" t="s">
        <v>24</v>
      </c>
      <c r="B334" s="2">
        <v>0</v>
      </c>
      <c r="C334" s="2">
        <v>0</v>
      </c>
      <c r="D334" s="3">
        <v>0</v>
      </c>
      <c r="F334" t="s">
        <v>24</v>
      </c>
      <c r="G334" s="1">
        <v>0</v>
      </c>
      <c r="H334" s="1">
        <v>0</v>
      </c>
      <c r="I334" s="12">
        <v>0</v>
      </c>
      <c r="K334" t="s">
        <v>24</v>
      </c>
      <c r="L334" s="2">
        <v>0</v>
      </c>
      <c r="M334" s="2">
        <v>0</v>
      </c>
      <c r="N334" s="2">
        <v>0</v>
      </c>
      <c r="P334" t="s">
        <v>24</v>
      </c>
      <c r="Q334" s="1">
        <v>0</v>
      </c>
      <c r="R334" s="1">
        <v>0</v>
      </c>
      <c r="S334" s="12">
        <v>0</v>
      </c>
      <c r="U334" t="s">
        <v>24</v>
      </c>
      <c r="V334" s="2">
        <v>0</v>
      </c>
      <c r="W334" s="2">
        <v>0</v>
      </c>
      <c r="X334" s="2">
        <v>0</v>
      </c>
      <c r="Y334" s="12">
        <v>0</v>
      </c>
      <c r="Z334" t="s">
        <v>24</v>
      </c>
      <c r="AA334" s="1">
        <v>0</v>
      </c>
      <c r="AB334" s="1">
        <v>0</v>
      </c>
      <c r="AC334" s="2">
        <v>0</v>
      </c>
    </row>
    <row r="335" spans="1:29" x14ac:dyDescent="0.35">
      <c r="A335" t="s">
        <v>25</v>
      </c>
      <c r="B335" s="2">
        <v>0</v>
      </c>
      <c r="C335" s="2">
        <v>0</v>
      </c>
      <c r="D335" s="3">
        <v>0</v>
      </c>
      <c r="F335" t="s">
        <v>25</v>
      </c>
      <c r="G335" s="1">
        <v>0</v>
      </c>
      <c r="H335" s="1">
        <v>0</v>
      </c>
      <c r="I335" s="12">
        <v>0</v>
      </c>
      <c r="K335" t="s">
        <v>25</v>
      </c>
      <c r="L335" s="2">
        <v>0</v>
      </c>
      <c r="M335" s="2">
        <v>0</v>
      </c>
      <c r="N335" s="2">
        <v>0</v>
      </c>
      <c r="P335" t="s">
        <v>25</v>
      </c>
      <c r="Q335" s="1">
        <v>0</v>
      </c>
      <c r="R335" s="1">
        <v>0</v>
      </c>
      <c r="S335" s="12">
        <v>0</v>
      </c>
      <c r="U335" t="s">
        <v>25</v>
      </c>
      <c r="V335" s="2">
        <v>0</v>
      </c>
      <c r="W335" s="2">
        <v>0</v>
      </c>
      <c r="X335" s="2">
        <v>0</v>
      </c>
      <c r="Y335" s="12">
        <v>0</v>
      </c>
      <c r="Z335" t="s">
        <v>25</v>
      </c>
      <c r="AA335" s="1">
        <v>0</v>
      </c>
      <c r="AB335" s="1">
        <v>0</v>
      </c>
      <c r="AC335" s="2">
        <v>0</v>
      </c>
    </row>
    <row r="336" spans="1:29" x14ac:dyDescent="0.35">
      <c r="A336" t="s">
        <v>26</v>
      </c>
      <c r="B336" s="2">
        <v>0</v>
      </c>
      <c r="C336" s="2">
        <v>0</v>
      </c>
      <c r="D336" s="3">
        <v>0</v>
      </c>
      <c r="F336" t="s">
        <v>26</v>
      </c>
      <c r="G336" s="1">
        <v>0</v>
      </c>
      <c r="H336" s="1">
        <v>0</v>
      </c>
      <c r="I336" s="12">
        <v>0</v>
      </c>
      <c r="K336" t="s">
        <v>26</v>
      </c>
      <c r="L336" s="2">
        <v>0</v>
      </c>
      <c r="M336" s="2">
        <v>0</v>
      </c>
      <c r="N336" s="2">
        <v>0</v>
      </c>
      <c r="P336" t="s">
        <v>26</v>
      </c>
      <c r="Q336" s="1">
        <v>0</v>
      </c>
      <c r="R336" s="1">
        <v>0</v>
      </c>
      <c r="S336" s="12">
        <v>0</v>
      </c>
      <c r="U336" t="s">
        <v>26</v>
      </c>
      <c r="V336" s="2">
        <v>0</v>
      </c>
      <c r="W336" s="2">
        <v>0</v>
      </c>
      <c r="X336" s="2">
        <v>0</v>
      </c>
      <c r="Y336" s="12">
        <v>0</v>
      </c>
      <c r="Z336" t="s">
        <v>26</v>
      </c>
      <c r="AA336" s="1">
        <v>0</v>
      </c>
      <c r="AB336" s="1">
        <v>0</v>
      </c>
      <c r="AC336" s="2">
        <v>0</v>
      </c>
    </row>
    <row r="337" spans="1:29" x14ac:dyDescent="0.35">
      <c r="A337" s="19" t="s">
        <v>101</v>
      </c>
      <c r="B337" s="20">
        <v>0</v>
      </c>
      <c r="C337" s="20">
        <v>0</v>
      </c>
      <c r="D337" s="20">
        <v>0</v>
      </c>
      <c r="F337" s="19" t="s">
        <v>101</v>
      </c>
      <c r="G337" s="20">
        <v>0</v>
      </c>
      <c r="H337" s="20">
        <v>0</v>
      </c>
      <c r="I337" s="20">
        <v>0</v>
      </c>
      <c r="K337" s="19" t="s">
        <v>101</v>
      </c>
      <c r="L337" s="20">
        <v>0</v>
      </c>
      <c r="M337" s="20">
        <v>0</v>
      </c>
      <c r="N337" s="20">
        <v>0</v>
      </c>
      <c r="P337" s="19" t="s">
        <v>101</v>
      </c>
      <c r="Q337" s="20">
        <v>0</v>
      </c>
      <c r="R337" s="20">
        <v>0</v>
      </c>
      <c r="S337" s="20">
        <v>0</v>
      </c>
      <c r="U337" s="19" t="s">
        <v>101</v>
      </c>
      <c r="V337" s="20">
        <v>0</v>
      </c>
      <c r="W337" s="20">
        <v>0</v>
      </c>
      <c r="X337" s="20">
        <v>0</v>
      </c>
      <c r="Y337" s="12">
        <v>0</v>
      </c>
      <c r="Z337" s="19" t="s">
        <v>152</v>
      </c>
      <c r="AA337" s="20">
        <v>0</v>
      </c>
      <c r="AB337" s="20">
        <v>0</v>
      </c>
      <c r="AC337" s="20">
        <v>0</v>
      </c>
    </row>
    <row r="338" spans="1:29" x14ac:dyDescent="0.35">
      <c r="B338" s="2"/>
      <c r="C338" s="15"/>
      <c r="D338" s="3"/>
      <c r="G338" s="2"/>
      <c r="H338" s="15"/>
      <c r="I338" s="12"/>
      <c r="L338" s="2"/>
      <c r="M338" s="15"/>
      <c r="N338" s="2"/>
      <c r="Q338" s="2"/>
      <c r="R338" s="15"/>
      <c r="S338" s="12"/>
      <c r="V338" s="2"/>
      <c r="W338" s="15"/>
      <c r="X338" s="2"/>
      <c r="Y338" s="12">
        <v>0</v>
      </c>
      <c r="AA338" s="2"/>
      <c r="AB338" s="15"/>
      <c r="AC338" s="2"/>
    </row>
    <row r="339" spans="1:29" x14ac:dyDescent="0.35">
      <c r="B339" s="2"/>
      <c r="C339" s="15"/>
      <c r="D339" s="3"/>
      <c r="G339" s="2"/>
      <c r="H339" s="15"/>
      <c r="I339" s="12"/>
      <c r="L339" s="2"/>
      <c r="M339" s="15"/>
      <c r="N339" s="2"/>
      <c r="Q339" s="2"/>
      <c r="R339" s="15"/>
      <c r="S339" s="12"/>
      <c r="V339" s="2"/>
      <c r="W339" s="15"/>
      <c r="X339" s="2"/>
      <c r="Y339" s="12">
        <v>0</v>
      </c>
      <c r="AA339" s="2"/>
      <c r="AB339" s="15"/>
      <c r="AC339" s="2"/>
    </row>
    <row r="340" spans="1:29" x14ac:dyDescent="0.35">
      <c r="A340" t="s">
        <v>27</v>
      </c>
      <c r="B340" s="2">
        <v>0</v>
      </c>
      <c r="C340" s="2">
        <v>0</v>
      </c>
      <c r="D340" s="3">
        <v>0</v>
      </c>
      <c r="F340" t="s">
        <v>27</v>
      </c>
      <c r="G340" s="1">
        <v>0</v>
      </c>
      <c r="H340" s="1">
        <v>0</v>
      </c>
      <c r="I340" s="12">
        <v>0</v>
      </c>
      <c r="K340" t="s">
        <v>27</v>
      </c>
      <c r="L340" s="2">
        <v>0</v>
      </c>
      <c r="M340" s="2">
        <v>0</v>
      </c>
      <c r="N340" s="2">
        <v>0</v>
      </c>
      <c r="P340" t="s">
        <v>27</v>
      </c>
      <c r="Q340" s="1">
        <v>0</v>
      </c>
      <c r="R340" s="1">
        <v>0</v>
      </c>
      <c r="S340" s="12">
        <v>0</v>
      </c>
      <c r="U340" t="s">
        <v>27</v>
      </c>
      <c r="V340" s="2">
        <v>0</v>
      </c>
      <c r="W340" s="2">
        <v>0</v>
      </c>
      <c r="X340" s="2">
        <v>0</v>
      </c>
      <c r="Y340" s="12">
        <v>0</v>
      </c>
      <c r="Z340" t="s">
        <v>27</v>
      </c>
      <c r="AA340" s="1">
        <v>0</v>
      </c>
      <c r="AB340" s="1">
        <v>0</v>
      </c>
      <c r="AC340" s="2">
        <v>0</v>
      </c>
    </row>
    <row r="341" spans="1:29" x14ac:dyDescent="0.35">
      <c r="A341" t="s">
        <v>28</v>
      </c>
      <c r="B341" s="2">
        <v>0</v>
      </c>
      <c r="C341" s="2">
        <v>0</v>
      </c>
      <c r="D341" s="3">
        <v>0</v>
      </c>
      <c r="F341" t="s">
        <v>28</v>
      </c>
      <c r="G341" s="1">
        <v>0</v>
      </c>
      <c r="H341" s="1">
        <v>0</v>
      </c>
      <c r="I341" s="12">
        <v>0</v>
      </c>
      <c r="K341" t="s">
        <v>28</v>
      </c>
      <c r="L341" s="2">
        <v>0</v>
      </c>
      <c r="M341" s="2">
        <v>0</v>
      </c>
      <c r="N341" s="2">
        <v>0</v>
      </c>
      <c r="P341" t="s">
        <v>28</v>
      </c>
      <c r="Q341" s="1">
        <v>0</v>
      </c>
      <c r="R341" s="1">
        <v>0</v>
      </c>
      <c r="S341" s="12">
        <v>0</v>
      </c>
      <c r="U341" t="s">
        <v>28</v>
      </c>
      <c r="V341" s="2">
        <v>0</v>
      </c>
      <c r="W341" s="2">
        <v>0</v>
      </c>
      <c r="X341" s="2">
        <v>0</v>
      </c>
      <c r="Y341" s="12">
        <v>0</v>
      </c>
      <c r="Z341" t="s">
        <v>28</v>
      </c>
      <c r="AA341" s="1">
        <v>0</v>
      </c>
      <c r="AB341" s="1">
        <v>0</v>
      </c>
      <c r="AC341" s="2">
        <v>0</v>
      </c>
    </row>
    <row r="342" spans="1:29" x14ac:dyDescent="0.35">
      <c r="A342" t="s">
        <v>29</v>
      </c>
      <c r="B342" s="2">
        <v>0</v>
      </c>
      <c r="C342" s="2">
        <v>0</v>
      </c>
      <c r="D342" s="3">
        <v>0</v>
      </c>
      <c r="F342" t="s">
        <v>29</v>
      </c>
      <c r="G342" s="1">
        <v>0</v>
      </c>
      <c r="H342" s="1">
        <v>0</v>
      </c>
      <c r="I342" s="12">
        <v>0</v>
      </c>
      <c r="K342" t="s">
        <v>29</v>
      </c>
      <c r="L342" s="2">
        <v>0</v>
      </c>
      <c r="M342" s="2">
        <v>0</v>
      </c>
      <c r="N342" s="2">
        <v>0</v>
      </c>
      <c r="P342" t="s">
        <v>29</v>
      </c>
      <c r="Q342" s="1">
        <v>0</v>
      </c>
      <c r="R342" s="1">
        <v>0</v>
      </c>
      <c r="S342" s="12">
        <v>0</v>
      </c>
      <c r="U342" t="s">
        <v>29</v>
      </c>
      <c r="V342" s="2">
        <v>0</v>
      </c>
      <c r="W342" s="2">
        <v>0</v>
      </c>
      <c r="X342" s="2">
        <v>0</v>
      </c>
      <c r="Y342" s="12">
        <v>0</v>
      </c>
      <c r="Z342" t="s">
        <v>29</v>
      </c>
      <c r="AA342" s="1">
        <v>0</v>
      </c>
      <c r="AB342" s="1">
        <v>0</v>
      </c>
      <c r="AC342" s="2">
        <v>0</v>
      </c>
    </row>
    <row r="343" spans="1:29" x14ac:dyDescent="0.35">
      <c r="A343" t="s">
        <v>30</v>
      </c>
      <c r="B343" s="2">
        <v>0</v>
      </c>
      <c r="C343" s="2">
        <v>0</v>
      </c>
      <c r="D343" s="3">
        <v>0</v>
      </c>
      <c r="F343" t="s">
        <v>30</v>
      </c>
      <c r="G343" s="1">
        <v>0</v>
      </c>
      <c r="H343" s="1">
        <v>0</v>
      </c>
      <c r="I343" s="12">
        <v>0</v>
      </c>
      <c r="K343" t="s">
        <v>30</v>
      </c>
      <c r="L343" s="2">
        <v>0</v>
      </c>
      <c r="M343" s="2">
        <v>0</v>
      </c>
      <c r="N343" s="2">
        <v>0</v>
      </c>
      <c r="P343" t="s">
        <v>30</v>
      </c>
      <c r="Q343" s="1">
        <v>0</v>
      </c>
      <c r="R343" s="1">
        <v>0</v>
      </c>
      <c r="S343" s="12">
        <v>0</v>
      </c>
      <c r="U343" t="s">
        <v>30</v>
      </c>
      <c r="V343" s="2">
        <v>0</v>
      </c>
      <c r="W343" s="2">
        <v>0</v>
      </c>
      <c r="X343" s="2">
        <v>0</v>
      </c>
      <c r="Y343" s="12">
        <v>0</v>
      </c>
      <c r="Z343" t="s">
        <v>30</v>
      </c>
      <c r="AA343" s="1">
        <v>0</v>
      </c>
      <c r="AB343" s="1">
        <v>0</v>
      </c>
      <c r="AC343" s="2">
        <v>0</v>
      </c>
    </row>
    <row r="344" spans="1:29" x14ac:dyDescent="0.35">
      <c r="A344" s="19" t="s">
        <v>90</v>
      </c>
      <c r="B344" s="20">
        <v>0</v>
      </c>
      <c r="C344" s="20">
        <v>0</v>
      </c>
      <c r="D344" s="20">
        <v>0</v>
      </c>
      <c r="F344" s="19" t="s">
        <v>90</v>
      </c>
      <c r="G344" s="20">
        <v>0</v>
      </c>
      <c r="H344" s="20">
        <v>0</v>
      </c>
      <c r="I344" s="20">
        <v>0</v>
      </c>
      <c r="K344" s="19" t="s">
        <v>90</v>
      </c>
      <c r="L344" s="20">
        <v>0</v>
      </c>
      <c r="M344" s="20">
        <v>0</v>
      </c>
      <c r="N344" s="20">
        <v>0</v>
      </c>
      <c r="P344" s="19" t="s">
        <v>90</v>
      </c>
      <c r="Q344" s="20">
        <v>0</v>
      </c>
      <c r="R344" s="20">
        <v>0</v>
      </c>
      <c r="S344" s="20">
        <v>0</v>
      </c>
      <c r="U344" s="19" t="s">
        <v>90</v>
      </c>
      <c r="V344" s="20">
        <v>0</v>
      </c>
      <c r="W344" s="20">
        <v>0</v>
      </c>
      <c r="X344" s="20">
        <v>0</v>
      </c>
      <c r="Y344" s="12">
        <v>0</v>
      </c>
      <c r="Z344" s="19" t="s">
        <v>90</v>
      </c>
      <c r="AA344" s="20">
        <v>0</v>
      </c>
      <c r="AB344" s="20">
        <v>0</v>
      </c>
      <c r="AC344" s="20">
        <v>0</v>
      </c>
    </row>
    <row r="345" spans="1:29" x14ac:dyDescent="0.35">
      <c r="B345" s="2"/>
      <c r="C345" s="15"/>
      <c r="D345" s="3"/>
      <c r="G345" s="2"/>
      <c r="H345" s="15"/>
      <c r="I345" s="12"/>
      <c r="L345" s="2"/>
      <c r="M345" s="15"/>
      <c r="N345" s="2"/>
      <c r="Q345" s="2"/>
      <c r="R345" s="15"/>
      <c r="S345" s="12"/>
      <c r="V345" s="2"/>
      <c r="W345" s="15"/>
      <c r="X345" s="2"/>
      <c r="Y345" s="12">
        <v>0</v>
      </c>
      <c r="AA345" s="2"/>
      <c r="AB345" s="15"/>
      <c r="AC345" s="2"/>
    </row>
    <row r="346" spans="1:29" x14ac:dyDescent="0.35">
      <c r="B346" s="2"/>
      <c r="C346" s="15"/>
      <c r="D346" s="3"/>
      <c r="G346" s="2"/>
      <c r="H346" s="15"/>
      <c r="I346" s="12"/>
      <c r="L346" s="2"/>
      <c r="M346" s="15"/>
      <c r="N346" s="2"/>
      <c r="Q346" s="2"/>
      <c r="R346" s="15"/>
      <c r="S346" s="12"/>
      <c r="V346" s="2"/>
      <c r="W346" s="15"/>
      <c r="X346" s="2"/>
      <c r="Y346" s="12">
        <v>0</v>
      </c>
      <c r="AA346" s="2"/>
      <c r="AB346" s="15"/>
      <c r="AC346" s="2"/>
    </row>
    <row r="347" spans="1:29" x14ac:dyDescent="0.35">
      <c r="A347" t="s">
        <v>89</v>
      </c>
      <c r="B347" s="2">
        <v>0</v>
      </c>
      <c r="C347" s="2">
        <v>0</v>
      </c>
      <c r="D347" s="3">
        <v>0</v>
      </c>
      <c r="F347" t="s">
        <v>89</v>
      </c>
      <c r="G347" s="1">
        <v>0</v>
      </c>
      <c r="H347" s="1">
        <v>0</v>
      </c>
      <c r="I347" s="12">
        <v>0</v>
      </c>
      <c r="K347" t="s">
        <v>89</v>
      </c>
      <c r="L347" s="2">
        <v>0</v>
      </c>
      <c r="M347" s="2">
        <v>0</v>
      </c>
      <c r="N347" s="2">
        <v>0</v>
      </c>
      <c r="P347" t="s">
        <v>89</v>
      </c>
      <c r="Q347" s="1">
        <v>0</v>
      </c>
      <c r="R347" s="1">
        <v>0</v>
      </c>
      <c r="S347" s="12">
        <v>0</v>
      </c>
      <c r="U347" t="s">
        <v>89</v>
      </c>
      <c r="V347" s="2">
        <v>0</v>
      </c>
      <c r="W347" s="2">
        <v>0</v>
      </c>
      <c r="X347" s="2">
        <v>0</v>
      </c>
      <c r="Y347" s="12">
        <v>0</v>
      </c>
      <c r="Z347" s="16" t="s">
        <v>89</v>
      </c>
      <c r="AA347" s="27">
        <v>0</v>
      </c>
      <c r="AB347" s="28">
        <v>0</v>
      </c>
      <c r="AC347" s="17">
        <v>0</v>
      </c>
    </row>
    <row r="348" spans="1:29" x14ac:dyDescent="0.35">
      <c r="B348" s="2"/>
      <c r="C348" s="15"/>
      <c r="D348" s="3"/>
      <c r="G348" s="2"/>
      <c r="H348" s="15"/>
      <c r="I348" s="12"/>
      <c r="L348" s="2"/>
      <c r="M348" s="15"/>
      <c r="N348" s="2"/>
      <c r="Q348" s="2"/>
      <c r="R348" s="15"/>
      <c r="S348" s="12"/>
      <c r="V348" s="2"/>
      <c r="W348" s="15"/>
      <c r="X348" s="2"/>
      <c r="Y348" s="12">
        <v>0</v>
      </c>
      <c r="AA348" s="2"/>
      <c r="AB348" s="15"/>
      <c r="AC348" s="2"/>
    </row>
    <row r="349" spans="1:29" x14ac:dyDescent="0.35">
      <c r="B349" s="2"/>
      <c r="C349" s="15"/>
      <c r="D349" s="3"/>
      <c r="G349" s="2"/>
      <c r="H349" s="15"/>
      <c r="I349" s="12"/>
      <c r="L349" s="2"/>
      <c r="M349" s="15"/>
      <c r="N349" s="2"/>
      <c r="Q349" s="2"/>
      <c r="R349" s="15"/>
      <c r="S349" s="12"/>
      <c r="V349" s="2"/>
      <c r="W349" s="15"/>
      <c r="X349" s="2"/>
      <c r="Y349" s="12">
        <v>0</v>
      </c>
      <c r="AC349" s="2"/>
    </row>
    <row r="350" spans="1:29" x14ac:dyDescent="0.35">
      <c r="B350" s="2"/>
      <c r="C350" s="15"/>
      <c r="D350" s="3"/>
      <c r="G350" s="2"/>
      <c r="H350" s="15"/>
      <c r="I350" s="12"/>
      <c r="L350" s="2"/>
      <c r="M350" s="15"/>
      <c r="N350" s="2"/>
      <c r="Q350" s="2"/>
      <c r="R350" s="15"/>
      <c r="S350" s="12"/>
      <c r="V350" s="2"/>
      <c r="W350" s="15"/>
      <c r="X350" s="2"/>
      <c r="Y350" s="12">
        <v>0</v>
      </c>
      <c r="AC350" s="2"/>
    </row>
    <row r="351" spans="1:29" x14ac:dyDescent="0.35">
      <c r="A351" t="s">
        <v>31</v>
      </c>
      <c r="B351" s="2">
        <v>0</v>
      </c>
      <c r="C351" s="2">
        <v>0</v>
      </c>
      <c r="D351" s="3">
        <v>0</v>
      </c>
      <c r="F351" t="s">
        <v>31</v>
      </c>
      <c r="G351" s="1">
        <v>0</v>
      </c>
      <c r="H351" s="1">
        <v>0</v>
      </c>
      <c r="I351" s="12">
        <v>0</v>
      </c>
      <c r="K351" t="s">
        <v>31</v>
      </c>
      <c r="L351" s="2">
        <v>0</v>
      </c>
      <c r="M351" s="2">
        <v>0</v>
      </c>
      <c r="N351" s="2">
        <v>0</v>
      </c>
      <c r="P351" t="s">
        <v>31</v>
      </c>
      <c r="Q351" s="1">
        <v>0</v>
      </c>
      <c r="R351" s="1">
        <v>0</v>
      </c>
      <c r="S351" s="12">
        <v>0</v>
      </c>
      <c r="U351" t="s">
        <v>31</v>
      </c>
      <c r="V351" s="2">
        <v>0</v>
      </c>
      <c r="W351" s="2">
        <v>0</v>
      </c>
      <c r="X351" s="2">
        <v>0</v>
      </c>
      <c r="Y351" s="12">
        <v>0</v>
      </c>
      <c r="Z351" t="s">
        <v>31</v>
      </c>
      <c r="AA351" s="1">
        <v>0</v>
      </c>
      <c r="AB351" s="1">
        <v>0</v>
      </c>
      <c r="AC351" s="2">
        <v>0</v>
      </c>
    </row>
    <row r="352" spans="1:29" x14ac:dyDescent="0.35">
      <c r="A352" t="s">
        <v>32</v>
      </c>
      <c r="B352" s="2">
        <v>0</v>
      </c>
      <c r="C352" s="2">
        <v>0</v>
      </c>
      <c r="D352" s="3">
        <v>0</v>
      </c>
      <c r="F352" t="s">
        <v>32</v>
      </c>
      <c r="G352" s="1">
        <v>0</v>
      </c>
      <c r="H352" s="1">
        <v>0</v>
      </c>
      <c r="I352" s="12">
        <v>0</v>
      </c>
      <c r="K352" t="s">
        <v>32</v>
      </c>
      <c r="L352" s="2">
        <v>0</v>
      </c>
      <c r="M352" s="2">
        <v>0</v>
      </c>
      <c r="N352" s="2">
        <v>0</v>
      </c>
      <c r="P352" t="s">
        <v>32</v>
      </c>
      <c r="Q352" s="1">
        <v>0</v>
      </c>
      <c r="R352" s="1">
        <v>0</v>
      </c>
      <c r="S352" s="12">
        <v>0</v>
      </c>
      <c r="U352" t="s">
        <v>32</v>
      </c>
      <c r="V352" s="2">
        <v>0</v>
      </c>
      <c r="W352" s="2">
        <v>0</v>
      </c>
      <c r="X352" s="2">
        <v>0</v>
      </c>
      <c r="Y352" s="12">
        <v>0</v>
      </c>
      <c r="Z352" t="s">
        <v>32</v>
      </c>
      <c r="AA352" s="1">
        <v>0</v>
      </c>
      <c r="AB352" s="1">
        <v>0</v>
      </c>
      <c r="AC352" s="2">
        <v>0</v>
      </c>
    </row>
    <row r="353" spans="1:29" x14ac:dyDescent="0.35">
      <c r="A353" s="19" t="s">
        <v>33</v>
      </c>
      <c r="B353" s="20">
        <v>0</v>
      </c>
      <c r="C353" s="20">
        <v>0</v>
      </c>
      <c r="D353" s="20">
        <v>0</v>
      </c>
      <c r="F353" s="19" t="s">
        <v>33</v>
      </c>
      <c r="G353" s="20">
        <v>0</v>
      </c>
      <c r="H353" s="20">
        <v>0</v>
      </c>
      <c r="I353" s="20">
        <v>0</v>
      </c>
      <c r="K353" s="19" t="s">
        <v>33</v>
      </c>
      <c r="L353" s="20">
        <v>0</v>
      </c>
      <c r="M353" s="20">
        <v>0</v>
      </c>
      <c r="N353" s="20">
        <v>0</v>
      </c>
      <c r="P353" s="19" t="s">
        <v>33</v>
      </c>
      <c r="Q353" s="20">
        <v>0</v>
      </c>
      <c r="R353" s="20">
        <v>0</v>
      </c>
      <c r="S353" s="20">
        <v>0</v>
      </c>
      <c r="U353" s="19" t="s">
        <v>33</v>
      </c>
      <c r="V353" s="20">
        <v>0</v>
      </c>
      <c r="W353" s="20">
        <v>0</v>
      </c>
      <c r="X353" s="20">
        <v>0</v>
      </c>
      <c r="Y353" s="12">
        <v>0</v>
      </c>
      <c r="Z353" s="25" t="s">
        <v>33</v>
      </c>
      <c r="AA353" s="20">
        <v>0</v>
      </c>
      <c r="AB353" s="20">
        <v>0</v>
      </c>
      <c r="AC353" s="20">
        <v>0</v>
      </c>
    </row>
    <row r="354" spans="1:29" x14ac:dyDescent="0.35">
      <c r="B354" s="2"/>
      <c r="C354" s="15"/>
      <c r="D354" s="3"/>
      <c r="G354" s="2"/>
      <c r="H354" s="15"/>
      <c r="I354" s="12"/>
      <c r="L354" s="2"/>
      <c r="M354" s="15"/>
      <c r="N354" s="2"/>
      <c r="Q354" s="2"/>
      <c r="R354" s="15"/>
      <c r="S354" s="12"/>
      <c r="V354" s="2"/>
      <c r="W354" s="15"/>
      <c r="X354" s="2"/>
      <c r="Y354" s="12">
        <v>0</v>
      </c>
      <c r="AA354" s="2"/>
      <c r="AB354" s="15"/>
      <c r="AC354" s="2"/>
    </row>
    <row r="355" spans="1:29" x14ac:dyDescent="0.35">
      <c r="B355" s="2"/>
      <c r="C355" s="15"/>
      <c r="D355" s="3"/>
      <c r="G355" s="2"/>
      <c r="H355" s="15"/>
      <c r="I355" s="12"/>
      <c r="L355" s="2"/>
      <c r="M355" s="15"/>
      <c r="N355" s="2"/>
      <c r="Q355" s="2"/>
      <c r="R355" s="15"/>
      <c r="S355" s="12"/>
      <c r="V355" s="2"/>
      <c r="W355" s="15"/>
      <c r="X355" s="2"/>
      <c r="Y355" s="12">
        <v>0</v>
      </c>
      <c r="AA355" s="2"/>
      <c r="AB355" s="15"/>
      <c r="AC355" s="2"/>
    </row>
    <row r="356" spans="1:29" x14ac:dyDescent="0.35">
      <c r="A356" t="s">
        <v>35</v>
      </c>
      <c r="B356" s="2">
        <v>0</v>
      </c>
      <c r="C356" s="2">
        <v>2936894.2112933332</v>
      </c>
      <c r="D356" s="3">
        <v>2936894.2112933332</v>
      </c>
      <c r="F356" t="s">
        <v>35</v>
      </c>
      <c r="G356" s="1">
        <v>0</v>
      </c>
      <c r="H356" s="1">
        <v>199173.54928000001</v>
      </c>
      <c r="I356" s="12">
        <v>199173.54928000001</v>
      </c>
      <c r="K356" t="s">
        <v>35</v>
      </c>
      <c r="L356" s="2">
        <v>0</v>
      </c>
      <c r="M356" s="2">
        <v>441478.32467250002</v>
      </c>
      <c r="N356" s="2">
        <v>441478.32467250002</v>
      </c>
      <c r="P356" t="s">
        <v>35</v>
      </c>
      <c r="Q356" s="1">
        <v>0</v>
      </c>
      <c r="R356" s="1">
        <v>640651.87395250006</v>
      </c>
      <c r="S356" s="12">
        <v>640651.87395250006</v>
      </c>
      <c r="U356" t="s">
        <v>35</v>
      </c>
      <c r="V356" s="2">
        <v>0</v>
      </c>
      <c r="W356" s="2">
        <v>541514.60448916652</v>
      </c>
      <c r="X356" s="2">
        <v>541514.60448916652</v>
      </c>
      <c r="Y356" s="12">
        <v>1182166.4784416666</v>
      </c>
      <c r="Z356" t="s">
        <v>35</v>
      </c>
      <c r="AA356" s="1">
        <v>0</v>
      </c>
      <c r="AB356" s="1">
        <v>1754727.7328516669</v>
      </c>
      <c r="AC356" s="2">
        <v>1754727.7328516669</v>
      </c>
    </row>
    <row r="357" spans="1:29" x14ac:dyDescent="0.35">
      <c r="A357" t="s">
        <v>36</v>
      </c>
      <c r="B357" s="2">
        <v>-37211449.859999999</v>
      </c>
      <c r="C357" s="2">
        <v>-6855500.1599999992</v>
      </c>
      <c r="D357" s="3">
        <v>-44066950.019999996</v>
      </c>
      <c r="F357" t="s">
        <v>36</v>
      </c>
      <c r="G357" s="1">
        <v>-12078075.07</v>
      </c>
      <c r="H357" s="1">
        <v>-2870581.0199999996</v>
      </c>
      <c r="I357" s="12">
        <v>-14948656.09</v>
      </c>
      <c r="K357" t="s">
        <v>36</v>
      </c>
      <c r="L357" s="2">
        <v>-10116391.609999999</v>
      </c>
      <c r="M357" s="2">
        <v>-1527937.38</v>
      </c>
      <c r="N357" s="2">
        <v>-11644328.989999998</v>
      </c>
      <c r="P357" t="s">
        <v>36</v>
      </c>
      <c r="Q357" s="1">
        <v>-22194466.68</v>
      </c>
      <c r="R357" s="1">
        <v>-4398518.3999999994</v>
      </c>
      <c r="S357" s="12">
        <v>-26592985.079999998</v>
      </c>
      <c r="U357" t="s">
        <v>36</v>
      </c>
      <c r="V357" s="2">
        <v>-8315387.7899999991</v>
      </c>
      <c r="W357" s="2">
        <v>-1188812.3500000006</v>
      </c>
      <c r="X357" s="2">
        <v>-9504200.1400000006</v>
      </c>
      <c r="Y357" s="12">
        <v>-36097185.219999999</v>
      </c>
      <c r="Z357" t="s">
        <v>36</v>
      </c>
      <c r="AA357" s="1">
        <v>-6701595.3900000006</v>
      </c>
      <c r="AB357" s="1">
        <v>-1268169.4099999992</v>
      </c>
      <c r="AC357" s="2">
        <v>-7969764.7999999998</v>
      </c>
    </row>
    <row r="358" spans="1:29" x14ac:dyDescent="0.35">
      <c r="A358" s="19" t="s">
        <v>37</v>
      </c>
      <c r="B358" s="20">
        <v>-37211449.859999999</v>
      </c>
      <c r="C358" s="20">
        <v>-3918605.948706666</v>
      </c>
      <c r="D358" s="20">
        <v>-41130055.808706664</v>
      </c>
      <c r="F358" s="19" t="s">
        <v>37</v>
      </c>
      <c r="G358" s="20">
        <v>-12078075.07</v>
      </c>
      <c r="H358" s="20">
        <v>-2671407.4707199996</v>
      </c>
      <c r="I358" s="20">
        <v>-14749482.540720001</v>
      </c>
      <c r="K358" s="19" t="s">
        <v>37</v>
      </c>
      <c r="L358" s="20">
        <v>-10116391.609999999</v>
      </c>
      <c r="M358" s="20">
        <v>-1086459.0553274998</v>
      </c>
      <c r="N358" s="20">
        <v>-11202850.665327499</v>
      </c>
      <c r="P358" s="19" t="s">
        <v>37</v>
      </c>
      <c r="Q358" s="20">
        <v>-22194466.68</v>
      </c>
      <c r="R358" s="20">
        <v>-3757866.5260474994</v>
      </c>
      <c r="S358" s="20">
        <v>-25952333.206047498</v>
      </c>
      <c r="U358" s="19" t="s">
        <v>37</v>
      </c>
      <c r="V358" s="20">
        <v>-8315387.7899999991</v>
      </c>
      <c r="W358" s="20">
        <v>-647297.74551083404</v>
      </c>
      <c r="X358" s="20">
        <v>-8962685.5355108324</v>
      </c>
      <c r="Y358" s="12">
        <v>-34915018.741558328</v>
      </c>
      <c r="Z358" s="25" t="s">
        <v>37</v>
      </c>
      <c r="AA358" s="20">
        <v>-6701595.3900000006</v>
      </c>
      <c r="AB358" s="20">
        <v>486558.32285166765</v>
      </c>
      <c r="AC358" s="20">
        <v>-6215037.0671483334</v>
      </c>
    </row>
    <row r="359" spans="1:29" x14ac:dyDescent="0.35">
      <c r="B359" s="2"/>
      <c r="C359" s="15"/>
      <c r="D359" s="3"/>
      <c r="G359" s="2"/>
      <c r="H359" s="15"/>
      <c r="I359" s="12"/>
      <c r="L359" s="2"/>
      <c r="M359" s="15"/>
      <c r="N359" s="2"/>
      <c r="Q359" s="2"/>
      <c r="R359" s="15"/>
      <c r="S359" s="12"/>
      <c r="V359" s="2"/>
      <c r="W359" s="15"/>
      <c r="X359" s="2"/>
      <c r="Y359" s="12">
        <v>0</v>
      </c>
      <c r="AA359" s="2"/>
      <c r="AB359" s="15"/>
      <c r="AC359" s="2"/>
    </row>
    <row r="360" spans="1:29" x14ac:dyDescent="0.35">
      <c r="B360" s="2"/>
      <c r="C360" s="15"/>
      <c r="D360" s="3"/>
      <c r="G360" s="2"/>
      <c r="H360" s="15"/>
      <c r="I360" s="12"/>
      <c r="L360" s="2"/>
      <c r="M360" s="15"/>
      <c r="N360" s="2"/>
      <c r="Q360" s="2"/>
      <c r="R360" s="15"/>
      <c r="S360" s="12"/>
      <c r="V360" s="2"/>
      <c r="W360" s="15"/>
      <c r="X360" s="2"/>
      <c r="Y360" s="12">
        <v>0</v>
      </c>
      <c r="AA360" s="2"/>
      <c r="AB360" s="15"/>
      <c r="AC360" s="2"/>
    </row>
    <row r="361" spans="1:29" x14ac:dyDescent="0.35">
      <c r="A361" t="s">
        <v>38</v>
      </c>
      <c r="B361" s="2">
        <v>0</v>
      </c>
      <c r="C361" s="2">
        <v>-706077.74320000014</v>
      </c>
      <c r="D361" s="3">
        <v>-706077.74320000014</v>
      </c>
      <c r="F361" t="s">
        <v>38</v>
      </c>
      <c r="G361" s="1">
        <v>0</v>
      </c>
      <c r="H361" s="1">
        <v>-52639.130400000002</v>
      </c>
      <c r="I361" s="12">
        <v>-52639.130400000002</v>
      </c>
      <c r="K361" t="s">
        <v>38</v>
      </c>
      <c r="L361" s="2">
        <v>0</v>
      </c>
      <c r="M361" s="2">
        <v>-70679.166999999987</v>
      </c>
      <c r="N361" s="2">
        <v>-70679.166999999987</v>
      </c>
      <c r="P361" t="s">
        <v>38</v>
      </c>
      <c r="Q361" s="1">
        <v>0</v>
      </c>
      <c r="R361" s="1">
        <v>-123318.2974</v>
      </c>
      <c r="S361" s="12">
        <v>-123318.2974</v>
      </c>
      <c r="U361" t="s">
        <v>38</v>
      </c>
      <c r="V361" s="2">
        <v>0</v>
      </c>
      <c r="W361" s="2">
        <v>-109695.30749999998</v>
      </c>
      <c r="X361" s="2">
        <v>-109695.30749999998</v>
      </c>
      <c r="Y361" s="12">
        <v>-233013.60489999998</v>
      </c>
      <c r="Z361" t="s">
        <v>38</v>
      </c>
      <c r="AA361" s="1">
        <v>0</v>
      </c>
      <c r="AB361" s="1">
        <v>-473064.13830000017</v>
      </c>
      <c r="AC361" s="2">
        <v>-473064.13830000017</v>
      </c>
    </row>
    <row r="362" spans="1:29" x14ac:dyDescent="0.35">
      <c r="A362" t="s">
        <v>78</v>
      </c>
      <c r="B362" s="2">
        <v>0</v>
      </c>
      <c r="C362" s="2">
        <v>-31972914.546296824</v>
      </c>
      <c r="D362" s="3">
        <v>-31972914.546296824</v>
      </c>
      <c r="F362" t="s">
        <v>78</v>
      </c>
      <c r="G362" s="1">
        <v>0</v>
      </c>
      <c r="H362" s="1">
        <v>-7370289.1600000001</v>
      </c>
      <c r="I362" s="12">
        <v>-7370289.1600000001</v>
      </c>
      <c r="K362" t="s">
        <v>78</v>
      </c>
      <c r="L362" s="2">
        <v>0</v>
      </c>
      <c r="M362" s="2">
        <v>-4838792.0500000007</v>
      </c>
      <c r="N362" s="2">
        <v>-4838792.0500000007</v>
      </c>
      <c r="P362" t="s">
        <v>78</v>
      </c>
      <c r="Q362" s="1">
        <v>0</v>
      </c>
      <c r="R362" s="1">
        <v>-12209081.210000001</v>
      </c>
      <c r="S362" s="12">
        <v>-12209081.210000001</v>
      </c>
      <c r="U362" t="s">
        <v>78</v>
      </c>
      <c r="V362" s="2">
        <v>0</v>
      </c>
      <c r="W362" s="2">
        <v>-10827783.391907435</v>
      </c>
      <c r="X362" s="2">
        <v>-10827783.391907435</v>
      </c>
      <c r="Y362" s="12">
        <v>-23036864.601907436</v>
      </c>
      <c r="Z362" t="s">
        <v>78</v>
      </c>
      <c r="AA362" s="1">
        <v>0</v>
      </c>
      <c r="AB362" s="1">
        <v>-8936049.944389388</v>
      </c>
      <c r="AC362" s="2">
        <v>-8936049.944389388</v>
      </c>
    </row>
    <row r="363" spans="1:29" x14ac:dyDescent="0.35">
      <c r="A363" t="s">
        <v>39</v>
      </c>
      <c r="B363" s="2">
        <v>0</v>
      </c>
      <c r="C363" s="2">
        <v>-13108505.546880377</v>
      </c>
      <c r="D363" s="3">
        <v>-13108505.546880377</v>
      </c>
      <c r="F363" t="s">
        <v>39</v>
      </c>
      <c r="G363" s="1">
        <v>0</v>
      </c>
      <c r="H363" s="1">
        <v>-1467226.978688</v>
      </c>
      <c r="I363" s="12">
        <v>-1467226.978688</v>
      </c>
      <c r="K363" t="s">
        <v>39</v>
      </c>
      <c r="L363" s="2">
        <v>0</v>
      </c>
      <c r="M363" s="2">
        <v>298322.56434133346</v>
      </c>
      <c r="N363" s="2">
        <v>298322.56434133346</v>
      </c>
      <c r="P363" t="s">
        <v>39</v>
      </c>
      <c r="Q363" s="1">
        <v>0</v>
      </c>
      <c r="R363" s="1">
        <v>-1168904.4143466665</v>
      </c>
      <c r="S363" s="12">
        <v>-1168904.4143466665</v>
      </c>
      <c r="U363" t="s">
        <v>39</v>
      </c>
      <c r="V363" s="2">
        <v>0</v>
      </c>
      <c r="W363" s="2">
        <v>-5896158.2654805575</v>
      </c>
      <c r="X363" s="2">
        <v>-5896158.2654805575</v>
      </c>
      <c r="Y363" s="12">
        <v>-7065062.6798272245</v>
      </c>
      <c r="Z363" t="s">
        <v>39</v>
      </c>
      <c r="AA363" s="1">
        <v>0</v>
      </c>
      <c r="AB363" s="1">
        <v>-6043442.867053153</v>
      </c>
      <c r="AC363" s="2">
        <v>-6043442.867053153</v>
      </c>
    </row>
    <row r="364" spans="1:29" x14ac:dyDescent="0.35">
      <c r="A364" t="s">
        <v>40</v>
      </c>
      <c r="B364" s="2">
        <v>0</v>
      </c>
      <c r="C364" s="2">
        <v>-3013868.0636266666</v>
      </c>
      <c r="D364" s="3">
        <v>-3013868.0636266666</v>
      </c>
      <c r="F364" t="s">
        <v>40</v>
      </c>
      <c r="G364" s="1">
        <v>0</v>
      </c>
      <c r="H364" s="1">
        <v>-436602.03139200003</v>
      </c>
      <c r="I364" s="12">
        <v>-436602.03139200003</v>
      </c>
      <c r="K364" t="s">
        <v>40</v>
      </c>
      <c r="L364" s="2">
        <v>0</v>
      </c>
      <c r="M364" s="2">
        <v>-493397.4666705</v>
      </c>
      <c r="N364" s="2">
        <v>-493397.4666705</v>
      </c>
      <c r="P364" t="s">
        <v>40</v>
      </c>
      <c r="Q364" s="1">
        <v>0</v>
      </c>
      <c r="R364" s="1">
        <v>-929999.49806250003</v>
      </c>
      <c r="S364" s="12">
        <v>-929999.49806250003</v>
      </c>
      <c r="U364" t="s">
        <v>40</v>
      </c>
      <c r="V364" s="2">
        <v>0</v>
      </c>
      <c r="W364" s="2">
        <v>-860542.13889583317</v>
      </c>
      <c r="X364" s="2">
        <v>-860542.13889583317</v>
      </c>
      <c r="Y364" s="12">
        <v>-1790541.6369583332</v>
      </c>
      <c r="Z364" t="s">
        <v>40</v>
      </c>
      <c r="AA364" s="1">
        <v>0</v>
      </c>
      <c r="AB364" s="1">
        <v>-1223326.4266683336</v>
      </c>
      <c r="AC364" s="2">
        <v>-1223326.4266683336</v>
      </c>
    </row>
    <row r="365" spans="1:29" x14ac:dyDescent="0.35">
      <c r="A365" t="s">
        <v>41</v>
      </c>
      <c r="B365" s="2">
        <v>0</v>
      </c>
      <c r="C365" s="2">
        <v>-50377</v>
      </c>
      <c r="D365" s="3">
        <v>-50377</v>
      </c>
      <c r="F365" t="s">
        <v>41</v>
      </c>
      <c r="G365" s="1">
        <v>0</v>
      </c>
      <c r="H365" s="1">
        <v>0</v>
      </c>
      <c r="I365" s="12">
        <v>0</v>
      </c>
      <c r="K365" t="s">
        <v>41</v>
      </c>
      <c r="L365" s="2">
        <v>0</v>
      </c>
      <c r="M365" s="2">
        <v>-29949</v>
      </c>
      <c r="N365" s="2">
        <v>-29949</v>
      </c>
      <c r="P365" t="s">
        <v>41</v>
      </c>
      <c r="Q365" s="1">
        <v>0</v>
      </c>
      <c r="R365" s="1">
        <v>-29949</v>
      </c>
      <c r="S365" s="12">
        <v>-29949</v>
      </c>
      <c r="U365" t="s">
        <v>41</v>
      </c>
      <c r="V365" s="2">
        <v>0</v>
      </c>
      <c r="W365" s="2">
        <v>-14735</v>
      </c>
      <c r="X365" s="2">
        <v>-14735</v>
      </c>
      <c r="Y365" s="12">
        <v>-44684</v>
      </c>
      <c r="Z365" t="s">
        <v>41</v>
      </c>
      <c r="AA365" s="1">
        <v>0</v>
      </c>
      <c r="AB365" s="1">
        <v>-5693</v>
      </c>
      <c r="AC365" s="2">
        <v>-5693</v>
      </c>
    </row>
    <row r="366" spans="1:29" x14ac:dyDescent="0.35">
      <c r="A366" t="s">
        <v>42</v>
      </c>
      <c r="B366" s="2">
        <v>0</v>
      </c>
      <c r="C366" s="2">
        <v>-156277</v>
      </c>
      <c r="D366" s="3">
        <v>-156277</v>
      </c>
      <c r="F366" t="s">
        <v>42</v>
      </c>
      <c r="G366" s="1">
        <v>0</v>
      </c>
      <c r="H366" s="1">
        <v>0</v>
      </c>
      <c r="I366" s="12">
        <v>0</v>
      </c>
      <c r="K366" t="s">
        <v>42</v>
      </c>
      <c r="L366" s="2">
        <v>0</v>
      </c>
      <c r="M366" s="2">
        <v>0</v>
      </c>
      <c r="N366" s="2">
        <v>0</v>
      </c>
      <c r="P366" t="s">
        <v>42</v>
      </c>
      <c r="Q366" s="1">
        <v>0</v>
      </c>
      <c r="R366" s="1">
        <v>0</v>
      </c>
      <c r="S366" s="12">
        <v>0</v>
      </c>
      <c r="U366" t="s">
        <v>42</v>
      </c>
      <c r="V366" s="2">
        <v>0</v>
      </c>
      <c r="W366" s="2">
        <v>0</v>
      </c>
      <c r="X366" s="2">
        <v>0</v>
      </c>
      <c r="Y366" s="12">
        <v>0</v>
      </c>
      <c r="Z366" t="s">
        <v>42</v>
      </c>
      <c r="AA366" s="1">
        <v>0</v>
      </c>
      <c r="AB366" s="1">
        <v>-156277</v>
      </c>
      <c r="AC366" s="2">
        <v>-156277</v>
      </c>
    </row>
    <row r="367" spans="1:29" x14ac:dyDescent="0.35">
      <c r="A367" t="s">
        <v>4</v>
      </c>
      <c r="B367" s="2">
        <v>0</v>
      </c>
      <c r="C367" s="2">
        <v>3107944.1881260145</v>
      </c>
      <c r="D367" s="3">
        <v>3107944.1881260145</v>
      </c>
      <c r="F367" t="s">
        <v>4</v>
      </c>
      <c r="G367" s="1">
        <v>0</v>
      </c>
      <c r="H367" s="1">
        <v>-4453716.4125919994</v>
      </c>
      <c r="I367" s="12">
        <v>-4453716.4125919994</v>
      </c>
      <c r="K367" t="s">
        <v>4</v>
      </c>
      <c r="L367" s="2">
        <v>0</v>
      </c>
      <c r="M367" s="2">
        <v>-511890.16886716709</v>
      </c>
      <c r="N367" s="2">
        <v>-511890.16886716709</v>
      </c>
      <c r="P367" t="s">
        <v>4</v>
      </c>
      <c r="Q367" s="1">
        <v>0</v>
      </c>
      <c r="R367" s="1">
        <v>-4965606.5814591665</v>
      </c>
      <c r="S367" s="12">
        <v>-4965606.5814591665</v>
      </c>
      <c r="U367" t="s">
        <v>4</v>
      </c>
      <c r="V367" s="2">
        <v>0</v>
      </c>
      <c r="W367" s="2">
        <v>5277676.194345599</v>
      </c>
      <c r="X367" s="2">
        <v>5277676.194345599</v>
      </c>
      <c r="Y367" s="12">
        <v>312069.61288643256</v>
      </c>
      <c r="Z367" t="s">
        <v>4</v>
      </c>
      <c r="AA367" s="1">
        <v>0</v>
      </c>
      <c r="AB367" s="1">
        <v>2795874.575239582</v>
      </c>
      <c r="AC367" s="2">
        <v>2795874.575239582</v>
      </c>
    </row>
    <row r="368" spans="1:29" x14ac:dyDescent="0.35">
      <c r="A368" t="s">
        <v>5</v>
      </c>
      <c r="B368" s="2">
        <v>0</v>
      </c>
      <c r="C368" s="2">
        <v>-4371011.2254800014</v>
      </c>
      <c r="D368" s="3">
        <v>-4371011.2254800014</v>
      </c>
      <c r="F368" t="s">
        <v>5</v>
      </c>
      <c r="G368" s="1">
        <v>0</v>
      </c>
      <c r="H368" s="1">
        <v>0</v>
      </c>
      <c r="I368" s="12">
        <v>0</v>
      </c>
      <c r="K368" t="s">
        <v>5</v>
      </c>
      <c r="L368" s="2">
        <v>0</v>
      </c>
      <c r="M368" s="2">
        <v>0</v>
      </c>
      <c r="N368" s="2">
        <v>0</v>
      </c>
      <c r="P368" t="s">
        <v>5</v>
      </c>
      <c r="Q368" s="1">
        <v>0</v>
      </c>
      <c r="R368" s="1">
        <v>0</v>
      </c>
      <c r="S368" s="12">
        <v>0</v>
      </c>
      <c r="U368" t="s">
        <v>5</v>
      </c>
      <c r="V368" s="2">
        <v>0</v>
      </c>
      <c r="W368" s="2">
        <v>-3212626.8034420181</v>
      </c>
      <c r="X368" s="2">
        <v>-3212626.8034420181</v>
      </c>
      <c r="Y368" s="12">
        <v>-3212626.8034420181</v>
      </c>
      <c r="Z368" t="s">
        <v>5</v>
      </c>
      <c r="AA368" s="1">
        <v>0</v>
      </c>
      <c r="AB368" s="1">
        <v>-1158384.4220379833</v>
      </c>
      <c r="AC368" s="2">
        <v>-1158384.4220379833</v>
      </c>
    </row>
    <row r="369" spans="1:29" x14ac:dyDescent="0.35">
      <c r="A369" t="s">
        <v>182</v>
      </c>
      <c r="B369" s="2">
        <v>0</v>
      </c>
      <c r="C369" s="2">
        <v>1399476.8985000001</v>
      </c>
      <c r="D369" s="3">
        <v>1399476.8985000001</v>
      </c>
      <c r="F369" t="s">
        <v>182</v>
      </c>
      <c r="G369" s="1">
        <v>0</v>
      </c>
      <c r="H369" s="1">
        <v>-277956.46889599995</v>
      </c>
      <c r="I369" s="12">
        <v>-277956.46889599995</v>
      </c>
      <c r="K369" t="s">
        <v>182</v>
      </c>
      <c r="L369" s="2">
        <v>0</v>
      </c>
      <c r="M369" s="2">
        <v>604498.11205349991</v>
      </c>
      <c r="N369" s="2">
        <v>604498.11205349991</v>
      </c>
      <c r="P369" t="s">
        <v>182</v>
      </c>
      <c r="Q369" s="1">
        <v>0</v>
      </c>
      <c r="R369" s="1">
        <v>326541.64315749996</v>
      </c>
      <c r="S369" s="12">
        <v>326541.64315749996</v>
      </c>
      <c r="U369" t="s">
        <v>182</v>
      </c>
      <c r="V369" s="2">
        <v>0</v>
      </c>
      <c r="W369" s="2">
        <v>-1517210.9546758332</v>
      </c>
      <c r="X369" s="2">
        <v>-1517210.9546758332</v>
      </c>
      <c r="Y369" s="12">
        <v>-1190669.3115183334</v>
      </c>
      <c r="Z369" t="s">
        <v>182</v>
      </c>
      <c r="AA369" s="1">
        <v>0</v>
      </c>
      <c r="AB369" s="1">
        <v>2590146.2100183335</v>
      </c>
      <c r="AC369" s="2">
        <v>2590146.2100183335</v>
      </c>
    </row>
    <row r="370" spans="1:29" x14ac:dyDescent="0.35">
      <c r="A370" s="19" t="s">
        <v>11</v>
      </c>
      <c r="B370" s="20">
        <v>0</v>
      </c>
      <c r="C370" s="20">
        <v>-48871610.038857855</v>
      </c>
      <c r="D370" s="20">
        <v>-48871610.038857855</v>
      </c>
      <c r="F370" s="19" t="s">
        <v>11</v>
      </c>
      <c r="G370" s="20">
        <v>0</v>
      </c>
      <c r="H370" s="20">
        <v>-14058430.181968</v>
      </c>
      <c r="I370" s="20">
        <v>-14058430.181968</v>
      </c>
      <c r="K370" s="19" t="s">
        <v>11</v>
      </c>
      <c r="L370" s="20">
        <v>0</v>
      </c>
      <c r="M370" s="20">
        <v>-5041887.1761428351</v>
      </c>
      <c r="N370" s="20">
        <v>-5041887.1761428351</v>
      </c>
      <c r="P370" s="19" t="s">
        <v>11</v>
      </c>
      <c r="Q370" s="20">
        <v>0</v>
      </c>
      <c r="R370" s="20">
        <v>-19100317.358110834</v>
      </c>
      <c r="S370" s="20">
        <v>-19100317.358110834</v>
      </c>
      <c r="U370" s="19" t="s">
        <v>11</v>
      </c>
      <c r="V370" s="20">
        <v>0</v>
      </c>
      <c r="W370" s="20">
        <v>-17161075.667556077</v>
      </c>
      <c r="X370" s="20">
        <v>-17161075.667556077</v>
      </c>
      <c r="Y370" s="12">
        <v>-36261393.025666907</v>
      </c>
      <c r="Z370" s="19" t="s">
        <v>11</v>
      </c>
      <c r="AA370" s="20">
        <v>0</v>
      </c>
      <c r="AB370" s="20">
        <v>-12610217.01319094</v>
      </c>
      <c r="AC370" s="20">
        <v>-12610217.01319094</v>
      </c>
    </row>
    <row r="371" spans="1:29" x14ac:dyDescent="0.35">
      <c r="B371" s="2"/>
      <c r="C371" s="15"/>
      <c r="D371" s="3"/>
      <c r="G371" s="2"/>
      <c r="H371" s="15"/>
      <c r="I371" s="12"/>
      <c r="L371" s="2"/>
      <c r="M371" s="15"/>
      <c r="N371" s="2"/>
      <c r="Q371" s="2"/>
      <c r="R371" s="15"/>
      <c r="S371" s="12"/>
      <c r="V371" s="2"/>
      <c r="W371" s="15"/>
      <c r="X371" s="2"/>
      <c r="Y371" s="12">
        <v>0</v>
      </c>
      <c r="AA371" s="2"/>
      <c r="AB371" s="15"/>
      <c r="AC371" s="2"/>
    </row>
    <row r="372" spans="1:29" x14ac:dyDescent="0.35">
      <c r="B372" s="2"/>
      <c r="C372" s="15"/>
      <c r="D372" s="3"/>
      <c r="G372" s="2"/>
      <c r="H372" s="15"/>
      <c r="I372" s="12"/>
      <c r="L372" s="2"/>
      <c r="M372" s="15"/>
      <c r="N372" s="2"/>
      <c r="Q372" s="2"/>
      <c r="R372" s="15"/>
      <c r="S372" s="12"/>
      <c r="V372" s="2"/>
      <c r="W372" s="15"/>
      <c r="X372" s="2"/>
      <c r="Y372" s="12">
        <v>0</v>
      </c>
      <c r="AA372" s="2"/>
      <c r="AB372" s="15"/>
      <c r="AC372" s="2"/>
    </row>
    <row r="373" spans="1:29" x14ac:dyDescent="0.35">
      <c r="A373" s="11" t="s">
        <v>43</v>
      </c>
      <c r="B373" s="4">
        <v>-16758973.620000008</v>
      </c>
      <c r="C373" s="4">
        <v>3030714.2364767939</v>
      </c>
      <c r="D373" s="4">
        <v>-13728259.383523215</v>
      </c>
      <c r="F373" s="11" t="s">
        <v>43</v>
      </c>
      <c r="G373" s="4">
        <v>-7345257.7100000195</v>
      </c>
      <c r="H373" s="4">
        <v>7107163.385967996</v>
      </c>
      <c r="I373" s="4">
        <v>-238094.32403202355</v>
      </c>
      <c r="K373" s="11" t="s">
        <v>43</v>
      </c>
      <c r="L373" s="4">
        <v>-2877250.9199999906</v>
      </c>
      <c r="M373" s="4">
        <v>2177645.448442</v>
      </c>
      <c r="N373" s="4">
        <v>-699605.47155799065</v>
      </c>
      <c r="P373" s="11" t="s">
        <v>43</v>
      </c>
      <c r="Q373" s="4">
        <v>-10222508.630000006</v>
      </c>
      <c r="R373" s="4">
        <v>9284808.8344100006</v>
      </c>
      <c r="S373" s="4">
        <v>-937699.79559000582</v>
      </c>
      <c r="U373" s="11" t="s">
        <v>43</v>
      </c>
      <c r="V373" s="4">
        <v>-4215883.8700000066</v>
      </c>
      <c r="W373" s="4">
        <v>-3637454.5640739053</v>
      </c>
      <c r="X373" s="4">
        <v>-7853338.434073912</v>
      </c>
      <c r="Y373" s="12">
        <v>-8791038.2296639178</v>
      </c>
      <c r="Z373" s="11" t="s">
        <v>43</v>
      </c>
      <c r="AA373" s="4">
        <v>-2320581.1199999973</v>
      </c>
      <c r="AB373" s="4">
        <v>-2616640.0338593032</v>
      </c>
      <c r="AC373" s="4">
        <v>-4937221.1538593005</v>
      </c>
    </row>
    <row r="374" spans="1:29" x14ac:dyDescent="0.35">
      <c r="A374" t="s">
        <v>6</v>
      </c>
      <c r="B374" s="2">
        <v>0</v>
      </c>
      <c r="C374" s="2">
        <v>-6691862.3499999996</v>
      </c>
      <c r="D374" s="2">
        <v>-6691862.3499999996</v>
      </c>
      <c r="F374" t="s">
        <v>6</v>
      </c>
      <c r="G374" s="1">
        <v>0</v>
      </c>
      <c r="H374" s="1">
        <v>-3637418.76</v>
      </c>
      <c r="I374" s="2">
        <v>-3637418.76</v>
      </c>
      <c r="K374" t="s">
        <v>6</v>
      </c>
      <c r="L374" s="2">
        <v>0</v>
      </c>
      <c r="M374" s="2">
        <v>-886615.40000000037</v>
      </c>
      <c r="N374" s="2">
        <v>-886615.40000000037</v>
      </c>
      <c r="P374" t="s">
        <v>6</v>
      </c>
      <c r="Q374" s="1">
        <v>0</v>
      </c>
      <c r="R374" s="1">
        <v>-4524034.16</v>
      </c>
      <c r="S374" s="2">
        <v>-4524034.16</v>
      </c>
      <c r="U374" t="s">
        <v>6</v>
      </c>
      <c r="V374" s="2">
        <v>0</v>
      </c>
      <c r="W374" s="2">
        <v>-614176.84999999963</v>
      </c>
      <c r="X374" s="2">
        <v>-614176.84999999963</v>
      </c>
      <c r="Y374" s="12">
        <v>-5138211.01</v>
      </c>
      <c r="Z374" t="s">
        <v>6</v>
      </c>
      <c r="AA374" s="1">
        <v>0</v>
      </c>
      <c r="AB374" s="1">
        <v>-1553651.3399999999</v>
      </c>
      <c r="AC374" s="2">
        <v>-1553651.3399999999</v>
      </c>
    </row>
    <row r="375" spans="1:29" x14ac:dyDescent="0.35">
      <c r="A375" s="11" t="s">
        <v>7</v>
      </c>
      <c r="B375" s="4">
        <v>-16758973.620000008</v>
      </c>
      <c r="C375" s="4">
        <v>-3661148.1135232057</v>
      </c>
      <c r="D375" s="4">
        <v>-20420121.733523212</v>
      </c>
      <c r="F375" s="11" t="s">
        <v>7</v>
      </c>
      <c r="G375" s="4">
        <v>-7345257.7100000195</v>
      </c>
      <c r="H375" s="4">
        <v>3469744.6259679962</v>
      </c>
      <c r="I375" s="4">
        <v>-3875513.0840320233</v>
      </c>
      <c r="K375" s="11" t="s">
        <v>7</v>
      </c>
      <c r="L375" s="4">
        <v>-2877250.9199999906</v>
      </c>
      <c r="M375" s="4">
        <v>1291030.0484419996</v>
      </c>
      <c r="N375" s="4">
        <v>-1586220.871557991</v>
      </c>
      <c r="P375" s="11" t="s">
        <v>7</v>
      </c>
      <c r="Q375" s="4">
        <v>-10222508.630000006</v>
      </c>
      <c r="R375" s="4">
        <v>4760774.6744100004</v>
      </c>
      <c r="S375" s="4">
        <v>-5461733.955590006</v>
      </c>
      <c r="U375" s="11" t="s">
        <v>7</v>
      </c>
      <c r="V375" s="4">
        <v>-4215883.8700000066</v>
      </c>
      <c r="W375" s="4">
        <v>-4251631.414073905</v>
      </c>
      <c r="X375" s="4">
        <v>-8467515.2840739116</v>
      </c>
      <c r="Y375" s="12">
        <v>-13929249.239663918</v>
      </c>
      <c r="Z375" s="11" t="s">
        <v>7</v>
      </c>
      <c r="AA375" s="137">
        <v>-2320581.1199999973</v>
      </c>
      <c r="AB375" s="137">
        <v>-4170291.3738593031</v>
      </c>
      <c r="AC375" s="4">
        <v>-6490872.4938593004</v>
      </c>
    </row>
    <row r="376" spans="1:29" x14ac:dyDescent="0.35">
      <c r="A376" t="s">
        <v>8</v>
      </c>
      <c r="B376" s="2">
        <v>0</v>
      </c>
      <c r="C376" s="2">
        <v>6033820.7187386192</v>
      </c>
      <c r="D376" s="2">
        <v>6033820.7187386192</v>
      </c>
      <c r="F376" t="s">
        <v>8</v>
      </c>
      <c r="G376" s="1">
        <v>0</v>
      </c>
      <c r="H376" s="1">
        <v>1162727.7338588103</v>
      </c>
      <c r="I376" s="2">
        <v>1162727.7338588103</v>
      </c>
      <c r="K376" t="s">
        <v>8</v>
      </c>
      <c r="L376" s="2">
        <v>0</v>
      </c>
      <c r="M376" s="2">
        <v>445177.64192021429</v>
      </c>
      <c r="N376" s="2">
        <v>445177.64192021429</v>
      </c>
      <c r="P376" t="s">
        <v>8</v>
      </c>
      <c r="Q376" s="1">
        <v>0</v>
      </c>
      <c r="R376" s="1">
        <v>1607905.3757790246</v>
      </c>
      <c r="S376" s="2">
        <v>1607905.3757790246</v>
      </c>
      <c r="U376" t="s">
        <v>8</v>
      </c>
      <c r="V376" s="2">
        <v>0</v>
      </c>
      <c r="W376" s="2">
        <v>3607990.3757863948</v>
      </c>
      <c r="X376" s="2">
        <v>3607990.3757863948</v>
      </c>
      <c r="Y376" s="12">
        <v>5215895.7515654191</v>
      </c>
      <c r="Z376" t="s">
        <v>8</v>
      </c>
      <c r="AA376" s="1">
        <v>0</v>
      </c>
      <c r="AB376" s="1">
        <v>817924.96717319987</v>
      </c>
      <c r="AC376" s="2">
        <v>817924.96717319987</v>
      </c>
    </row>
    <row r="377" spans="1:29" x14ac:dyDescent="0.35">
      <c r="A377" s="11" t="s">
        <v>161</v>
      </c>
      <c r="B377" s="4">
        <v>-16758973.620000008</v>
      </c>
      <c r="C377" s="4">
        <v>2372672.6052154135</v>
      </c>
      <c r="D377" s="4">
        <v>-14386301.014784595</v>
      </c>
      <c r="F377" s="11" t="s">
        <v>161</v>
      </c>
      <c r="G377" s="4">
        <v>-7345257.7100000195</v>
      </c>
      <c r="H377" s="4">
        <v>4632472.3598268069</v>
      </c>
      <c r="I377" s="4">
        <v>-2712785.3501732126</v>
      </c>
      <c r="K377" s="11" t="s">
        <v>161</v>
      </c>
      <c r="L377" s="4">
        <v>-2877250.9199999906</v>
      </c>
      <c r="M377" s="4">
        <v>1736207.6903622139</v>
      </c>
      <c r="N377" s="4">
        <v>-1141043.2296377767</v>
      </c>
      <c r="P377" s="11" t="s">
        <v>161</v>
      </c>
      <c r="Q377" s="4">
        <v>-10222508.630000006</v>
      </c>
      <c r="R377" s="4">
        <v>6368680.0501890248</v>
      </c>
      <c r="S377" s="4">
        <v>-3853828.5798109816</v>
      </c>
      <c r="U377" s="11" t="s">
        <v>161</v>
      </c>
      <c r="V377" s="4">
        <v>-4215883.8700000066</v>
      </c>
      <c r="W377" s="4">
        <v>-643641.03828751016</v>
      </c>
      <c r="X377" s="4">
        <v>-4859524.9082875168</v>
      </c>
      <c r="Y377" s="12">
        <v>-8713353.4880984984</v>
      </c>
      <c r="Z377" s="11" t="s">
        <v>9</v>
      </c>
      <c r="AA377" s="137">
        <v>-2320581.1199999973</v>
      </c>
      <c r="AB377" s="137">
        <v>-3352366.406686103</v>
      </c>
      <c r="AC377" s="4">
        <v>-5672947.5266861003</v>
      </c>
    </row>
    <row r="378" spans="1:29" x14ac:dyDescent="0.35">
      <c r="B378" s="3"/>
      <c r="C378" s="3"/>
      <c r="L378" s="2">
        <v>3.7252902984619141E-9</v>
      </c>
      <c r="M378" s="2">
        <v>3.9581209421157837E-9</v>
      </c>
      <c r="N378" s="2">
        <v>7.6834112405776978E-9</v>
      </c>
      <c r="Q378" s="3">
        <v>0</v>
      </c>
      <c r="R378" s="3">
        <v>0</v>
      </c>
      <c r="AA378" s="12">
        <v>0</v>
      </c>
      <c r="AB378" s="12">
        <v>0</v>
      </c>
      <c r="AC378" s="12">
        <v>0</v>
      </c>
    </row>
    <row r="379" spans="1:29" x14ac:dyDescent="0.35">
      <c r="B379" s="3"/>
      <c r="C379" s="3"/>
      <c r="L379" s="2"/>
      <c r="M379" s="2"/>
      <c r="N379" s="2"/>
      <c r="Q379" s="3"/>
      <c r="R379" s="3"/>
      <c r="AA379" s="12"/>
      <c r="AB379" s="12"/>
      <c r="AC379" s="12"/>
    </row>
    <row r="380" spans="1:29" x14ac:dyDescent="0.35">
      <c r="B380" s="2">
        <v>0</v>
      </c>
      <c r="C380" s="2">
        <v>-3.7252902984619141E-9</v>
      </c>
    </row>
    <row r="381" spans="1:29" ht="18.5" x14ac:dyDescent="0.35">
      <c r="A381" s="303" t="s">
        <v>205</v>
      </c>
      <c r="B381" s="303"/>
      <c r="C381" s="303"/>
      <c r="D381" s="303"/>
      <c r="F381" s="303" t="s">
        <v>193</v>
      </c>
      <c r="G381" s="303"/>
      <c r="H381" s="303"/>
      <c r="I381" s="303"/>
      <c r="K381" s="303" t="s">
        <v>197</v>
      </c>
      <c r="L381" s="303"/>
      <c r="M381" s="303"/>
      <c r="N381" s="303"/>
      <c r="P381" s="303" t="s">
        <v>199</v>
      </c>
      <c r="Q381" s="303"/>
      <c r="R381" s="303"/>
      <c r="S381" s="303"/>
      <c r="U381" s="303" t="s">
        <v>202</v>
      </c>
      <c r="V381" s="303"/>
      <c r="W381" s="303"/>
      <c r="X381" s="303"/>
      <c r="Z381" s="135" t="s">
        <v>208</v>
      </c>
      <c r="AA381" s="135"/>
      <c r="AB381" s="135"/>
      <c r="AC381" s="135"/>
    </row>
    <row r="382" spans="1:29" ht="15.5" x14ac:dyDescent="0.35">
      <c r="A382" s="8"/>
      <c r="B382" s="10" t="s">
        <v>46</v>
      </c>
      <c r="C382" s="10" t="s">
        <v>1</v>
      </c>
      <c r="D382" s="10" t="s">
        <v>48</v>
      </c>
      <c r="F382" s="8"/>
      <c r="G382" s="10" t="s">
        <v>46</v>
      </c>
      <c r="H382" s="10" t="s">
        <v>1</v>
      </c>
      <c r="I382" s="10" t="s">
        <v>48</v>
      </c>
      <c r="K382" s="8"/>
      <c r="L382" s="10" t="s">
        <v>46</v>
      </c>
      <c r="M382" s="10" t="s">
        <v>1</v>
      </c>
      <c r="N382" s="10" t="s">
        <v>48</v>
      </c>
      <c r="P382" s="8"/>
      <c r="Q382" s="10" t="s">
        <v>46</v>
      </c>
      <c r="R382" s="10" t="s">
        <v>1</v>
      </c>
      <c r="S382" s="10" t="s">
        <v>48</v>
      </c>
      <c r="U382" s="8"/>
      <c r="V382" s="10" t="s">
        <v>46</v>
      </c>
      <c r="W382" s="10" t="s">
        <v>1</v>
      </c>
      <c r="X382" s="10" t="s">
        <v>48</v>
      </c>
      <c r="Z382" s="24"/>
      <c r="AA382" s="10" t="s">
        <v>46</v>
      </c>
      <c r="AB382" s="10" t="s">
        <v>1</v>
      </c>
      <c r="AC382" s="26" t="s">
        <v>48</v>
      </c>
    </row>
    <row r="383" spans="1:29" x14ac:dyDescent="0.35">
      <c r="A383" t="s">
        <v>85</v>
      </c>
      <c r="B383" s="2">
        <v>0</v>
      </c>
      <c r="C383" s="2">
        <v>6029804.1200000001</v>
      </c>
      <c r="D383" s="3">
        <v>6029804.1200000001</v>
      </c>
      <c r="F383" t="s">
        <v>85</v>
      </c>
      <c r="G383" s="1">
        <v>0</v>
      </c>
      <c r="H383" s="1">
        <v>1170162.43</v>
      </c>
      <c r="I383" s="2">
        <v>1170162.43</v>
      </c>
      <c r="K383" t="s">
        <v>85</v>
      </c>
      <c r="L383" s="1">
        <v>0</v>
      </c>
      <c r="M383" s="1">
        <v>2752033.37</v>
      </c>
      <c r="N383" s="2">
        <v>2752033.37</v>
      </c>
      <c r="P383" t="s">
        <v>85</v>
      </c>
      <c r="Q383" s="1">
        <v>0</v>
      </c>
      <c r="R383" s="1">
        <v>3922195.8</v>
      </c>
      <c r="S383" s="2">
        <v>3922195.8</v>
      </c>
      <c r="U383" t="s">
        <v>85</v>
      </c>
      <c r="V383" s="2">
        <v>0</v>
      </c>
      <c r="W383" s="2">
        <v>1311617.8600000003</v>
      </c>
      <c r="X383" s="2">
        <v>1311617.8600000003</v>
      </c>
      <c r="Z383" t="s">
        <v>85</v>
      </c>
      <c r="AA383" s="1">
        <v>0</v>
      </c>
      <c r="AB383" s="1">
        <v>795990.46</v>
      </c>
      <c r="AC383" s="2">
        <v>795990.46</v>
      </c>
    </row>
    <row r="384" spans="1:29" x14ac:dyDescent="0.35">
      <c r="A384" t="s">
        <v>19</v>
      </c>
      <c r="B384" s="2">
        <v>0</v>
      </c>
      <c r="C384" s="2">
        <v>117210.7</v>
      </c>
      <c r="D384" s="3">
        <v>117210.7</v>
      </c>
      <c r="F384" t="s">
        <v>19</v>
      </c>
      <c r="G384" s="1">
        <v>0</v>
      </c>
      <c r="H384" s="1">
        <v>29059.780000000002</v>
      </c>
      <c r="I384" s="2">
        <v>29059.780000000002</v>
      </c>
      <c r="K384" t="s">
        <v>19</v>
      </c>
      <c r="L384" s="1">
        <v>0</v>
      </c>
      <c r="M384" s="1">
        <v>32875.009999999995</v>
      </c>
      <c r="N384" s="2">
        <v>32875.009999999995</v>
      </c>
      <c r="P384" t="s">
        <v>19</v>
      </c>
      <c r="Q384" s="1">
        <v>0</v>
      </c>
      <c r="R384" s="1">
        <v>61934.79</v>
      </c>
      <c r="S384" s="2">
        <v>61934.79</v>
      </c>
      <c r="U384" t="s">
        <v>19</v>
      </c>
      <c r="V384" s="2">
        <v>0</v>
      </c>
      <c r="W384" s="2">
        <v>28851.640000000007</v>
      </c>
      <c r="X384" s="2">
        <v>28851.640000000007</v>
      </c>
      <c r="Z384" t="s">
        <v>19</v>
      </c>
      <c r="AA384" s="1">
        <v>0</v>
      </c>
      <c r="AB384" s="1">
        <v>26424.269999999997</v>
      </c>
      <c r="AC384" s="2">
        <v>26424.269999999997</v>
      </c>
    </row>
    <row r="385" spans="1:29" x14ac:dyDescent="0.35">
      <c r="A385" t="s">
        <v>86</v>
      </c>
      <c r="B385" s="2">
        <v>0</v>
      </c>
      <c r="C385" s="2">
        <v>0</v>
      </c>
      <c r="D385" s="3">
        <v>0</v>
      </c>
      <c r="F385" t="s">
        <v>86</v>
      </c>
      <c r="G385" s="1">
        <v>0</v>
      </c>
      <c r="H385" s="1">
        <v>0</v>
      </c>
      <c r="I385" s="2">
        <v>0</v>
      </c>
      <c r="K385" t="s">
        <v>86</v>
      </c>
      <c r="L385" s="1">
        <v>0</v>
      </c>
      <c r="M385" s="1">
        <v>0</v>
      </c>
      <c r="N385" s="2">
        <v>0</v>
      </c>
      <c r="P385" t="s">
        <v>86</v>
      </c>
      <c r="Q385" s="1">
        <v>0</v>
      </c>
      <c r="R385" s="1">
        <v>0</v>
      </c>
      <c r="S385" s="2">
        <v>0</v>
      </c>
      <c r="U385" t="s">
        <v>86</v>
      </c>
      <c r="V385" s="2">
        <v>0</v>
      </c>
      <c r="W385" s="2">
        <v>0</v>
      </c>
      <c r="X385" s="2">
        <v>0</v>
      </c>
      <c r="Z385" t="s">
        <v>86</v>
      </c>
      <c r="AA385" s="1">
        <v>0</v>
      </c>
      <c r="AB385" s="1">
        <v>0</v>
      </c>
      <c r="AC385" s="2">
        <v>0</v>
      </c>
    </row>
    <row r="386" spans="1:29" x14ac:dyDescent="0.35">
      <c r="A386" t="s">
        <v>87</v>
      </c>
      <c r="B386" s="2">
        <v>0</v>
      </c>
      <c r="C386" s="2">
        <v>0</v>
      </c>
      <c r="D386" s="3">
        <v>0</v>
      </c>
      <c r="F386" t="s">
        <v>87</v>
      </c>
      <c r="G386" s="1">
        <v>0</v>
      </c>
      <c r="H386" s="1">
        <v>0</v>
      </c>
      <c r="I386" s="2">
        <v>0</v>
      </c>
      <c r="K386" t="s">
        <v>87</v>
      </c>
      <c r="L386" s="1">
        <v>0</v>
      </c>
      <c r="M386" s="1">
        <v>0</v>
      </c>
      <c r="N386" s="2">
        <v>0</v>
      </c>
      <c r="P386" t="s">
        <v>87</v>
      </c>
      <c r="Q386" s="1">
        <v>0</v>
      </c>
      <c r="R386" s="1">
        <v>0</v>
      </c>
      <c r="S386" s="2">
        <v>0</v>
      </c>
      <c r="U386" t="s">
        <v>87</v>
      </c>
      <c r="V386" s="2">
        <v>0</v>
      </c>
      <c r="W386" s="2">
        <v>0</v>
      </c>
      <c r="X386" s="2">
        <v>0</v>
      </c>
      <c r="Z386" t="s">
        <v>87</v>
      </c>
      <c r="AA386" s="1">
        <v>0</v>
      </c>
      <c r="AB386" s="1">
        <v>0</v>
      </c>
      <c r="AC386" s="2">
        <v>0</v>
      </c>
    </row>
    <row r="387" spans="1:29" x14ac:dyDescent="0.35">
      <c r="A387" s="19" t="s">
        <v>18</v>
      </c>
      <c r="B387" s="20">
        <v>0</v>
      </c>
      <c r="C387" s="20">
        <v>6147014.8200000003</v>
      </c>
      <c r="D387" s="20">
        <v>6147014.8200000003</v>
      </c>
      <c r="F387" s="19" t="s">
        <v>18</v>
      </c>
      <c r="G387" s="20">
        <v>0</v>
      </c>
      <c r="H387" s="20">
        <v>1199222.21</v>
      </c>
      <c r="I387" s="20">
        <v>1199222.21</v>
      </c>
      <c r="K387" s="19" t="s">
        <v>18</v>
      </c>
      <c r="L387" s="20">
        <v>0</v>
      </c>
      <c r="M387" s="20">
        <v>2784908.38</v>
      </c>
      <c r="N387" s="20">
        <v>2784908.38</v>
      </c>
      <c r="P387" s="19" t="s">
        <v>18</v>
      </c>
      <c r="Q387" s="20">
        <v>0</v>
      </c>
      <c r="R387" s="20">
        <v>3984130.59</v>
      </c>
      <c r="S387" s="20">
        <v>3984130.59</v>
      </c>
      <c r="U387" s="19" t="s">
        <v>18</v>
      </c>
      <c r="V387" s="20">
        <v>0</v>
      </c>
      <c r="W387" s="20">
        <v>1340469.5000000002</v>
      </c>
      <c r="X387" s="20">
        <v>1340469.5000000002</v>
      </c>
      <c r="Z387" s="19" t="s">
        <v>18</v>
      </c>
      <c r="AA387" s="20">
        <v>0</v>
      </c>
      <c r="AB387" s="20">
        <v>822414.73</v>
      </c>
      <c r="AC387" s="20">
        <v>822414.73</v>
      </c>
    </row>
    <row r="388" spans="1:29" x14ac:dyDescent="0.35">
      <c r="B388" s="2"/>
      <c r="C388" s="15"/>
      <c r="D388" s="3"/>
      <c r="G388" s="1"/>
      <c r="H388" s="15"/>
      <c r="I388" s="12"/>
      <c r="L388" s="1"/>
      <c r="M388" s="15"/>
      <c r="N388" s="12"/>
      <c r="Q388" s="1"/>
      <c r="R388" s="15"/>
      <c r="S388" s="12"/>
      <c r="V388" s="2"/>
      <c r="W388" s="15"/>
      <c r="X388" s="2"/>
      <c r="AA388" s="1"/>
      <c r="AB388" s="15"/>
      <c r="AC388" s="2"/>
    </row>
    <row r="389" spans="1:29" x14ac:dyDescent="0.35">
      <c r="B389" s="2"/>
      <c r="C389" s="15"/>
      <c r="D389" s="3"/>
      <c r="G389" s="1"/>
      <c r="H389" s="15"/>
      <c r="I389" s="12"/>
      <c r="L389" s="1"/>
      <c r="M389" s="15"/>
      <c r="N389" s="12"/>
      <c r="Q389" s="1"/>
      <c r="R389" s="15"/>
      <c r="S389" s="12"/>
      <c r="V389" s="2"/>
      <c r="W389" s="15"/>
      <c r="X389" s="2"/>
      <c r="AA389" s="1"/>
      <c r="AB389" s="15"/>
      <c r="AC389" s="2"/>
    </row>
    <row r="390" spans="1:29" x14ac:dyDescent="0.35">
      <c r="A390" t="s">
        <v>12</v>
      </c>
      <c r="B390" s="2">
        <v>103675870.92</v>
      </c>
      <c r="C390" s="2">
        <v>64721090.557783417</v>
      </c>
      <c r="D390" s="3">
        <v>168396961.47778341</v>
      </c>
      <c r="F390" t="s">
        <v>12</v>
      </c>
      <c r="G390" s="1">
        <v>33263661.140000008</v>
      </c>
      <c r="H390" s="1">
        <v>10451686.657177169</v>
      </c>
      <c r="I390" s="2">
        <v>43715347.797177181</v>
      </c>
      <c r="K390" t="s">
        <v>12</v>
      </c>
      <c r="L390" s="1">
        <v>29866311.509999998</v>
      </c>
      <c r="M390" s="1">
        <v>17354492.285024758</v>
      </c>
      <c r="N390" s="2">
        <v>47220803.795024753</v>
      </c>
      <c r="P390" t="s">
        <v>12</v>
      </c>
      <c r="Q390" s="1">
        <v>63129972.650000006</v>
      </c>
      <c r="R390" s="1">
        <v>27806178.942201927</v>
      </c>
      <c r="S390" s="2">
        <v>90936151.592201933</v>
      </c>
      <c r="U390" t="s">
        <v>12</v>
      </c>
      <c r="V390" s="2">
        <v>22899246.089999974</v>
      </c>
      <c r="W390" s="2">
        <v>17964074.884111866</v>
      </c>
      <c r="X390" s="2">
        <v>40863320.97411184</v>
      </c>
      <c r="Z390" t="s">
        <v>12</v>
      </c>
      <c r="AA390" s="1">
        <v>17646652.180000022</v>
      </c>
      <c r="AB390" s="1">
        <v>18950836.731469624</v>
      </c>
      <c r="AC390" s="2">
        <v>36597488.911469646</v>
      </c>
    </row>
    <row r="391" spans="1:29" x14ac:dyDescent="0.35">
      <c r="A391" t="s">
        <v>3</v>
      </c>
      <c r="B391" s="2">
        <v>-98058306.410000011</v>
      </c>
      <c r="C391" s="2">
        <v>-11269690.470524892</v>
      </c>
      <c r="D391" s="3">
        <v>-109327996.8805249</v>
      </c>
      <c r="F391" t="s">
        <v>3</v>
      </c>
      <c r="G391" s="1">
        <v>-33634384.479999997</v>
      </c>
      <c r="H391" s="1">
        <v>-927113.45000000007</v>
      </c>
      <c r="I391" s="2">
        <v>-34561497.93</v>
      </c>
      <c r="K391" t="s">
        <v>3</v>
      </c>
      <c r="L391" s="1">
        <v>-26415864.710000008</v>
      </c>
      <c r="M391" s="1">
        <v>-2115397.8199999998</v>
      </c>
      <c r="N391" s="2">
        <v>-28531262.530000009</v>
      </c>
      <c r="P391" t="s">
        <v>3</v>
      </c>
      <c r="Q391" s="1">
        <v>-60050249.190000005</v>
      </c>
      <c r="R391" s="1">
        <v>-3042511.27</v>
      </c>
      <c r="S391" s="2">
        <v>-63092760.460000008</v>
      </c>
      <c r="U391" t="s">
        <v>3</v>
      </c>
      <c r="V391" s="2">
        <v>-21938332.43999999</v>
      </c>
      <c r="W391" s="2">
        <v>-2175115.7245000009</v>
      </c>
      <c r="X391" s="2">
        <v>-24113448.164499991</v>
      </c>
      <c r="Z391" t="s">
        <v>3</v>
      </c>
      <c r="AA391" s="1">
        <v>-16069724.780000024</v>
      </c>
      <c r="AB391" s="1">
        <v>-6052063.4760248922</v>
      </c>
      <c r="AC391" s="2">
        <v>-22121788.256024916</v>
      </c>
    </row>
    <row r="392" spans="1:29" x14ac:dyDescent="0.35">
      <c r="A392" t="s">
        <v>88</v>
      </c>
      <c r="B392" s="2">
        <v>23700466.479999997</v>
      </c>
      <c r="C392" s="2">
        <v>11653157.011253774</v>
      </c>
      <c r="D392" s="3">
        <v>35353623.491253771</v>
      </c>
      <c r="F392" t="s">
        <v>88</v>
      </c>
      <c r="G392" s="1">
        <v>4745289.0199999996</v>
      </c>
      <c r="H392" s="1">
        <v>2502615.0672203549</v>
      </c>
      <c r="I392" s="2">
        <v>7247904.087220354</v>
      </c>
      <c r="K392" t="s">
        <v>88</v>
      </c>
      <c r="L392" s="1">
        <v>6379374.1300000008</v>
      </c>
      <c r="M392" s="1">
        <v>2983876.62887504</v>
      </c>
      <c r="N392" s="2">
        <v>9363250.7588750403</v>
      </c>
      <c r="P392" t="s">
        <v>88</v>
      </c>
      <c r="Q392" s="1">
        <v>11124663.15</v>
      </c>
      <c r="R392" s="1">
        <v>5486491.6960953949</v>
      </c>
      <c r="S392" s="2">
        <v>16611154.846095394</v>
      </c>
      <c r="U392" t="s">
        <v>88</v>
      </c>
      <c r="V392" s="2">
        <v>6523531.2700000014</v>
      </c>
      <c r="W392" s="2">
        <v>2800869.1605962366</v>
      </c>
      <c r="X392" s="2">
        <v>9324400.430596238</v>
      </c>
      <c r="Z392" t="s">
        <v>88</v>
      </c>
      <c r="AA392" s="1">
        <v>6052272.0599999931</v>
      </c>
      <c r="AB392" s="1">
        <v>3365796.1545621427</v>
      </c>
      <c r="AC392" s="2">
        <v>9418068.2145621367</v>
      </c>
    </row>
    <row r="393" spans="1:29" x14ac:dyDescent="0.35">
      <c r="A393" t="s">
        <v>13</v>
      </c>
      <c r="B393" s="2">
        <v>-5618094.9800000004</v>
      </c>
      <c r="C393" s="2">
        <v>-269293.27</v>
      </c>
      <c r="D393" s="3">
        <v>-5887388.25</v>
      </c>
      <c r="F393" t="s">
        <v>13</v>
      </c>
      <c r="G393" s="1">
        <v>-1993259.24</v>
      </c>
      <c r="H393" s="1">
        <v>-61203.55</v>
      </c>
      <c r="I393" s="2">
        <v>-2054462.79</v>
      </c>
      <c r="K393" t="s">
        <v>13</v>
      </c>
      <c r="L393" s="1">
        <v>-1605951.7800000005</v>
      </c>
      <c r="M393" s="1">
        <v>-102676.18000000001</v>
      </c>
      <c r="N393" s="2">
        <v>-1708627.9600000004</v>
      </c>
      <c r="P393" t="s">
        <v>13</v>
      </c>
      <c r="Q393" s="1">
        <v>-3599211.0200000005</v>
      </c>
      <c r="R393" s="1">
        <v>-163879.73000000001</v>
      </c>
      <c r="S393" s="2">
        <v>-3763090.7500000005</v>
      </c>
      <c r="U393" t="s">
        <v>13</v>
      </c>
      <c r="V393" s="2">
        <v>-1144724.46</v>
      </c>
      <c r="W393" s="2">
        <v>-36781.78</v>
      </c>
      <c r="X393" s="2">
        <v>-1181506.24</v>
      </c>
      <c r="Z393" t="s">
        <v>13</v>
      </c>
      <c r="AA393" s="1">
        <v>-874159.5</v>
      </c>
      <c r="AB393" s="1">
        <v>-68631.760000000009</v>
      </c>
      <c r="AC393" s="2">
        <v>-942791.26</v>
      </c>
    </row>
    <row r="394" spans="1:29" x14ac:dyDescent="0.35">
      <c r="A394" s="19" t="s">
        <v>14</v>
      </c>
      <c r="B394" s="20">
        <v>23699936.009999987</v>
      </c>
      <c r="C394" s="20">
        <v>64835263.828512296</v>
      </c>
      <c r="D394" s="20">
        <v>88535199.838512287</v>
      </c>
      <c r="F394" s="19" t="s">
        <v>14</v>
      </c>
      <c r="G394" s="20">
        <v>2381306.4400000107</v>
      </c>
      <c r="H394" s="20">
        <v>11965984.724397523</v>
      </c>
      <c r="I394" s="20">
        <v>14347291.164397534</v>
      </c>
      <c r="K394" s="19" t="s">
        <v>14</v>
      </c>
      <c r="L394" s="20">
        <v>8223869.1499999901</v>
      </c>
      <c r="M394" s="20">
        <v>18120294.913899798</v>
      </c>
      <c r="N394" s="20">
        <v>26344164.063899789</v>
      </c>
      <c r="P394" s="19" t="s">
        <v>14</v>
      </c>
      <c r="Q394" s="20">
        <v>10605175.59</v>
      </c>
      <c r="R394" s="20">
        <v>30086279.638297323</v>
      </c>
      <c r="S394" s="20">
        <v>40691455.228297323</v>
      </c>
      <c r="U394" s="19" t="s">
        <v>14</v>
      </c>
      <c r="V394" s="20">
        <v>6339720.4599999851</v>
      </c>
      <c r="W394" s="20">
        <v>18553046.540208101</v>
      </c>
      <c r="X394" s="20">
        <v>24892767.000208087</v>
      </c>
      <c r="Z394" s="19" t="s">
        <v>14</v>
      </c>
      <c r="AA394" s="20">
        <v>6755039.9599999916</v>
      </c>
      <c r="AB394" s="20">
        <v>16195937.650006874</v>
      </c>
      <c r="AC394" s="20">
        <v>22950977.610006865</v>
      </c>
    </row>
    <row r="395" spans="1:29" x14ac:dyDescent="0.35">
      <c r="B395" s="2"/>
      <c r="C395" s="15"/>
      <c r="D395" s="3"/>
      <c r="G395" s="2"/>
      <c r="H395" s="15"/>
      <c r="I395" s="12"/>
      <c r="L395" s="2"/>
      <c r="M395" s="15"/>
      <c r="N395" s="12"/>
      <c r="Q395" s="2"/>
      <c r="R395" s="15"/>
      <c r="S395" s="12"/>
      <c r="V395" s="2"/>
      <c r="W395" s="15"/>
      <c r="X395" s="2"/>
      <c r="AA395" s="12"/>
      <c r="AB395" s="15"/>
      <c r="AC395" s="2"/>
    </row>
    <row r="396" spans="1:29" x14ac:dyDescent="0.35">
      <c r="B396" s="2"/>
      <c r="C396" s="15"/>
      <c r="D396" s="3"/>
      <c r="G396" s="2"/>
      <c r="H396" s="15"/>
      <c r="I396" s="12"/>
      <c r="L396" s="2"/>
      <c r="M396" s="15"/>
      <c r="N396" s="12"/>
      <c r="Q396" s="2"/>
      <c r="R396" s="15"/>
      <c r="S396" s="12"/>
      <c r="V396" s="2"/>
      <c r="W396" s="15"/>
      <c r="X396" s="2"/>
      <c r="AA396" s="12"/>
      <c r="AB396" s="15"/>
      <c r="AC396" s="2"/>
    </row>
    <row r="397" spans="1:29" x14ac:dyDescent="0.35">
      <c r="A397" t="s">
        <v>15</v>
      </c>
      <c r="B397" s="2">
        <v>0</v>
      </c>
      <c r="C397" s="2">
        <v>10793721.04262067</v>
      </c>
      <c r="D397" s="3">
        <v>10793721.04262067</v>
      </c>
      <c r="F397" t="s">
        <v>15</v>
      </c>
      <c r="G397" s="1">
        <v>0</v>
      </c>
      <c r="H397" s="1">
        <v>2132496.9253098918</v>
      </c>
      <c r="I397" s="2">
        <v>2132496.9253098918</v>
      </c>
      <c r="K397" t="s">
        <v>15</v>
      </c>
      <c r="L397" s="1">
        <v>0</v>
      </c>
      <c r="M397" s="1">
        <v>4769970.1266918592</v>
      </c>
      <c r="N397" s="2">
        <v>4769970.1266918592</v>
      </c>
      <c r="P397" t="s">
        <v>15</v>
      </c>
      <c r="Q397" s="1">
        <v>0</v>
      </c>
      <c r="R397" s="1">
        <v>6902467.052001751</v>
      </c>
      <c r="S397" s="2">
        <v>6902467.052001751</v>
      </c>
      <c r="U397" t="s">
        <v>15</v>
      </c>
      <c r="V397" s="2">
        <v>0</v>
      </c>
      <c r="W397" s="2">
        <v>1799204.023789919</v>
      </c>
      <c r="X397" s="2">
        <v>1799204.023789919</v>
      </c>
      <c r="Z397" t="s">
        <v>15</v>
      </c>
      <c r="AA397" s="1">
        <v>0</v>
      </c>
      <c r="AB397" s="1">
        <v>2092049.9668289991</v>
      </c>
      <c r="AC397" s="2">
        <v>2092049.9668289991</v>
      </c>
    </row>
    <row r="398" spans="1:29" x14ac:dyDescent="0.35">
      <c r="A398" t="s">
        <v>16</v>
      </c>
      <c r="B398" s="2">
        <v>0</v>
      </c>
      <c r="C398" s="2">
        <v>-2663970.91</v>
      </c>
      <c r="D398" s="3">
        <v>-2663970.91</v>
      </c>
      <c r="F398" t="s">
        <v>16</v>
      </c>
      <c r="G398" s="1">
        <v>0</v>
      </c>
      <c r="H398" s="1">
        <v>-1744855.07</v>
      </c>
      <c r="I398" s="2">
        <v>-1744855.07</v>
      </c>
      <c r="K398" t="s">
        <v>16</v>
      </c>
      <c r="L398" s="1">
        <v>0</v>
      </c>
      <c r="M398" s="1">
        <v>-1758561.7699999998</v>
      </c>
      <c r="N398" s="2">
        <v>-1758561.7699999998</v>
      </c>
      <c r="P398" t="s">
        <v>16</v>
      </c>
      <c r="Q398" s="1">
        <v>0</v>
      </c>
      <c r="R398" s="1">
        <v>-3503416.84</v>
      </c>
      <c r="S398" s="2">
        <v>-3503416.84</v>
      </c>
      <c r="U398" t="s">
        <v>16</v>
      </c>
      <c r="V398" s="2">
        <v>0</v>
      </c>
      <c r="W398" s="2">
        <v>-1591907.5700000003</v>
      </c>
      <c r="X398" s="2">
        <v>-1591907.5700000003</v>
      </c>
      <c r="Z398" t="s">
        <v>16</v>
      </c>
      <c r="AA398" s="1">
        <v>0</v>
      </c>
      <c r="AB398" s="1">
        <v>2431353.5</v>
      </c>
      <c r="AC398" s="2">
        <v>2431353.5</v>
      </c>
    </row>
    <row r="399" spans="1:29" x14ac:dyDescent="0.35">
      <c r="A399" s="19" t="s">
        <v>17</v>
      </c>
      <c r="B399" s="20">
        <v>0</v>
      </c>
      <c r="C399" s="20">
        <v>8129750.1326206699</v>
      </c>
      <c r="D399" s="20">
        <v>8129750.1326206699</v>
      </c>
      <c r="F399" s="19" t="s">
        <v>17</v>
      </c>
      <c r="G399" s="20">
        <v>0</v>
      </c>
      <c r="H399" s="20">
        <v>387641.85530989175</v>
      </c>
      <c r="I399" s="20">
        <v>387641.85530989175</v>
      </c>
      <c r="K399" s="19" t="s">
        <v>17</v>
      </c>
      <c r="L399" s="20">
        <v>0</v>
      </c>
      <c r="M399" s="20">
        <v>3011408.3566918597</v>
      </c>
      <c r="N399" s="20">
        <v>3011408.3566918597</v>
      </c>
      <c r="P399" s="19" t="s">
        <v>17</v>
      </c>
      <c r="Q399" s="20">
        <v>0</v>
      </c>
      <c r="R399" s="20">
        <v>3399050.2120017512</v>
      </c>
      <c r="S399" s="20">
        <v>3399050.2120017512</v>
      </c>
      <c r="U399" s="19" t="s">
        <v>17</v>
      </c>
      <c r="V399" s="20">
        <v>0</v>
      </c>
      <c r="W399" s="20">
        <v>207296.45378991868</v>
      </c>
      <c r="X399" s="20">
        <v>207296.45378991868</v>
      </c>
      <c r="Z399" s="19" t="s">
        <v>17</v>
      </c>
      <c r="AA399" s="20">
        <v>0</v>
      </c>
      <c r="AB399" s="20">
        <v>4523403.4668289991</v>
      </c>
      <c r="AC399" s="20">
        <v>4523403.4668289991</v>
      </c>
    </row>
    <row r="400" spans="1:29" x14ac:dyDescent="0.35">
      <c r="B400" s="2"/>
      <c r="C400" s="15"/>
      <c r="D400" s="3"/>
      <c r="G400" s="1"/>
      <c r="H400" s="15"/>
      <c r="I400" s="12"/>
      <c r="L400" s="1"/>
      <c r="M400" s="15"/>
      <c r="N400" s="12"/>
      <c r="Q400" s="1"/>
      <c r="R400" s="15"/>
      <c r="S400" s="12"/>
      <c r="V400" s="2"/>
      <c r="W400" s="15"/>
      <c r="X400" s="2"/>
      <c r="AA400" s="1"/>
      <c r="AB400" s="15"/>
      <c r="AC400" s="2"/>
    </row>
    <row r="401" spans="1:29" x14ac:dyDescent="0.35">
      <c r="B401" s="2"/>
      <c r="C401" s="15"/>
      <c r="D401" s="3"/>
      <c r="G401" s="1"/>
      <c r="H401" s="15"/>
      <c r="I401" s="12"/>
      <c r="L401" s="1"/>
      <c r="M401" s="15"/>
      <c r="N401" s="12"/>
      <c r="Q401" s="1"/>
      <c r="R401" s="15"/>
      <c r="S401" s="12"/>
      <c r="V401" s="2"/>
      <c r="W401" s="15"/>
      <c r="X401" s="2"/>
      <c r="AA401" s="1"/>
      <c r="AB401" s="15"/>
      <c r="AC401" s="2"/>
    </row>
    <row r="402" spans="1:29" x14ac:dyDescent="0.35">
      <c r="A402" s="16" t="s">
        <v>20</v>
      </c>
      <c r="B402" s="2">
        <v>0</v>
      </c>
      <c r="C402" s="2">
        <v>0</v>
      </c>
      <c r="D402" s="208">
        <v>0</v>
      </c>
      <c r="F402" s="6" t="s">
        <v>20</v>
      </c>
      <c r="G402" s="218">
        <v>0</v>
      </c>
      <c r="H402" s="218">
        <v>0</v>
      </c>
      <c r="I402" s="216">
        <v>0</v>
      </c>
      <c r="K402" s="6" t="s">
        <v>20</v>
      </c>
      <c r="L402" s="1">
        <v>0</v>
      </c>
      <c r="M402" s="1">
        <v>0</v>
      </c>
      <c r="N402" s="216">
        <v>0</v>
      </c>
      <c r="P402" s="6" t="s">
        <v>20</v>
      </c>
      <c r="Q402" s="1">
        <v>0</v>
      </c>
      <c r="R402" s="1">
        <v>0</v>
      </c>
      <c r="S402" s="216">
        <v>0</v>
      </c>
      <c r="U402" s="16" t="s">
        <v>20</v>
      </c>
      <c r="V402" s="2">
        <v>0</v>
      </c>
      <c r="W402" s="2">
        <v>0</v>
      </c>
      <c r="X402" s="7">
        <v>0</v>
      </c>
      <c r="Z402" s="16" t="s">
        <v>20</v>
      </c>
      <c r="AA402" s="27">
        <v>0</v>
      </c>
      <c r="AB402" s="28">
        <v>0</v>
      </c>
      <c r="AC402" s="17">
        <v>0</v>
      </c>
    </row>
    <row r="403" spans="1:29" x14ac:dyDescent="0.35">
      <c r="B403" s="2"/>
      <c r="C403" s="15"/>
      <c r="D403" s="3"/>
      <c r="F403" s="13"/>
      <c r="G403" s="217"/>
      <c r="H403" s="156"/>
      <c r="I403" s="215"/>
      <c r="K403" s="13"/>
      <c r="L403" s="217"/>
      <c r="M403" s="156"/>
      <c r="N403" s="215"/>
      <c r="P403" s="13"/>
      <c r="Q403" s="217"/>
      <c r="R403" s="156"/>
      <c r="S403" s="215"/>
      <c r="V403" s="155"/>
      <c r="W403" s="156"/>
      <c r="X403" s="155"/>
      <c r="AA403" s="1"/>
      <c r="AB403" s="15"/>
      <c r="AC403" s="2"/>
    </row>
    <row r="404" spans="1:29" x14ac:dyDescent="0.35">
      <c r="B404" s="2"/>
      <c r="C404" s="15"/>
      <c r="D404" s="3"/>
      <c r="G404" s="1"/>
      <c r="H404" s="15"/>
      <c r="I404" s="12"/>
      <c r="L404" s="1"/>
      <c r="M404" s="15"/>
      <c r="N404" s="12"/>
      <c r="Q404" s="1"/>
      <c r="R404" s="15"/>
      <c r="S404" s="12"/>
      <c r="V404" s="2"/>
      <c r="W404" s="15"/>
      <c r="X404" s="2"/>
      <c r="AC404" s="2"/>
    </row>
    <row r="405" spans="1:29" x14ac:dyDescent="0.35">
      <c r="B405" s="2"/>
      <c r="C405" s="15"/>
      <c r="D405" s="3"/>
      <c r="G405" s="1"/>
      <c r="H405" s="15"/>
      <c r="I405" s="12"/>
      <c r="L405" s="1"/>
      <c r="M405" s="15"/>
      <c r="N405" s="12"/>
      <c r="Q405" s="1"/>
      <c r="R405" s="15"/>
      <c r="S405" s="12"/>
      <c r="V405" s="2"/>
      <c r="W405" s="15"/>
      <c r="X405" s="2"/>
      <c r="AC405" s="2"/>
    </row>
    <row r="406" spans="1:29" x14ac:dyDescent="0.35">
      <c r="A406" t="s">
        <v>0</v>
      </c>
      <c r="B406" s="2">
        <v>0</v>
      </c>
      <c r="C406" s="2">
        <v>16402468</v>
      </c>
      <c r="D406" s="3">
        <v>16402468</v>
      </c>
      <c r="F406" t="s">
        <v>0</v>
      </c>
      <c r="G406" s="1">
        <v>0</v>
      </c>
      <c r="H406" s="1">
        <v>3882442</v>
      </c>
      <c r="I406" s="2">
        <v>3882442</v>
      </c>
      <c r="K406" t="s">
        <v>0</v>
      </c>
      <c r="L406" s="1">
        <v>0</v>
      </c>
      <c r="M406" s="1">
        <v>3873203</v>
      </c>
      <c r="N406" s="2">
        <v>3873203</v>
      </c>
      <c r="P406" t="s">
        <v>0</v>
      </c>
      <c r="Q406" s="1">
        <v>0</v>
      </c>
      <c r="R406" s="1">
        <v>7755645</v>
      </c>
      <c r="S406" s="2">
        <v>7755645</v>
      </c>
      <c r="U406" t="s">
        <v>0</v>
      </c>
      <c r="V406" s="2">
        <v>0</v>
      </c>
      <c r="W406" s="2">
        <v>4276234</v>
      </c>
      <c r="X406" s="2">
        <v>4276234</v>
      </c>
      <c r="Z406" t="s">
        <v>0</v>
      </c>
      <c r="AA406" s="1">
        <v>0</v>
      </c>
      <c r="AB406" s="1">
        <v>4370589</v>
      </c>
      <c r="AC406" s="2">
        <v>4370589</v>
      </c>
    </row>
    <row r="407" spans="1:29" x14ac:dyDescent="0.35">
      <c r="A407" t="s">
        <v>2</v>
      </c>
      <c r="B407" s="2">
        <v>0</v>
      </c>
      <c r="C407" s="2">
        <v>-12565722.381027918</v>
      </c>
      <c r="D407" s="3">
        <v>-12565722.381027918</v>
      </c>
      <c r="F407" t="s">
        <v>2</v>
      </c>
      <c r="G407" s="1">
        <v>0</v>
      </c>
      <c r="H407" s="1">
        <v>-3309757.2327124374</v>
      </c>
      <c r="I407" s="2">
        <v>-3309757.2327124374</v>
      </c>
      <c r="K407" t="s">
        <v>2</v>
      </c>
      <c r="L407" s="1">
        <v>0</v>
      </c>
      <c r="M407" s="1">
        <v>2028751.1448025759</v>
      </c>
      <c r="N407" s="2">
        <v>2028751.1448025759</v>
      </c>
      <c r="P407" t="s">
        <v>2</v>
      </c>
      <c r="Q407" s="1">
        <v>0</v>
      </c>
      <c r="R407" s="1">
        <v>-1281006.0879098615</v>
      </c>
      <c r="S407" s="2">
        <v>-1281006.0879098615</v>
      </c>
      <c r="U407" t="s">
        <v>2</v>
      </c>
      <c r="V407" s="2">
        <v>0</v>
      </c>
      <c r="W407" s="2">
        <v>-8176691.941076451</v>
      </c>
      <c r="X407" s="2">
        <v>-8176691.941076451</v>
      </c>
      <c r="Z407" t="s">
        <v>2</v>
      </c>
      <c r="AA407" s="1">
        <v>0</v>
      </c>
      <c r="AB407" s="1">
        <v>-3108024.3520416059</v>
      </c>
      <c r="AC407" s="2">
        <v>-3108024.3520416059</v>
      </c>
    </row>
    <row r="408" spans="1:29" x14ac:dyDescent="0.35">
      <c r="A408" s="19" t="s">
        <v>21</v>
      </c>
      <c r="B408" s="20">
        <v>0</v>
      </c>
      <c r="C408" s="20">
        <v>3836745.6189720817</v>
      </c>
      <c r="D408" s="20">
        <v>3836745.6189720817</v>
      </c>
      <c r="F408" s="19" t="s">
        <v>21</v>
      </c>
      <c r="G408" s="20">
        <v>0</v>
      </c>
      <c r="H408" s="20">
        <v>572684.7672875626</v>
      </c>
      <c r="I408" s="20">
        <v>572684.7672875626</v>
      </c>
      <c r="K408" s="19" t="s">
        <v>21</v>
      </c>
      <c r="L408" s="20">
        <v>0</v>
      </c>
      <c r="M408" s="20">
        <v>5901954.1448025759</v>
      </c>
      <c r="N408" s="20">
        <v>5901954.1448025759</v>
      </c>
      <c r="P408" s="19" t="s">
        <v>21</v>
      </c>
      <c r="Q408" s="20">
        <v>0</v>
      </c>
      <c r="R408" s="20">
        <v>6474638.9120901385</v>
      </c>
      <c r="S408" s="20">
        <v>6474638.9120901385</v>
      </c>
      <c r="U408" s="19" t="s">
        <v>21</v>
      </c>
      <c r="V408" s="20">
        <v>0</v>
      </c>
      <c r="W408" s="20">
        <v>-3900457.941076451</v>
      </c>
      <c r="X408" s="20">
        <v>-3900457.941076451</v>
      </c>
      <c r="Z408" s="19" t="s">
        <v>21</v>
      </c>
      <c r="AA408" s="20">
        <v>0</v>
      </c>
      <c r="AB408" s="20">
        <v>1262564.6479583941</v>
      </c>
      <c r="AC408" s="20">
        <v>1262564.6479583941</v>
      </c>
    </row>
    <row r="409" spans="1:29" x14ac:dyDescent="0.35">
      <c r="B409" s="2"/>
      <c r="C409" s="15"/>
      <c r="D409" s="3"/>
      <c r="G409" s="2"/>
      <c r="H409" s="15"/>
      <c r="I409" s="12"/>
      <c r="L409" s="2"/>
      <c r="M409" s="15"/>
      <c r="N409" s="12"/>
      <c r="Q409" s="2"/>
      <c r="R409" s="15"/>
      <c r="S409" s="12"/>
      <c r="V409" s="2"/>
      <c r="W409" s="15"/>
      <c r="X409" s="2"/>
      <c r="AA409" s="2"/>
      <c r="AB409" s="15"/>
      <c r="AC409" s="2"/>
    </row>
    <row r="410" spans="1:29" x14ac:dyDescent="0.35">
      <c r="B410" s="2"/>
      <c r="C410" s="15"/>
      <c r="D410" s="3"/>
      <c r="G410" s="2"/>
      <c r="H410" s="15"/>
      <c r="I410" s="12"/>
      <c r="L410" s="2"/>
      <c r="M410" s="15"/>
      <c r="N410" s="12"/>
      <c r="Q410" s="2"/>
      <c r="R410" s="15"/>
      <c r="S410" s="12"/>
      <c r="V410" s="2"/>
      <c r="W410" s="15"/>
      <c r="X410" s="2"/>
      <c r="AA410" s="2"/>
      <c r="AB410" s="15"/>
      <c r="AC410" s="2"/>
    </row>
    <row r="411" spans="1:29" x14ac:dyDescent="0.35">
      <c r="A411" t="s">
        <v>24</v>
      </c>
      <c r="B411" s="2">
        <v>0</v>
      </c>
      <c r="C411" s="2">
        <v>0</v>
      </c>
      <c r="D411" s="3">
        <v>0</v>
      </c>
      <c r="F411" t="s">
        <v>24</v>
      </c>
      <c r="G411" s="1">
        <v>0</v>
      </c>
      <c r="H411" s="1">
        <v>0</v>
      </c>
      <c r="I411" s="2">
        <v>0</v>
      </c>
      <c r="K411" t="s">
        <v>24</v>
      </c>
      <c r="L411" s="1">
        <v>0</v>
      </c>
      <c r="M411" s="1">
        <v>0</v>
      </c>
      <c r="N411" s="2">
        <v>0</v>
      </c>
      <c r="P411" t="s">
        <v>24</v>
      </c>
      <c r="Q411" s="1">
        <v>0</v>
      </c>
      <c r="R411" s="1">
        <v>0</v>
      </c>
      <c r="S411" s="2">
        <v>0</v>
      </c>
      <c r="U411" t="s">
        <v>24</v>
      </c>
      <c r="V411" s="2">
        <v>0</v>
      </c>
      <c r="W411" s="2">
        <v>0</v>
      </c>
      <c r="X411" s="2">
        <v>0</v>
      </c>
      <c r="Z411" t="s">
        <v>24</v>
      </c>
      <c r="AA411" s="1">
        <v>0</v>
      </c>
      <c r="AB411" s="1">
        <v>0</v>
      </c>
      <c r="AC411" s="2">
        <v>0</v>
      </c>
    </row>
    <row r="412" spans="1:29" x14ac:dyDescent="0.35">
      <c r="A412" t="s">
        <v>25</v>
      </c>
      <c r="B412" s="2">
        <v>0</v>
      </c>
      <c r="C412" s="2">
        <v>0</v>
      </c>
      <c r="D412" s="3">
        <v>0</v>
      </c>
      <c r="F412" t="s">
        <v>25</v>
      </c>
      <c r="G412" s="1">
        <v>0</v>
      </c>
      <c r="H412" s="1">
        <v>0</v>
      </c>
      <c r="I412" s="2">
        <v>0</v>
      </c>
      <c r="K412" t="s">
        <v>25</v>
      </c>
      <c r="L412" s="1">
        <v>0</v>
      </c>
      <c r="M412" s="1">
        <v>0</v>
      </c>
      <c r="N412" s="2">
        <v>0</v>
      </c>
      <c r="P412" t="s">
        <v>25</v>
      </c>
      <c r="Q412" s="1">
        <v>0</v>
      </c>
      <c r="R412" s="1">
        <v>0</v>
      </c>
      <c r="S412" s="2">
        <v>0</v>
      </c>
      <c r="U412" t="s">
        <v>25</v>
      </c>
      <c r="V412" s="2">
        <v>0</v>
      </c>
      <c r="W412" s="2">
        <v>0</v>
      </c>
      <c r="X412" s="2">
        <v>0</v>
      </c>
      <c r="Z412" t="s">
        <v>25</v>
      </c>
      <c r="AA412" s="1">
        <v>0</v>
      </c>
      <c r="AB412" s="1">
        <v>0</v>
      </c>
      <c r="AC412" s="2">
        <v>0</v>
      </c>
    </row>
    <row r="413" spans="1:29" x14ac:dyDescent="0.35">
      <c r="A413" t="s">
        <v>26</v>
      </c>
      <c r="B413" s="2">
        <v>0</v>
      </c>
      <c r="C413" s="2">
        <v>0</v>
      </c>
      <c r="D413" s="3">
        <v>0</v>
      </c>
      <c r="F413" t="s">
        <v>26</v>
      </c>
      <c r="G413" s="1">
        <v>0</v>
      </c>
      <c r="H413" s="1">
        <v>0</v>
      </c>
      <c r="I413" s="2">
        <v>0</v>
      </c>
      <c r="K413" t="s">
        <v>26</v>
      </c>
      <c r="L413" s="1">
        <v>0</v>
      </c>
      <c r="M413" s="1">
        <v>0</v>
      </c>
      <c r="N413" s="2">
        <v>0</v>
      </c>
      <c r="P413" t="s">
        <v>26</v>
      </c>
      <c r="Q413" s="1">
        <v>0</v>
      </c>
      <c r="R413" s="1">
        <v>0</v>
      </c>
      <c r="S413" s="2">
        <v>0</v>
      </c>
      <c r="U413" t="s">
        <v>26</v>
      </c>
      <c r="V413" s="2">
        <v>0</v>
      </c>
      <c r="W413" s="2">
        <v>0</v>
      </c>
      <c r="X413" s="2">
        <v>0</v>
      </c>
      <c r="Z413" t="s">
        <v>26</v>
      </c>
      <c r="AA413" s="1">
        <v>0</v>
      </c>
      <c r="AB413" s="1">
        <v>0</v>
      </c>
      <c r="AC413" s="2">
        <v>0</v>
      </c>
    </row>
    <row r="414" spans="1:29" x14ac:dyDescent="0.35">
      <c r="A414" s="19" t="s">
        <v>101</v>
      </c>
      <c r="B414" s="20">
        <v>0</v>
      </c>
      <c r="C414" s="20">
        <v>0</v>
      </c>
      <c r="D414" s="20">
        <v>0</v>
      </c>
      <c r="F414" s="19" t="s">
        <v>101</v>
      </c>
      <c r="G414" s="20">
        <v>0</v>
      </c>
      <c r="H414" s="20">
        <v>0</v>
      </c>
      <c r="I414" s="20">
        <v>0</v>
      </c>
      <c r="K414" s="19" t="s">
        <v>101</v>
      </c>
      <c r="L414" s="20">
        <v>0</v>
      </c>
      <c r="M414" s="20">
        <v>0</v>
      </c>
      <c r="N414" s="20">
        <v>0</v>
      </c>
      <c r="P414" s="19" t="s">
        <v>101</v>
      </c>
      <c r="Q414" s="20">
        <v>0</v>
      </c>
      <c r="R414" s="20">
        <v>0</v>
      </c>
      <c r="S414" s="20">
        <v>0</v>
      </c>
      <c r="U414" s="19" t="s">
        <v>101</v>
      </c>
      <c r="V414" s="20">
        <v>0</v>
      </c>
      <c r="W414" s="20">
        <v>0</v>
      </c>
      <c r="X414" s="20">
        <v>0</v>
      </c>
      <c r="Z414" s="19" t="s">
        <v>152</v>
      </c>
      <c r="AA414" s="20">
        <v>0</v>
      </c>
      <c r="AB414" s="20">
        <v>0</v>
      </c>
      <c r="AC414" s="20">
        <v>0</v>
      </c>
    </row>
    <row r="415" spans="1:29" x14ac:dyDescent="0.35">
      <c r="B415" s="2"/>
      <c r="C415" s="15"/>
      <c r="D415" s="3"/>
      <c r="G415" s="2"/>
      <c r="H415" s="15"/>
      <c r="I415" s="12"/>
      <c r="L415" s="2"/>
      <c r="M415" s="15"/>
      <c r="N415" s="12"/>
      <c r="Q415" s="2"/>
      <c r="R415" s="15"/>
      <c r="S415" s="12"/>
      <c r="V415" s="2"/>
      <c r="W415" s="15"/>
      <c r="X415" s="2"/>
      <c r="AA415" s="2"/>
      <c r="AB415" s="15"/>
      <c r="AC415" s="2"/>
    </row>
    <row r="416" spans="1:29" x14ac:dyDescent="0.35">
      <c r="B416" s="2"/>
      <c r="C416" s="15"/>
      <c r="D416" s="3"/>
      <c r="G416" s="2"/>
      <c r="H416" s="15"/>
      <c r="I416" s="12"/>
      <c r="L416" s="2"/>
      <c r="M416" s="15"/>
      <c r="N416" s="12"/>
      <c r="Q416" s="2"/>
      <c r="R416" s="15"/>
      <c r="S416" s="12"/>
      <c r="V416" s="2"/>
      <c r="W416" s="15"/>
      <c r="X416" s="2"/>
      <c r="AA416" s="2"/>
      <c r="AB416" s="15"/>
      <c r="AC416" s="2"/>
    </row>
    <row r="417" spans="1:29" x14ac:dyDescent="0.35">
      <c r="A417" t="s">
        <v>27</v>
      </c>
      <c r="B417" s="2">
        <v>0</v>
      </c>
      <c r="C417" s="2">
        <v>0</v>
      </c>
      <c r="D417" s="3">
        <v>0</v>
      </c>
      <c r="F417" t="s">
        <v>27</v>
      </c>
      <c r="G417" s="1">
        <v>0</v>
      </c>
      <c r="H417" s="1">
        <v>0</v>
      </c>
      <c r="I417" s="2">
        <v>0</v>
      </c>
      <c r="K417" t="s">
        <v>27</v>
      </c>
      <c r="L417" s="1">
        <v>0</v>
      </c>
      <c r="M417" s="1">
        <v>0</v>
      </c>
      <c r="N417" s="2">
        <v>0</v>
      </c>
      <c r="P417" t="s">
        <v>27</v>
      </c>
      <c r="Q417" s="1">
        <v>0</v>
      </c>
      <c r="R417" s="1">
        <v>0</v>
      </c>
      <c r="S417" s="2">
        <v>0</v>
      </c>
      <c r="U417" t="s">
        <v>27</v>
      </c>
      <c r="V417" s="2">
        <v>0</v>
      </c>
      <c r="W417" s="2">
        <v>0</v>
      </c>
      <c r="X417" s="2">
        <v>0</v>
      </c>
      <c r="Z417" t="s">
        <v>27</v>
      </c>
      <c r="AA417" s="1">
        <v>0</v>
      </c>
      <c r="AB417" s="1">
        <v>0</v>
      </c>
      <c r="AC417" s="2">
        <v>0</v>
      </c>
    </row>
    <row r="418" spans="1:29" x14ac:dyDescent="0.35">
      <c r="A418" t="s">
        <v>28</v>
      </c>
      <c r="B418" s="2">
        <v>0</v>
      </c>
      <c r="C418" s="2">
        <v>0</v>
      </c>
      <c r="D418" s="3">
        <v>0</v>
      </c>
      <c r="F418" t="s">
        <v>28</v>
      </c>
      <c r="G418" s="1">
        <v>0</v>
      </c>
      <c r="H418" s="1">
        <v>0</v>
      </c>
      <c r="I418" s="2">
        <v>0</v>
      </c>
      <c r="K418" t="s">
        <v>28</v>
      </c>
      <c r="L418" s="1">
        <v>0</v>
      </c>
      <c r="M418" s="1">
        <v>0</v>
      </c>
      <c r="N418" s="2">
        <v>0</v>
      </c>
      <c r="P418" t="s">
        <v>28</v>
      </c>
      <c r="Q418" s="1">
        <v>0</v>
      </c>
      <c r="R418" s="1">
        <v>0</v>
      </c>
      <c r="S418" s="2">
        <v>0</v>
      </c>
      <c r="U418" t="s">
        <v>28</v>
      </c>
      <c r="V418" s="2">
        <v>0</v>
      </c>
      <c r="W418" s="2">
        <v>0</v>
      </c>
      <c r="X418" s="2">
        <v>0</v>
      </c>
      <c r="Z418" t="s">
        <v>28</v>
      </c>
      <c r="AA418" s="1">
        <v>0</v>
      </c>
      <c r="AB418" s="1">
        <v>0</v>
      </c>
      <c r="AC418" s="2">
        <v>0</v>
      </c>
    </row>
    <row r="419" spans="1:29" x14ac:dyDescent="0.35">
      <c r="A419" t="s">
        <v>29</v>
      </c>
      <c r="B419" s="2">
        <v>0</v>
      </c>
      <c r="C419" s="2">
        <v>0</v>
      </c>
      <c r="D419" s="3">
        <v>0</v>
      </c>
      <c r="F419" t="s">
        <v>29</v>
      </c>
      <c r="G419" s="1">
        <v>0</v>
      </c>
      <c r="H419" s="1">
        <v>0</v>
      </c>
      <c r="I419" s="2">
        <v>0</v>
      </c>
      <c r="K419" t="s">
        <v>29</v>
      </c>
      <c r="L419" s="1">
        <v>0</v>
      </c>
      <c r="M419" s="1">
        <v>0</v>
      </c>
      <c r="N419" s="2">
        <v>0</v>
      </c>
      <c r="P419" t="s">
        <v>29</v>
      </c>
      <c r="Q419" s="1">
        <v>0</v>
      </c>
      <c r="R419" s="1">
        <v>0</v>
      </c>
      <c r="S419" s="2">
        <v>0</v>
      </c>
      <c r="U419" t="s">
        <v>29</v>
      </c>
      <c r="V419" s="2">
        <v>0</v>
      </c>
      <c r="W419" s="2">
        <v>0</v>
      </c>
      <c r="X419" s="2">
        <v>0</v>
      </c>
      <c r="Z419" t="s">
        <v>29</v>
      </c>
      <c r="AA419" s="1">
        <v>0</v>
      </c>
      <c r="AB419" s="1">
        <v>0</v>
      </c>
      <c r="AC419" s="2">
        <v>0</v>
      </c>
    </row>
    <row r="420" spans="1:29" x14ac:dyDescent="0.35">
      <c r="A420" t="s">
        <v>30</v>
      </c>
      <c r="B420" s="2">
        <v>0</v>
      </c>
      <c r="C420" s="2">
        <v>0</v>
      </c>
      <c r="D420" s="3">
        <v>0</v>
      </c>
      <c r="F420" t="s">
        <v>30</v>
      </c>
      <c r="G420" s="1">
        <v>0</v>
      </c>
      <c r="H420" s="1">
        <v>0</v>
      </c>
      <c r="I420" s="2">
        <v>0</v>
      </c>
      <c r="K420" t="s">
        <v>30</v>
      </c>
      <c r="L420" s="1">
        <v>0</v>
      </c>
      <c r="M420" s="1">
        <v>0</v>
      </c>
      <c r="N420" s="2">
        <v>0</v>
      </c>
      <c r="P420" t="s">
        <v>30</v>
      </c>
      <c r="Q420" s="1">
        <v>0</v>
      </c>
      <c r="R420" s="1">
        <v>0</v>
      </c>
      <c r="S420" s="2">
        <v>0</v>
      </c>
      <c r="U420" t="s">
        <v>30</v>
      </c>
      <c r="V420" s="2">
        <v>0</v>
      </c>
      <c r="W420" s="2">
        <v>0</v>
      </c>
      <c r="X420" s="2">
        <v>0</v>
      </c>
      <c r="Z420" t="s">
        <v>30</v>
      </c>
      <c r="AA420" s="1">
        <v>0</v>
      </c>
      <c r="AB420" s="1">
        <v>0</v>
      </c>
      <c r="AC420" s="2">
        <v>0</v>
      </c>
    </row>
    <row r="421" spans="1:29" x14ac:dyDescent="0.35">
      <c r="A421" s="19" t="s">
        <v>90</v>
      </c>
      <c r="B421" s="20">
        <v>0</v>
      </c>
      <c r="C421" s="20">
        <v>0</v>
      </c>
      <c r="D421" s="20">
        <v>0</v>
      </c>
      <c r="F421" s="19" t="s">
        <v>90</v>
      </c>
      <c r="G421" s="20">
        <v>0</v>
      </c>
      <c r="H421" s="20">
        <v>0</v>
      </c>
      <c r="I421" s="20">
        <v>0</v>
      </c>
      <c r="K421" s="19" t="s">
        <v>90</v>
      </c>
      <c r="L421" s="20">
        <v>0</v>
      </c>
      <c r="M421" s="20">
        <v>0</v>
      </c>
      <c r="N421" s="20">
        <v>0</v>
      </c>
      <c r="P421" s="19" t="s">
        <v>90</v>
      </c>
      <c r="Q421" s="20">
        <v>0</v>
      </c>
      <c r="R421" s="20">
        <v>0</v>
      </c>
      <c r="S421" s="20">
        <v>0</v>
      </c>
      <c r="U421" s="19" t="s">
        <v>90</v>
      </c>
      <c r="V421" s="20">
        <v>0</v>
      </c>
      <c r="W421" s="20">
        <v>0</v>
      </c>
      <c r="X421" s="20">
        <v>0</v>
      </c>
      <c r="Z421" s="19" t="s">
        <v>90</v>
      </c>
      <c r="AA421" s="20">
        <v>0</v>
      </c>
      <c r="AB421" s="20">
        <v>0</v>
      </c>
      <c r="AC421" s="20">
        <v>0</v>
      </c>
    </row>
    <row r="422" spans="1:29" x14ac:dyDescent="0.35">
      <c r="B422" s="2"/>
      <c r="C422" s="15"/>
      <c r="D422" s="3"/>
      <c r="G422" s="2"/>
      <c r="H422" s="15"/>
      <c r="I422" s="12"/>
      <c r="L422" s="2"/>
      <c r="M422" s="15"/>
      <c r="N422" s="12"/>
      <c r="Q422" s="2"/>
      <c r="R422" s="15"/>
      <c r="S422" s="12"/>
      <c r="V422" s="2"/>
      <c r="W422" s="15"/>
      <c r="X422" s="2"/>
      <c r="AA422" s="2"/>
      <c r="AB422" s="15"/>
      <c r="AC422" s="2"/>
    </row>
    <row r="423" spans="1:29" x14ac:dyDescent="0.35">
      <c r="B423" s="2"/>
      <c r="C423" s="15"/>
      <c r="D423" s="3"/>
      <c r="G423" s="2"/>
      <c r="H423" s="15"/>
      <c r="I423" s="12"/>
      <c r="L423" s="2"/>
      <c r="M423" s="15"/>
      <c r="N423" s="12"/>
      <c r="Q423" s="2"/>
      <c r="R423" s="15"/>
      <c r="S423" s="12"/>
      <c r="V423" s="2"/>
      <c r="W423" s="15"/>
      <c r="X423" s="2"/>
      <c r="AA423" s="2"/>
      <c r="AB423" s="15"/>
      <c r="AC423" s="2"/>
    </row>
    <row r="424" spans="1:29" x14ac:dyDescent="0.35">
      <c r="A424" t="s">
        <v>89</v>
      </c>
      <c r="B424" s="2">
        <v>0</v>
      </c>
      <c r="C424" s="2">
        <v>0</v>
      </c>
      <c r="D424" s="3">
        <v>0</v>
      </c>
      <c r="F424" t="s">
        <v>89</v>
      </c>
      <c r="G424" s="1">
        <v>0</v>
      </c>
      <c r="H424" s="1">
        <v>0</v>
      </c>
      <c r="I424" s="2">
        <v>0</v>
      </c>
      <c r="K424" t="s">
        <v>89</v>
      </c>
      <c r="L424" s="1">
        <v>0</v>
      </c>
      <c r="M424" s="1">
        <v>0</v>
      </c>
      <c r="N424" s="2">
        <v>0</v>
      </c>
      <c r="P424" t="s">
        <v>89</v>
      </c>
      <c r="Q424" s="1">
        <v>0</v>
      </c>
      <c r="R424" s="1">
        <v>0</v>
      </c>
      <c r="S424" s="2">
        <v>0</v>
      </c>
      <c r="U424" t="s">
        <v>89</v>
      </c>
      <c r="V424" s="2">
        <v>0</v>
      </c>
      <c r="W424" s="2">
        <v>0</v>
      </c>
      <c r="X424" s="2">
        <v>0</v>
      </c>
      <c r="Z424" s="16" t="s">
        <v>89</v>
      </c>
      <c r="AA424" s="27">
        <v>0</v>
      </c>
      <c r="AB424" s="28">
        <v>0</v>
      </c>
      <c r="AC424" s="17">
        <v>0</v>
      </c>
    </row>
    <row r="425" spans="1:29" x14ac:dyDescent="0.35">
      <c r="B425" s="2"/>
      <c r="C425" s="15"/>
      <c r="D425" s="3"/>
      <c r="F425" s="13"/>
      <c r="G425" s="155"/>
      <c r="H425" s="156"/>
      <c r="I425" s="215"/>
      <c r="K425" s="13"/>
      <c r="L425" s="155"/>
      <c r="M425" s="156"/>
      <c r="N425" s="215"/>
      <c r="P425" s="13"/>
      <c r="Q425" s="155"/>
      <c r="R425" s="156"/>
      <c r="S425" s="215"/>
      <c r="V425" s="2"/>
      <c r="W425" s="15"/>
      <c r="X425" s="2"/>
      <c r="AA425" s="2"/>
      <c r="AB425" s="15"/>
      <c r="AC425" s="2"/>
    </row>
    <row r="426" spans="1:29" x14ac:dyDescent="0.35">
      <c r="B426" s="2"/>
      <c r="C426" s="15"/>
      <c r="D426" s="3"/>
      <c r="G426" s="2"/>
      <c r="H426" s="15"/>
      <c r="I426" s="12"/>
      <c r="L426" s="2"/>
      <c r="M426" s="15"/>
      <c r="N426" s="12"/>
      <c r="Q426" s="2"/>
      <c r="R426" s="15"/>
      <c r="S426" s="12"/>
      <c r="V426" s="2"/>
      <c r="W426" s="15"/>
      <c r="X426" s="2"/>
      <c r="AC426" s="2"/>
    </row>
    <row r="427" spans="1:29" x14ac:dyDescent="0.35">
      <c r="B427" s="2"/>
      <c r="C427" s="15"/>
      <c r="D427" s="3"/>
      <c r="G427" s="2"/>
      <c r="H427" s="15"/>
      <c r="I427" s="12"/>
      <c r="L427" s="2"/>
      <c r="M427" s="15"/>
      <c r="N427" s="12"/>
      <c r="Q427" s="2"/>
      <c r="R427" s="15"/>
      <c r="S427" s="12"/>
      <c r="V427" s="2"/>
      <c r="W427" s="15"/>
      <c r="X427" s="2"/>
      <c r="AC427" s="2"/>
    </row>
    <row r="428" spans="1:29" x14ac:dyDescent="0.35">
      <c r="A428" t="s">
        <v>31</v>
      </c>
      <c r="B428" s="2">
        <v>0</v>
      </c>
      <c r="C428" s="2">
        <v>0</v>
      </c>
      <c r="D428" s="3">
        <v>0</v>
      </c>
      <c r="F428" t="s">
        <v>31</v>
      </c>
      <c r="G428" s="1">
        <v>0</v>
      </c>
      <c r="H428" s="1">
        <v>0</v>
      </c>
      <c r="I428" s="2">
        <v>0</v>
      </c>
      <c r="K428" t="s">
        <v>31</v>
      </c>
      <c r="L428" s="1">
        <v>0</v>
      </c>
      <c r="M428" s="1">
        <v>0</v>
      </c>
      <c r="N428" s="2">
        <v>0</v>
      </c>
      <c r="P428" t="s">
        <v>31</v>
      </c>
      <c r="Q428" s="1">
        <v>0</v>
      </c>
      <c r="R428" s="1">
        <v>0</v>
      </c>
      <c r="S428" s="2">
        <v>0</v>
      </c>
      <c r="U428" t="s">
        <v>31</v>
      </c>
      <c r="V428" s="2">
        <v>0</v>
      </c>
      <c r="W428" s="2">
        <v>0</v>
      </c>
      <c r="X428" s="2">
        <v>0</v>
      </c>
      <c r="Z428" t="s">
        <v>31</v>
      </c>
      <c r="AA428" s="1">
        <v>0</v>
      </c>
      <c r="AB428" s="1">
        <v>0</v>
      </c>
      <c r="AC428" s="2">
        <v>0</v>
      </c>
    </row>
    <row r="429" spans="1:29" x14ac:dyDescent="0.35">
      <c r="A429" t="s">
        <v>32</v>
      </c>
      <c r="B429" s="2">
        <v>0</v>
      </c>
      <c r="C429" s="2">
        <v>0</v>
      </c>
      <c r="D429" s="3">
        <v>0</v>
      </c>
      <c r="F429" t="s">
        <v>32</v>
      </c>
      <c r="G429" s="1">
        <v>0</v>
      </c>
      <c r="H429" s="1">
        <v>0</v>
      </c>
      <c r="I429" s="2">
        <v>0</v>
      </c>
      <c r="K429" t="s">
        <v>32</v>
      </c>
      <c r="L429" s="1">
        <v>0</v>
      </c>
      <c r="M429" s="1">
        <v>0</v>
      </c>
      <c r="N429" s="2">
        <v>0</v>
      </c>
      <c r="P429" t="s">
        <v>32</v>
      </c>
      <c r="Q429" s="1">
        <v>0</v>
      </c>
      <c r="R429" s="1">
        <v>0</v>
      </c>
      <c r="S429" s="2">
        <v>0</v>
      </c>
      <c r="U429" t="s">
        <v>32</v>
      </c>
      <c r="V429" s="2">
        <v>0</v>
      </c>
      <c r="W429" s="2">
        <v>0</v>
      </c>
      <c r="X429" s="2">
        <v>0</v>
      </c>
      <c r="Z429" t="s">
        <v>32</v>
      </c>
      <c r="AA429" s="1">
        <v>0</v>
      </c>
      <c r="AB429" s="1">
        <v>0</v>
      </c>
      <c r="AC429" s="2">
        <v>0</v>
      </c>
    </row>
    <row r="430" spans="1:29" x14ac:dyDescent="0.35">
      <c r="A430" s="19" t="s">
        <v>33</v>
      </c>
      <c r="B430" s="20">
        <v>0</v>
      </c>
      <c r="C430" s="20">
        <v>0</v>
      </c>
      <c r="D430" s="20">
        <v>0</v>
      </c>
      <c r="F430" s="19" t="s">
        <v>33</v>
      </c>
      <c r="G430" s="20">
        <v>0</v>
      </c>
      <c r="H430" s="20">
        <v>0</v>
      </c>
      <c r="I430" s="20">
        <v>0</v>
      </c>
      <c r="K430" s="19" t="s">
        <v>33</v>
      </c>
      <c r="L430" s="20">
        <v>0</v>
      </c>
      <c r="M430" s="20">
        <v>0</v>
      </c>
      <c r="N430" s="20">
        <v>0</v>
      </c>
      <c r="P430" s="19" t="s">
        <v>33</v>
      </c>
      <c r="Q430" s="20">
        <v>0</v>
      </c>
      <c r="R430" s="20">
        <v>0</v>
      </c>
      <c r="S430" s="20">
        <v>0</v>
      </c>
      <c r="U430" s="19" t="s">
        <v>33</v>
      </c>
      <c r="V430" s="20">
        <v>0</v>
      </c>
      <c r="W430" s="20">
        <v>0</v>
      </c>
      <c r="X430" s="20">
        <v>0</v>
      </c>
      <c r="Z430" s="25" t="s">
        <v>33</v>
      </c>
      <c r="AA430" s="20">
        <v>0</v>
      </c>
      <c r="AB430" s="20">
        <v>0</v>
      </c>
      <c r="AC430" s="20">
        <v>0</v>
      </c>
    </row>
    <row r="431" spans="1:29" x14ac:dyDescent="0.35">
      <c r="B431" s="2"/>
      <c r="C431" s="15"/>
      <c r="D431" s="3"/>
      <c r="G431" s="2"/>
      <c r="H431" s="15"/>
      <c r="I431" s="12"/>
      <c r="L431" s="2"/>
      <c r="M431" s="15"/>
      <c r="N431" s="12"/>
      <c r="Q431" s="2"/>
      <c r="R431" s="15"/>
      <c r="S431" s="12"/>
      <c r="V431" s="2"/>
      <c r="W431" s="15"/>
      <c r="X431" s="2"/>
      <c r="AA431" s="2"/>
      <c r="AB431" s="15"/>
      <c r="AC431" s="2"/>
    </row>
    <row r="432" spans="1:29" x14ac:dyDescent="0.35">
      <c r="B432" s="2"/>
      <c r="C432" s="15"/>
      <c r="D432" s="3"/>
      <c r="G432" s="2"/>
      <c r="H432" s="15"/>
      <c r="I432" s="12"/>
      <c r="L432" s="2"/>
      <c r="M432" s="15"/>
      <c r="N432" s="12"/>
      <c r="Q432" s="2"/>
      <c r="R432" s="15"/>
      <c r="S432" s="12"/>
      <c r="V432" s="2"/>
      <c r="W432" s="15"/>
      <c r="X432" s="2"/>
      <c r="AA432" s="2"/>
      <c r="AB432" s="15"/>
      <c r="AC432" s="2"/>
    </row>
    <row r="433" spans="1:29" x14ac:dyDescent="0.35">
      <c r="A433" t="s">
        <v>35</v>
      </c>
      <c r="B433" s="2">
        <v>0</v>
      </c>
      <c r="C433" s="2">
        <v>143088588.23999995</v>
      </c>
      <c r="D433" s="3">
        <v>143088588.23999995</v>
      </c>
      <c r="F433" t="s">
        <v>35</v>
      </c>
      <c r="G433" s="1">
        <v>0</v>
      </c>
      <c r="H433" s="1">
        <v>1967848.888</v>
      </c>
      <c r="I433" s="2">
        <v>1967848.888</v>
      </c>
      <c r="K433" t="s">
        <v>35</v>
      </c>
      <c r="L433" s="1">
        <v>0</v>
      </c>
      <c r="M433" s="1">
        <v>1952018.0814285709</v>
      </c>
      <c r="N433" s="2">
        <v>1952018.0814285709</v>
      </c>
      <c r="P433" t="s">
        <v>35</v>
      </c>
      <c r="Q433" s="1">
        <v>0</v>
      </c>
      <c r="R433" s="1">
        <v>3919866.9694285709</v>
      </c>
      <c r="S433" s="2">
        <v>3919866.9694285709</v>
      </c>
      <c r="U433" t="s">
        <v>35</v>
      </c>
      <c r="V433" s="2">
        <v>0</v>
      </c>
      <c r="W433" s="2">
        <v>88648603.576883122</v>
      </c>
      <c r="X433" s="2">
        <v>88648603.576883122</v>
      </c>
      <c r="Z433" t="s">
        <v>35</v>
      </c>
      <c r="AA433" s="1">
        <v>0</v>
      </c>
      <c r="AB433" s="1">
        <v>50520117.693688259</v>
      </c>
      <c r="AC433" s="2">
        <v>50520117.693688259</v>
      </c>
    </row>
    <row r="434" spans="1:29" x14ac:dyDescent="0.35">
      <c r="A434" t="s">
        <v>36</v>
      </c>
      <c r="B434" s="2">
        <v>-15130468.119999999</v>
      </c>
      <c r="C434" s="2">
        <v>-133503124.88</v>
      </c>
      <c r="D434" s="3">
        <v>-148633593</v>
      </c>
      <c r="F434" t="s">
        <v>36</v>
      </c>
      <c r="G434" s="1">
        <v>-5324353.6399999997</v>
      </c>
      <c r="H434" s="1">
        <v>-1255186.01</v>
      </c>
      <c r="I434" s="2">
        <v>-6579539.6499999994</v>
      </c>
      <c r="K434" t="s">
        <v>36</v>
      </c>
      <c r="L434" s="1">
        <v>-4188552.7700000005</v>
      </c>
      <c r="M434" s="1">
        <v>-638953.54000000027</v>
      </c>
      <c r="N434" s="2">
        <v>-4827506.3100000005</v>
      </c>
      <c r="P434" t="s">
        <v>36</v>
      </c>
      <c r="Q434" s="1">
        <v>-9512906.4100000001</v>
      </c>
      <c r="R434" s="1">
        <v>-1894139.5500000003</v>
      </c>
      <c r="S434" s="2">
        <v>-11407045.960000001</v>
      </c>
      <c r="U434" t="s">
        <v>36</v>
      </c>
      <c r="V434" s="2">
        <v>-3207802.4700000007</v>
      </c>
      <c r="W434" s="2">
        <v>-81579367.459999993</v>
      </c>
      <c r="X434" s="2">
        <v>-84787169.929999992</v>
      </c>
      <c r="Z434" t="s">
        <v>36</v>
      </c>
      <c r="AA434" s="1">
        <v>-2409759.2399999984</v>
      </c>
      <c r="AB434" s="1">
        <v>-50029617.870000005</v>
      </c>
      <c r="AC434" s="2">
        <v>-52439377.109999999</v>
      </c>
    </row>
    <row r="435" spans="1:29" x14ac:dyDescent="0.35">
      <c r="A435" s="19" t="s">
        <v>37</v>
      </c>
      <c r="B435" s="20">
        <v>-15130468.119999999</v>
      </c>
      <c r="C435" s="20">
        <v>9585463.3599999547</v>
      </c>
      <c r="D435" s="20">
        <v>-5545004.7600000445</v>
      </c>
      <c r="F435" s="19" t="s">
        <v>37</v>
      </c>
      <c r="G435" s="20">
        <v>-5324353.6399999997</v>
      </c>
      <c r="H435" s="20">
        <v>712662.87800000003</v>
      </c>
      <c r="I435" s="20">
        <v>-4611690.7620000001</v>
      </c>
      <c r="K435" s="19" t="s">
        <v>37</v>
      </c>
      <c r="L435" s="20">
        <v>-4188552.7700000005</v>
      </c>
      <c r="M435" s="20">
        <v>1313064.5414285706</v>
      </c>
      <c r="N435" s="20">
        <v>-2875488.2285714298</v>
      </c>
      <c r="P435" s="19" t="s">
        <v>37</v>
      </c>
      <c r="Q435" s="20">
        <v>-9512906.4100000001</v>
      </c>
      <c r="R435" s="20">
        <v>2025727.4194285707</v>
      </c>
      <c r="S435" s="20">
        <v>-7487178.99057143</v>
      </c>
      <c r="U435" s="19" t="s">
        <v>37</v>
      </c>
      <c r="V435" s="20">
        <v>-3207802.4700000007</v>
      </c>
      <c r="W435" s="20">
        <v>7069236.1168831289</v>
      </c>
      <c r="X435" s="20">
        <v>3861433.6468831282</v>
      </c>
      <c r="Z435" s="25" t="s">
        <v>37</v>
      </c>
      <c r="AA435" s="20">
        <v>-2409759.2399999984</v>
      </c>
      <c r="AB435" s="20">
        <v>490499.82368825376</v>
      </c>
      <c r="AC435" s="20">
        <v>-1919259.4163117446</v>
      </c>
    </row>
    <row r="436" spans="1:29" x14ac:dyDescent="0.35">
      <c r="B436" s="2"/>
      <c r="C436" s="15"/>
      <c r="D436" s="3"/>
      <c r="G436" s="2"/>
      <c r="H436" s="15"/>
      <c r="I436" s="12"/>
      <c r="L436" s="2"/>
      <c r="M436" s="15"/>
      <c r="N436" s="12"/>
      <c r="Q436" s="2"/>
      <c r="R436" s="15"/>
      <c r="S436" s="12"/>
      <c r="V436" s="2"/>
      <c r="W436" s="15"/>
      <c r="X436" s="2"/>
      <c r="AA436" s="2"/>
      <c r="AB436" s="15"/>
      <c r="AC436" s="2"/>
    </row>
    <row r="437" spans="1:29" x14ac:dyDescent="0.35">
      <c r="A437" t="s">
        <v>212</v>
      </c>
      <c r="B437" s="2">
        <v>0</v>
      </c>
      <c r="C437" s="2">
        <v>0</v>
      </c>
      <c r="D437" s="3">
        <v>0</v>
      </c>
      <c r="F437" t="s">
        <v>212</v>
      </c>
      <c r="G437" s="1">
        <v>0</v>
      </c>
      <c r="H437" s="1">
        <v>0</v>
      </c>
      <c r="I437" s="2">
        <v>0</v>
      </c>
      <c r="K437" t="s">
        <v>212</v>
      </c>
      <c r="L437" s="2"/>
      <c r="M437" s="15"/>
      <c r="N437" s="12"/>
      <c r="P437" t="s">
        <v>212</v>
      </c>
      <c r="Q437" s="2"/>
      <c r="R437" s="15"/>
      <c r="S437" s="12"/>
      <c r="U437" t="s">
        <v>212</v>
      </c>
      <c r="V437" s="2"/>
      <c r="W437" s="15"/>
      <c r="X437" s="2"/>
      <c r="Z437" t="s">
        <v>212</v>
      </c>
      <c r="AA437" s="2"/>
      <c r="AB437" s="15"/>
      <c r="AC437" s="2"/>
    </row>
    <row r="438" spans="1:29" x14ac:dyDescent="0.35">
      <c r="A438" t="s">
        <v>38</v>
      </c>
      <c r="B438" s="2">
        <v>0</v>
      </c>
      <c r="C438" s="2">
        <v>-4654972.7928316109</v>
      </c>
      <c r="D438" s="3">
        <v>-4654972.7928316109</v>
      </c>
      <c r="F438" t="s">
        <v>38</v>
      </c>
      <c r="G438" s="1">
        <v>0</v>
      </c>
      <c r="H438" s="1">
        <v>-365502.04000000004</v>
      </c>
      <c r="I438" s="2">
        <v>-365502.04000000004</v>
      </c>
      <c r="K438" t="s">
        <v>38</v>
      </c>
      <c r="L438" s="1">
        <v>0</v>
      </c>
      <c r="M438" s="1">
        <v>-981151.741773288</v>
      </c>
      <c r="N438" s="2">
        <v>-981151.741773288</v>
      </c>
      <c r="P438" t="s">
        <v>38</v>
      </c>
      <c r="Q438" s="1">
        <v>0</v>
      </c>
      <c r="R438" s="1">
        <v>-1346653.781773288</v>
      </c>
      <c r="S438" s="2">
        <v>-1346653.781773288</v>
      </c>
      <c r="U438" t="s">
        <v>38</v>
      </c>
      <c r="V438" s="2">
        <v>0</v>
      </c>
      <c r="W438" s="2">
        <v>-1866778.9476424844</v>
      </c>
      <c r="X438" s="2">
        <v>-1866778.9476424844</v>
      </c>
      <c r="Z438" t="s">
        <v>38</v>
      </c>
      <c r="AA438" s="1">
        <v>0</v>
      </c>
      <c r="AB438" s="1">
        <v>-1441540.0634158382</v>
      </c>
      <c r="AC438" s="2">
        <v>-1441540.0634158382</v>
      </c>
    </row>
    <row r="439" spans="1:29" x14ac:dyDescent="0.35">
      <c r="A439" t="s">
        <v>78</v>
      </c>
      <c r="B439" s="2">
        <v>0</v>
      </c>
      <c r="C439" s="2">
        <v>-40565380.625340104</v>
      </c>
      <c r="D439" s="3">
        <v>-40565380.625340104</v>
      </c>
      <c r="F439" t="s">
        <v>78</v>
      </c>
      <c r="G439" s="1">
        <v>0</v>
      </c>
      <c r="H439" s="1">
        <v>-12178315.275373116</v>
      </c>
      <c r="I439" s="2">
        <v>-12178315.275373116</v>
      </c>
      <c r="K439" t="s">
        <v>78</v>
      </c>
      <c r="L439" s="1">
        <v>0</v>
      </c>
      <c r="M439" s="1">
        <v>-8905566.2179767303</v>
      </c>
      <c r="N439" s="2">
        <v>-8905566.2179767303</v>
      </c>
      <c r="P439" t="s">
        <v>78</v>
      </c>
      <c r="Q439" s="1">
        <v>0</v>
      </c>
      <c r="R439" s="1">
        <v>-21083881.493349846</v>
      </c>
      <c r="S439" s="2">
        <v>-21083881.493349846</v>
      </c>
      <c r="U439" t="s">
        <v>78</v>
      </c>
      <c r="V439" s="2">
        <v>0</v>
      </c>
      <c r="W439" s="2">
        <v>-12862527.859393489</v>
      </c>
      <c r="X439" s="2">
        <v>-12862527.859393489</v>
      </c>
      <c r="Z439" t="s">
        <v>78</v>
      </c>
      <c r="AA439" s="1">
        <v>0</v>
      </c>
      <c r="AB439" s="1">
        <v>-6618971.272596769</v>
      </c>
      <c r="AC439" s="2">
        <v>-6618971.272596769</v>
      </c>
    </row>
    <row r="440" spans="1:29" x14ac:dyDescent="0.35">
      <c r="A440" t="s">
        <v>39</v>
      </c>
      <c r="B440" s="2">
        <v>0</v>
      </c>
      <c r="C440" s="2">
        <v>-73268296.072835058</v>
      </c>
      <c r="D440" s="3">
        <v>-73268296.072835058</v>
      </c>
      <c r="F440" t="s">
        <v>39</v>
      </c>
      <c r="G440" s="1">
        <v>0</v>
      </c>
      <c r="H440" s="1">
        <v>-7243016.9226877596</v>
      </c>
      <c r="I440" s="2">
        <v>-7243016.9226877596</v>
      </c>
      <c r="K440" t="s">
        <v>39</v>
      </c>
      <c r="L440" s="1">
        <v>0</v>
      </c>
      <c r="M440" s="1">
        <v>-20091778.216559865</v>
      </c>
      <c r="N440" s="2">
        <v>-20091778.216559865</v>
      </c>
      <c r="P440" t="s">
        <v>39</v>
      </c>
      <c r="Q440" s="1">
        <v>0</v>
      </c>
      <c r="R440" s="1">
        <v>-27334795.139247622</v>
      </c>
      <c r="S440" s="2">
        <v>-27334795.139247622</v>
      </c>
      <c r="U440" t="s">
        <v>39</v>
      </c>
      <c r="V440" s="2">
        <v>0</v>
      </c>
      <c r="W440" s="2">
        <v>-18947410.612948585</v>
      </c>
      <c r="X440" s="2">
        <v>-18947410.612948585</v>
      </c>
      <c r="Z440" t="s">
        <v>39</v>
      </c>
      <c r="AA440" s="1">
        <v>0</v>
      </c>
      <c r="AB440" s="1">
        <v>-26986090.320638854</v>
      </c>
      <c r="AC440" s="2">
        <v>-26986090.320638854</v>
      </c>
    </row>
    <row r="441" spans="1:29" x14ac:dyDescent="0.35">
      <c r="A441" t="s">
        <v>40</v>
      </c>
      <c r="B441" s="2">
        <v>0</v>
      </c>
      <c r="C441" s="2">
        <v>-5826798.1799999997</v>
      </c>
      <c r="D441" s="3">
        <v>-5826798.1799999997</v>
      </c>
      <c r="F441" t="s">
        <v>40</v>
      </c>
      <c r="G441" s="1">
        <v>0</v>
      </c>
      <c r="H441" s="1">
        <v>-764475.02314244001</v>
      </c>
      <c r="I441" s="2">
        <v>-764475.02314244001</v>
      </c>
      <c r="K441" t="s">
        <v>40</v>
      </c>
      <c r="L441" s="1">
        <v>0</v>
      </c>
      <c r="M441" s="1">
        <v>-1510313.8998759997</v>
      </c>
      <c r="N441" s="2">
        <v>-1510313.8998759997</v>
      </c>
      <c r="P441" t="s">
        <v>40</v>
      </c>
      <c r="Q441" s="1">
        <v>0</v>
      </c>
      <c r="R441" s="1">
        <v>-2274788.9230184397</v>
      </c>
      <c r="S441" s="2">
        <v>-2274788.9230184397</v>
      </c>
      <c r="U441" t="s">
        <v>40</v>
      </c>
      <c r="V441" s="2">
        <v>0</v>
      </c>
      <c r="W441" s="2">
        <v>-1804360.7700000005</v>
      </c>
      <c r="X441" s="2">
        <v>-1804360.7700000005</v>
      </c>
      <c r="Z441" t="s">
        <v>40</v>
      </c>
      <c r="AA441" s="1">
        <v>0</v>
      </c>
      <c r="AB441" s="1">
        <v>-1747648.4869815595</v>
      </c>
      <c r="AC441" s="2">
        <v>-1747648.4869815595</v>
      </c>
    </row>
    <row r="442" spans="1:29" x14ac:dyDescent="0.35">
      <c r="A442" t="s">
        <v>41</v>
      </c>
      <c r="B442" s="2">
        <v>0</v>
      </c>
      <c r="C442" s="2">
        <v>-41832</v>
      </c>
      <c r="D442" s="3">
        <v>-41832</v>
      </c>
      <c r="F442" t="s">
        <v>41</v>
      </c>
      <c r="G442" s="1">
        <v>0</v>
      </c>
      <c r="H442" s="1">
        <v>0</v>
      </c>
      <c r="I442" s="2">
        <v>0</v>
      </c>
      <c r="K442" t="s">
        <v>41</v>
      </c>
      <c r="L442" s="1">
        <v>0</v>
      </c>
      <c r="M442" s="1">
        <v>0</v>
      </c>
      <c r="N442" s="2">
        <v>0</v>
      </c>
      <c r="P442" t="s">
        <v>41</v>
      </c>
      <c r="Q442" s="1">
        <v>0</v>
      </c>
      <c r="R442" s="1">
        <v>0</v>
      </c>
      <c r="S442" s="2">
        <v>0</v>
      </c>
      <c r="U442" t="s">
        <v>41</v>
      </c>
      <c r="V442" s="2">
        <v>0</v>
      </c>
      <c r="W442" s="2">
        <v>0</v>
      </c>
      <c r="X442" s="2">
        <v>0</v>
      </c>
      <c r="Z442" t="s">
        <v>41</v>
      </c>
      <c r="AA442" s="1">
        <v>0</v>
      </c>
      <c r="AB442" s="1">
        <v>-41832</v>
      </c>
      <c r="AC442" s="2">
        <v>-41832</v>
      </c>
    </row>
    <row r="443" spans="1:29" x14ac:dyDescent="0.35">
      <c r="A443" t="s">
        <v>42</v>
      </c>
      <c r="B443" s="2">
        <v>0</v>
      </c>
      <c r="C443" s="2">
        <v>-982943.86204809521</v>
      </c>
      <c r="D443" s="3">
        <v>-982943.86204809521</v>
      </c>
      <c r="F443" t="s">
        <v>42</v>
      </c>
      <c r="G443" s="1">
        <v>0</v>
      </c>
      <c r="H443" s="1">
        <v>-127170</v>
      </c>
      <c r="I443" s="2">
        <v>-127170</v>
      </c>
      <c r="K443" t="s">
        <v>42</v>
      </c>
      <c r="L443" s="1">
        <v>0</v>
      </c>
      <c r="M443" s="1">
        <v>-154210.87</v>
      </c>
      <c r="N443" s="2">
        <v>-154210.87</v>
      </c>
      <c r="P443" t="s">
        <v>42</v>
      </c>
      <c r="Q443" s="1">
        <v>0</v>
      </c>
      <c r="R443" s="1">
        <v>-281380.87</v>
      </c>
      <c r="S443" s="2">
        <v>-281380.87</v>
      </c>
      <c r="U443" t="s">
        <v>42</v>
      </c>
      <c r="V443" s="2">
        <v>0</v>
      </c>
      <c r="W443" s="2">
        <v>-398410.84626433032</v>
      </c>
      <c r="X443" s="2">
        <v>-398410.84626433032</v>
      </c>
      <c r="Z443" t="s">
        <v>42</v>
      </c>
      <c r="AA443" s="1">
        <v>0</v>
      </c>
      <c r="AB443" s="1">
        <v>-303152.14578376489</v>
      </c>
      <c r="AC443" s="2">
        <v>-303152.14578376489</v>
      </c>
    </row>
    <row r="444" spans="1:29" x14ac:dyDescent="0.35">
      <c r="A444" t="s">
        <v>4</v>
      </c>
      <c r="B444" s="2">
        <v>0</v>
      </c>
      <c r="C444" s="2">
        <v>49046036.030217662</v>
      </c>
      <c r="D444" s="3">
        <v>49046036.030217662</v>
      </c>
      <c r="F444" t="s">
        <v>4</v>
      </c>
      <c r="G444" s="1">
        <v>0</v>
      </c>
      <c r="H444" s="1">
        <v>12814022.195735298</v>
      </c>
      <c r="I444" s="2">
        <v>12814022.195735298</v>
      </c>
      <c r="K444" t="s">
        <v>4</v>
      </c>
      <c r="L444" s="1">
        <v>0</v>
      </c>
      <c r="M444" s="1">
        <v>13551741.682825599</v>
      </c>
      <c r="N444" s="2">
        <v>13551741.682825599</v>
      </c>
      <c r="P444" t="s">
        <v>4</v>
      </c>
      <c r="Q444" s="1">
        <v>0</v>
      </c>
      <c r="R444" s="1">
        <v>26365763.878560897</v>
      </c>
      <c r="S444" s="2">
        <v>26365763.878560897</v>
      </c>
      <c r="U444" t="s">
        <v>4</v>
      </c>
      <c r="V444" s="2">
        <v>0</v>
      </c>
      <c r="W444" s="2">
        <v>11955872.711034801</v>
      </c>
      <c r="X444" s="2">
        <v>11955872.711034801</v>
      </c>
      <c r="Z444" t="s">
        <v>4</v>
      </c>
      <c r="AA444" s="1">
        <v>0</v>
      </c>
      <c r="AB444" s="1">
        <v>10724399.440621961</v>
      </c>
      <c r="AC444" s="2">
        <v>10724399.440621961</v>
      </c>
    </row>
    <row r="445" spans="1:29" x14ac:dyDescent="0.35">
      <c r="A445" t="s">
        <v>5</v>
      </c>
      <c r="B445" s="2">
        <v>0</v>
      </c>
      <c r="C445" s="2">
        <v>-1805446.145260805</v>
      </c>
      <c r="D445" s="3">
        <v>-1805446.145260805</v>
      </c>
      <c r="F445" t="s">
        <v>5</v>
      </c>
      <c r="G445" s="1">
        <v>0</v>
      </c>
      <c r="H445" s="1">
        <v>-1785042.9339315831</v>
      </c>
      <c r="I445" s="2">
        <v>-1785042.9339315831</v>
      </c>
      <c r="K445" t="s">
        <v>5</v>
      </c>
      <c r="L445" s="1">
        <v>0</v>
      </c>
      <c r="M445" s="1">
        <v>-19458.908921552356</v>
      </c>
      <c r="N445" s="2">
        <v>-19458.908921552356</v>
      </c>
      <c r="P445" t="s">
        <v>5</v>
      </c>
      <c r="Q445" s="1">
        <v>0</v>
      </c>
      <c r="R445" s="1">
        <v>-1804501.8428531354</v>
      </c>
      <c r="S445" s="2">
        <v>-1804501.8428531354</v>
      </c>
      <c r="U445" t="s">
        <v>5</v>
      </c>
      <c r="V445" s="2">
        <v>0</v>
      </c>
      <c r="W445" s="2">
        <v>-3457.161799215246</v>
      </c>
      <c r="X445" s="2">
        <v>-3457.161799215246</v>
      </c>
      <c r="Z445" t="s">
        <v>5</v>
      </c>
      <c r="AA445" s="1">
        <v>0</v>
      </c>
      <c r="AB445" s="1">
        <v>2512.859391545644</v>
      </c>
      <c r="AC445" s="2">
        <v>2512.859391545644</v>
      </c>
    </row>
    <row r="446" spans="1:29" x14ac:dyDescent="0.35">
      <c r="A446" t="s">
        <v>182</v>
      </c>
      <c r="B446" s="2">
        <v>0</v>
      </c>
      <c r="C446" s="2">
        <v>-6496592.5650709793</v>
      </c>
      <c r="D446" s="3">
        <v>-6496592.5650709793</v>
      </c>
      <c r="F446" t="s">
        <v>182</v>
      </c>
      <c r="G446" s="1">
        <v>0</v>
      </c>
      <c r="H446" s="1">
        <v>1302299.5300000003</v>
      </c>
      <c r="I446" s="2">
        <v>1302299.5300000003</v>
      </c>
      <c r="K446" t="s">
        <v>182</v>
      </c>
      <c r="L446" s="1">
        <v>0</v>
      </c>
      <c r="M446" s="1">
        <v>-3213326.4799735518</v>
      </c>
      <c r="N446" s="2">
        <v>-3213326.4799735518</v>
      </c>
      <c r="P446" t="s">
        <v>182</v>
      </c>
      <c r="Q446" s="1">
        <v>0</v>
      </c>
      <c r="R446" s="1">
        <v>-1911026.9499735516</v>
      </c>
      <c r="S446" s="2">
        <v>-1911026.9499735516</v>
      </c>
      <c r="U446" t="s">
        <v>182</v>
      </c>
      <c r="V446" s="2">
        <v>0</v>
      </c>
      <c r="W446" s="2">
        <v>-4399670.2392888181</v>
      </c>
      <c r="X446" s="2">
        <v>-4399670.2392888181</v>
      </c>
      <c r="Z446" t="s">
        <v>182</v>
      </c>
      <c r="AA446" s="1">
        <v>0</v>
      </c>
      <c r="AB446" s="1">
        <v>-185895.37580860965</v>
      </c>
      <c r="AC446" s="2">
        <v>-185895.37580860965</v>
      </c>
    </row>
    <row r="447" spans="1:29" x14ac:dyDescent="0.35">
      <c r="A447" s="19" t="s">
        <v>11</v>
      </c>
      <c r="B447" s="20">
        <v>0</v>
      </c>
      <c r="C447" s="20">
        <v>-84596226.213168979</v>
      </c>
      <c r="D447" s="20">
        <v>-84596226.213168979</v>
      </c>
      <c r="F447" s="19" t="s">
        <v>11</v>
      </c>
      <c r="G447" s="20">
        <v>0</v>
      </c>
      <c r="H447" s="20">
        <v>-8347200.4693996003</v>
      </c>
      <c r="I447" s="20">
        <v>-8347200.4693996003</v>
      </c>
      <c r="K447" s="19" t="s">
        <v>11</v>
      </c>
      <c r="L447" s="20">
        <v>0</v>
      </c>
      <c r="M447" s="20">
        <v>-21324064.652255386</v>
      </c>
      <c r="N447" s="20">
        <v>-21324064.652255386</v>
      </c>
      <c r="P447" s="19" t="s">
        <v>11</v>
      </c>
      <c r="Q447" s="20">
        <v>0</v>
      </c>
      <c r="R447" s="20">
        <v>-29671265.121654987</v>
      </c>
      <c r="S447" s="20">
        <v>-29671265.121654987</v>
      </c>
      <c r="U447" s="19" t="s">
        <v>11</v>
      </c>
      <c r="V447" s="20">
        <v>0</v>
      </c>
      <c r="W447" s="20">
        <v>-28326743.726302125</v>
      </c>
      <c r="X447" s="20">
        <v>-28326743.726302125</v>
      </c>
      <c r="Z447" s="19" t="s">
        <v>11</v>
      </c>
      <c r="AA447" s="20">
        <v>0</v>
      </c>
      <c r="AB447" s="20">
        <v>-26598217.365211897</v>
      </c>
      <c r="AC447" s="20">
        <v>-26598217.365211897</v>
      </c>
    </row>
    <row r="448" spans="1:29" x14ac:dyDescent="0.35">
      <c r="B448" s="2"/>
      <c r="C448" s="15"/>
      <c r="D448" s="3"/>
      <c r="G448" s="2"/>
      <c r="H448" s="15"/>
      <c r="I448" s="12"/>
      <c r="L448" s="2"/>
      <c r="M448" s="15"/>
      <c r="N448" s="12"/>
      <c r="Q448" s="2"/>
      <c r="R448" s="15"/>
      <c r="S448" s="12"/>
      <c r="V448" s="2"/>
      <c r="W448" s="15"/>
      <c r="X448" s="2"/>
      <c r="AA448" s="2"/>
      <c r="AB448" s="15"/>
      <c r="AC448" s="2"/>
    </row>
    <row r="449" spans="1:29" x14ac:dyDescent="0.35">
      <c r="B449" s="2"/>
      <c r="C449" s="15"/>
      <c r="D449" s="3"/>
      <c r="G449" s="2"/>
      <c r="H449" s="15"/>
      <c r="I449" s="12"/>
      <c r="L449" s="2"/>
      <c r="M449" s="15"/>
      <c r="N449" s="12"/>
      <c r="Q449" s="2"/>
      <c r="R449" s="15"/>
      <c r="S449" s="12"/>
      <c r="V449" s="2"/>
      <c r="W449" s="15"/>
      <c r="X449" s="2"/>
      <c r="AA449" s="2"/>
      <c r="AB449" s="15"/>
      <c r="AC449" s="2"/>
    </row>
    <row r="450" spans="1:29" x14ac:dyDescent="0.35">
      <c r="A450" s="11" t="s">
        <v>43</v>
      </c>
      <c r="B450" s="4">
        <v>8569467.8899999876</v>
      </c>
      <c r="C450" s="4">
        <v>7938011.5469360203</v>
      </c>
      <c r="D450" s="4">
        <v>16507479.436936008</v>
      </c>
      <c r="F450" s="11" t="s">
        <v>43</v>
      </c>
      <c r="G450" s="4">
        <v>-2943047.199999989</v>
      </c>
      <c r="H450" s="4">
        <v>6490995.9655953785</v>
      </c>
      <c r="I450" s="4">
        <v>3547948.7655953895</v>
      </c>
      <c r="K450" s="11" t="s">
        <v>43</v>
      </c>
      <c r="L450" s="4">
        <v>4035316.3799999896</v>
      </c>
      <c r="M450" s="4">
        <v>9807565.6845674179</v>
      </c>
      <c r="N450" s="4">
        <v>13842882.064567408</v>
      </c>
      <c r="P450" s="11" t="s">
        <v>43</v>
      </c>
      <c r="Q450" s="4">
        <v>1092269.1799999997</v>
      </c>
      <c r="R450" s="4">
        <v>16298561.650162794</v>
      </c>
      <c r="S450" s="4">
        <v>17390830.830162793</v>
      </c>
      <c r="U450" s="11" t="s">
        <v>43</v>
      </c>
      <c r="V450" s="4">
        <v>3131917.9899999844</v>
      </c>
      <c r="W450" s="4">
        <v>-5057153.0564974248</v>
      </c>
      <c r="X450" s="4">
        <v>-1925235.0664974404</v>
      </c>
      <c r="Z450" s="11" t="s">
        <v>43</v>
      </c>
      <c r="AA450" s="4">
        <v>4345280.7199999932</v>
      </c>
      <c r="AB450" s="4">
        <v>-3303397.0467293784</v>
      </c>
      <c r="AC450" s="4">
        <v>1041883.6732706148</v>
      </c>
    </row>
    <row r="451" spans="1:29" x14ac:dyDescent="0.35">
      <c r="A451" t="s">
        <v>6</v>
      </c>
      <c r="B451" s="2">
        <v>0</v>
      </c>
      <c r="C451" s="2">
        <v>-3809254.85</v>
      </c>
      <c r="D451" s="2">
        <v>-3809254.85</v>
      </c>
      <c r="F451" t="s">
        <v>6</v>
      </c>
      <c r="G451" s="1">
        <v>0</v>
      </c>
      <c r="H451" s="1">
        <v>-743047.63</v>
      </c>
      <c r="I451" s="2">
        <v>-743047.63</v>
      </c>
      <c r="K451" t="s">
        <v>6</v>
      </c>
      <c r="L451" s="1">
        <v>0</v>
      </c>
      <c r="M451" s="1">
        <v>-937253.99999999988</v>
      </c>
      <c r="N451" s="2">
        <v>-937253.99999999988</v>
      </c>
      <c r="P451" t="s">
        <v>6</v>
      </c>
      <c r="Q451" s="1">
        <v>0</v>
      </c>
      <c r="R451" s="1">
        <v>-1680301.63</v>
      </c>
      <c r="S451" s="2">
        <v>-1680301.63</v>
      </c>
      <c r="U451" t="s">
        <v>6</v>
      </c>
      <c r="V451" s="2">
        <v>0</v>
      </c>
      <c r="W451" s="2">
        <v>-755083</v>
      </c>
      <c r="X451" s="2">
        <v>-755083</v>
      </c>
      <c r="Z451" t="s">
        <v>6</v>
      </c>
      <c r="AA451" s="1">
        <v>0</v>
      </c>
      <c r="AB451" s="1">
        <v>-1373870.2200000002</v>
      </c>
      <c r="AC451" s="2">
        <v>-1373870.2200000002</v>
      </c>
    </row>
    <row r="452" spans="1:29" x14ac:dyDescent="0.35">
      <c r="A452" s="11" t="s">
        <v>7</v>
      </c>
      <c r="B452" s="4">
        <v>8569467.8899999876</v>
      </c>
      <c r="C452" s="4">
        <v>4128756.6969360202</v>
      </c>
      <c r="D452" s="4">
        <v>12698224.586936008</v>
      </c>
      <c r="F452" s="11" t="s">
        <v>7</v>
      </c>
      <c r="G452" s="4">
        <v>-2943047.199999989</v>
      </c>
      <c r="H452" s="4">
        <v>5747948.3355953787</v>
      </c>
      <c r="I452" s="4">
        <v>2804901.1355953896</v>
      </c>
      <c r="K452" s="11" t="s">
        <v>7</v>
      </c>
      <c r="L452" s="4">
        <v>4035316.3799999896</v>
      </c>
      <c r="M452" s="4">
        <v>8870311.6845674179</v>
      </c>
      <c r="N452" s="4">
        <v>12905628.064567408</v>
      </c>
      <c r="P452" s="11" t="s">
        <v>7</v>
      </c>
      <c r="Q452" s="4">
        <v>1092269.1799999997</v>
      </c>
      <c r="R452" s="4">
        <v>14618260.020162795</v>
      </c>
      <c r="S452" s="4">
        <v>15710529.200162794</v>
      </c>
      <c r="U452" s="11" t="s">
        <v>7</v>
      </c>
      <c r="V452" s="4">
        <v>3131917.9899999844</v>
      </c>
      <c r="W452" s="4">
        <v>-5812236.0564974248</v>
      </c>
      <c r="X452" s="4">
        <v>-2680318.0664974404</v>
      </c>
      <c r="Z452" s="11" t="s">
        <v>7</v>
      </c>
      <c r="AA452" s="137">
        <v>4345280.7199999932</v>
      </c>
      <c r="AB452" s="137">
        <v>-4677267.2667293791</v>
      </c>
      <c r="AC452" s="4">
        <v>-331986.54672938585</v>
      </c>
    </row>
    <row r="453" spans="1:29" x14ac:dyDescent="0.35">
      <c r="A453" t="s">
        <v>8</v>
      </c>
      <c r="B453" s="2">
        <v>0</v>
      </c>
      <c r="C453" s="2">
        <v>-567347.04210037109</v>
      </c>
      <c r="D453" s="2">
        <v>-567347.04210037109</v>
      </c>
      <c r="F453" t="s">
        <v>8</v>
      </c>
      <c r="G453" s="1">
        <v>0</v>
      </c>
      <c r="H453" s="1">
        <v>-2800494.1309183799</v>
      </c>
      <c r="I453" s="2">
        <v>-2800494.1309183799</v>
      </c>
      <c r="K453" t="s">
        <v>8</v>
      </c>
      <c r="L453" s="1">
        <v>0</v>
      </c>
      <c r="M453" s="1">
        <v>-4933584.9336605193</v>
      </c>
      <c r="N453" s="2">
        <v>-4933584.9336605193</v>
      </c>
      <c r="P453" t="s">
        <v>8</v>
      </c>
      <c r="Q453" s="1">
        <v>0</v>
      </c>
      <c r="R453" s="1">
        <v>-7734079.0645788992</v>
      </c>
      <c r="S453" s="2">
        <v>-7734079.0645788992</v>
      </c>
      <c r="U453" t="s">
        <v>8</v>
      </c>
      <c r="V453" s="2">
        <v>0</v>
      </c>
      <c r="W453" s="2">
        <v>3584362.63167394</v>
      </c>
      <c r="X453" s="2">
        <v>3584362.63167394</v>
      </c>
      <c r="Z453" t="s">
        <v>8</v>
      </c>
      <c r="AA453" s="1">
        <v>0</v>
      </c>
      <c r="AB453" s="1">
        <v>3582369.3908045879</v>
      </c>
      <c r="AC453" s="2">
        <v>3582369.3908045879</v>
      </c>
    </row>
    <row r="454" spans="1:29" x14ac:dyDescent="0.35">
      <c r="A454" s="11" t="s">
        <v>161</v>
      </c>
      <c r="B454" s="4">
        <v>8569467.8899999876</v>
      </c>
      <c r="C454" s="4">
        <v>3561409.6548356488</v>
      </c>
      <c r="D454" s="4">
        <v>12130877.544835636</v>
      </c>
      <c r="F454" s="11" t="s">
        <v>161</v>
      </c>
      <c r="G454" s="4">
        <v>-2943047.199999989</v>
      </c>
      <c r="H454" s="4">
        <v>2947454.2046769988</v>
      </c>
      <c r="I454" s="4">
        <v>4407.0046770097688</v>
      </c>
      <c r="K454" s="11" t="s">
        <v>161</v>
      </c>
      <c r="L454" s="4">
        <v>4035316.3799999896</v>
      </c>
      <c r="M454" s="4">
        <v>3936726.7509068986</v>
      </c>
      <c r="N454" s="4">
        <v>7972043.1309068883</v>
      </c>
      <c r="P454" s="11" t="s">
        <v>161</v>
      </c>
      <c r="Q454" s="4">
        <v>1092269.1799999997</v>
      </c>
      <c r="R454" s="4">
        <v>6884180.9555838956</v>
      </c>
      <c r="S454" s="4">
        <v>7976450.1355838953</v>
      </c>
      <c r="U454" s="11" t="s">
        <v>161</v>
      </c>
      <c r="V454" s="4">
        <v>3131917.9899999844</v>
      </c>
      <c r="W454" s="4">
        <v>-2227873.4248234848</v>
      </c>
      <c r="X454" s="4">
        <v>904044.56517649954</v>
      </c>
      <c r="Z454" s="11" t="s">
        <v>9</v>
      </c>
      <c r="AA454" s="137">
        <v>4345280.7199999932</v>
      </c>
      <c r="AB454" s="137">
        <v>-1094897.8759247912</v>
      </c>
      <c r="AC454" s="4">
        <v>3250382.844075202</v>
      </c>
    </row>
    <row r="455" spans="1:29" x14ac:dyDescent="0.35">
      <c r="B455" s="3">
        <v>0</v>
      </c>
      <c r="C455" s="3">
        <v>0</v>
      </c>
      <c r="D455" s="3"/>
      <c r="L455" s="3">
        <v>0</v>
      </c>
      <c r="M455" s="3">
        <v>0</v>
      </c>
      <c r="N455" s="3">
        <v>0</v>
      </c>
      <c r="AA455" s="12">
        <v>1.0244548320770264E-8</v>
      </c>
      <c r="AB455" s="12">
        <v>2.9802322387695313E-8</v>
      </c>
      <c r="AC455" s="12">
        <v>3.9115548133850098E-8</v>
      </c>
    </row>
    <row r="458" spans="1:29" ht="18.5" x14ac:dyDescent="0.35">
      <c r="A458" s="303" t="s">
        <v>225</v>
      </c>
      <c r="B458" s="303"/>
      <c r="C458" s="303"/>
      <c r="D458" s="303"/>
      <c r="F458" s="303" t="s">
        <v>214</v>
      </c>
      <c r="G458" s="303"/>
      <c r="H458" s="303"/>
      <c r="I458" s="303"/>
      <c r="K458" s="303" t="s">
        <v>216</v>
      </c>
      <c r="L458" s="303"/>
      <c r="M458" s="303"/>
      <c r="N458" s="303"/>
      <c r="P458" s="303" t="s">
        <v>217</v>
      </c>
      <c r="Q458" s="303"/>
      <c r="R458" s="303"/>
      <c r="S458" s="303"/>
      <c r="U458" s="303" t="s">
        <v>220</v>
      </c>
      <c r="V458" s="303"/>
      <c r="W458" s="303"/>
      <c r="X458" s="303"/>
      <c r="Z458" s="135" t="s">
        <v>227</v>
      </c>
      <c r="AA458" s="135"/>
      <c r="AB458" s="135"/>
      <c r="AC458" s="135"/>
    </row>
    <row r="459" spans="1:29" ht="15.5" x14ac:dyDescent="0.35">
      <c r="A459" s="8"/>
      <c r="B459" s="10" t="s">
        <v>46</v>
      </c>
      <c r="C459" s="10" t="s">
        <v>1</v>
      </c>
      <c r="D459" s="10" t="s">
        <v>48</v>
      </c>
      <c r="F459" s="8"/>
      <c r="G459" s="10" t="s">
        <v>46</v>
      </c>
      <c r="H459" s="10" t="s">
        <v>1</v>
      </c>
      <c r="I459" s="10" t="s">
        <v>48</v>
      </c>
      <c r="K459" s="8"/>
      <c r="L459" s="10" t="s">
        <v>46</v>
      </c>
      <c r="M459" s="10" t="s">
        <v>1</v>
      </c>
      <c r="N459" s="10" t="s">
        <v>48</v>
      </c>
      <c r="P459" s="8"/>
      <c r="Q459" s="10" t="s">
        <v>46</v>
      </c>
      <c r="R459" s="10" t="s">
        <v>1</v>
      </c>
      <c r="S459" s="10" t="s">
        <v>48</v>
      </c>
      <c r="U459" s="8"/>
      <c r="V459" s="10" t="s">
        <v>46</v>
      </c>
      <c r="W459" s="10" t="s">
        <v>1</v>
      </c>
      <c r="X459" s="10" t="s">
        <v>48</v>
      </c>
      <c r="Z459" s="24"/>
      <c r="AA459" s="10" t="s">
        <v>46</v>
      </c>
      <c r="AB459" s="10" t="s">
        <v>1</v>
      </c>
      <c r="AC459" s="26" t="s">
        <v>48</v>
      </c>
    </row>
    <row r="460" spans="1:29" x14ac:dyDescent="0.35">
      <c r="A460" t="s">
        <v>85</v>
      </c>
      <c r="B460" s="1">
        <v>0</v>
      </c>
      <c r="C460" s="1">
        <v>17472124.310000002</v>
      </c>
      <c r="D460" s="2">
        <v>17472124.310000002</v>
      </c>
      <c r="F460" t="s">
        <v>85</v>
      </c>
      <c r="G460" s="2">
        <v>0</v>
      </c>
      <c r="H460" s="2">
        <v>0</v>
      </c>
      <c r="I460" s="2">
        <v>0</v>
      </c>
      <c r="K460" t="s">
        <v>85</v>
      </c>
      <c r="L460" s="2">
        <v>0</v>
      </c>
      <c r="M460" s="2">
        <v>1124641.43</v>
      </c>
      <c r="N460" s="2">
        <v>1124641.43</v>
      </c>
      <c r="P460" t="s">
        <v>85</v>
      </c>
      <c r="Q460" s="2">
        <v>0</v>
      </c>
      <c r="R460" s="2">
        <v>1124641.43</v>
      </c>
      <c r="S460" s="2">
        <v>1124641.43</v>
      </c>
      <c r="U460" t="s">
        <v>85</v>
      </c>
      <c r="V460" s="2">
        <v>0</v>
      </c>
      <c r="W460" s="2">
        <v>1486109.9599999997</v>
      </c>
      <c r="X460" s="2">
        <v>1486109.9599999997</v>
      </c>
      <c r="Z460" t="s">
        <v>85</v>
      </c>
      <c r="AA460" s="1">
        <v>0</v>
      </c>
      <c r="AB460" s="1">
        <v>14861372.920000004</v>
      </c>
      <c r="AC460" s="2">
        <v>14861372.920000004</v>
      </c>
    </row>
    <row r="461" spans="1:29" x14ac:dyDescent="0.35">
      <c r="A461" t="s">
        <v>19</v>
      </c>
      <c r="B461" s="1">
        <v>0</v>
      </c>
      <c r="C461" s="1">
        <v>149960.00000000003</v>
      </c>
      <c r="D461" s="2">
        <v>149960.00000000003</v>
      </c>
      <c r="F461" t="s">
        <v>19</v>
      </c>
      <c r="G461" s="2">
        <v>0</v>
      </c>
      <c r="H461" s="2">
        <v>21220.32</v>
      </c>
      <c r="I461" s="2">
        <v>21220.32</v>
      </c>
      <c r="K461" t="s">
        <v>19</v>
      </c>
      <c r="L461" s="2">
        <v>0</v>
      </c>
      <c r="M461" s="2">
        <v>17938.599999999999</v>
      </c>
      <c r="N461" s="2">
        <v>17938.599999999999</v>
      </c>
      <c r="P461" t="s">
        <v>19</v>
      </c>
      <c r="Q461" s="2">
        <v>0</v>
      </c>
      <c r="R461" s="2">
        <v>39158.92</v>
      </c>
      <c r="S461" s="2">
        <v>39158.92</v>
      </c>
      <c r="U461" t="s">
        <v>19</v>
      </c>
      <c r="V461" s="2">
        <v>0</v>
      </c>
      <c r="W461" s="2">
        <v>7819.4500000000044</v>
      </c>
      <c r="X461" s="2">
        <v>7819.4500000000044</v>
      </c>
      <c r="Z461" t="s">
        <v>19</v>
      </c>
      <c r="AA461" s="1">
        <v>0</v>
      </c>
      <c r="AB461" s="1">
        <v>102981.63000000003</v>
      </c>
      <c r="AC461" s="2">
        <v>102981.63000000003</v>
      </c>
    </row>
    <row r="462" spans="1:29" x14ac:dyDescent="0.35">
      <c r="A462" t="s">
        <v>86</v>
      </c>
      <c r="B462" s="1">
        <v>0</v>
      </c>
      <c r="C462" s="1">
        <v>0</v>
      </c>
      <c r="D462" s="2">
        <v>0</v>
      </c>
      <c r="F462" t="s">
        <v>86</v>
      </c>
      <c r="G462" s="2">
        <v>0</v>
      </c>
      <c r="H462" s="2">
        <v>0</v>
      </c>
      <c r="I462" s="2">
        <v>0</v>
      </c>
      <c r="K462" t="s">
        <v>86</v>
      </c>
      <c r="L462" s="2">
        <v>0</v>
      </c>
      <c r="M462" s="2">
        <v>0</v>
      </c>
      <c r="N462" s="2">
        <v>0</v>
      </c>
      <c r="P462" t="s">
        <v>86</v>
      </c>
      <c r="Q462" s="2">
        <v>0</v>
      </c>
      <c r="R462" s="2">
        <v>0</v>
      </c>
      <c r="S462" s="2">
        <v>0</v>
      </c>
      <c r="U462" t="s">
        <v>86</v>
      </c>
      <c r="V462" s="2">
        <v>0</v>
      </c>
      <c r="W462" s="2">
        <v>0</v>
      </c>
      <c r="X462" s="2">
        <v>0</v>
      </c>
      <c r="Z462" t="s">
        <v>86</v>
      </c>
      <c r="AA462" s="1">
        <v>0</v>
      </c>
      <c r="AB462" s="1">
        <v>0</v>
      </c>
      <c r="AC462" s="2">
        <v>0</v>
      </c>
    </row>
    <row r="463" spans="1:29" x14ac:dyDescent="0.35">
      <c r="A463" t="s">
        <v>87</v>
      </c>
      <c r="B463" s="1">
        <v>0</v>
      </c>
      <c r="C463" s="1">
        <v>0</v>
      </c>
      <c r="D463" s="2">
        <v>0</v>
      </c>
      <c r="F463" t="s">
        <v>87</v>
      </c>
      <c r="G463" s="2">
        <v>0</v>
      </c>
      <c r="H463" s="2">
        <v>0</v>
      </c>
      <c r="I463" s="2">
        <v>0</v>
      </c>
      <c r="K463" t="s">
        <v>87</v>
      </c>
      <c r="L463" s="2">
        <v>0</v>
      </c>
      <c r="M463" s="2">
        <v>0</v>
      </c>
      <c r="N463" s="2">
        <v>0</v>
      </c>
      <c r="P463" t="s">
        <v>87</v>
      </c>
      <c r="Q463" s="2">
        <v>0</v>
      </c>
      <c r="R463" s="2">
        <v>0</v>
      </c>
      <c r="S463" s="2">
        <v>0</v>
      </c>
      <c r="U463" t="s">
        <v>87</v>
      </c>
      <c r="V463" s="2">
        <v>0</v>
      </c>
      <c r="W463" s="2">
        <v>0</v>
      </c>
      <c r="X463" s="2">
        <v>0</v>
      </c>
      <c r="Z463" t="s">
        <v>87</v>
      </c>
      <c r="AA463" s="1">
        <v>0</v>
      </c>
      <c r="AB463" s="1">
        <v>0</v>
      </c>
      <c r="AC463" s="2">
        <v>0</v>
      </c>
    </row>
    <row r="464" spans="1:29" x14ac:dyDescent="0.35">
      <c r="A464" s="19" t="s">
        <v>18</v>
      </c>
      <c r="B464" s="20">
        <v>0</v>
      </c>
      <c r="C464" s="20">
        <v>17622084.310000002</v>
      </c>
      <c r="D464" s="20">
        <v>17622084.310000002</v>
      </c>
      <c r="F464" s="5" t="s">
        <v>18</v>
      </c>
      <c r="G464" s="235">
        <v>0</v>
      </c>
      <c r="H464" s="235">
        <v>21220.32</v>
      </c>
      <c r="I464" s="235">
        <v>21220.32</v>
      </c>
      <c r="K464" s="5" t="s">
        <v>18</v>
      </c>
      <c r="L464" s="235">
        <v>0</v>
      </c>
      <c r="M464" s="235">
        <v>1142580.03</v>
      </c>
      <c r="N464" s="235">
        <v>1142580.03</v>
      </c>
      <c r="P464" s="5" t="s">
        <v>18</v>
      </c>
      <c r="Q464" s="235">
        <v>0</v>
      </c>
      <c r="R464" s="235">
        <v>1163800.3499999999</v>
      </c>
      <c r="S464" s="235">
        <v>1163800.3499999999</v>
      </c>
      <c r="U464" s="19" t="s">
        <v>18</v>
      </c>
      <c r="V464" s="235">
        <v>0</v>
      </c>
      <c r="W464" s="235">
        <v>1493929.4099999997</v>
      </c>
      <c r="X464" s="235">
        <v>1493929.4099999997</v>
      </c>
      <c r="Z464" s="19" t="s">
        <v>18</v>
      </c>
      <c r="AA464" s="20">
        <v>0</v>
      </c>
      <c r="AB464" s="20">
        <v>14964354.550000003</v>
      </c>
      <c r="AC464" s="20">
        <v>14964354.550000003</v>
      </c>
    </row>
    <row r="465" spans="1:29" x14ac:dyDescent="0.35">
      <c r="B465" s="1"/>
      <c r="C465" s="15"/>
      <c r="D465" s="12"/>
      <c r="F465" s="6"/>
      <c r="G465" s="7"/>
      <c r="H465" s="7"/>
      <c r="I465" s="7"/>
      <c r="K465" s="6"/>
      <c r="L465" s="7"/>
      <c r="M465" s="7"/>
      <c r="N465" s="7"/>
      <c r="P465" s="6"/>
      <c r="Q465" s="7"/>
      <c r="R465" s="7"/>
      <c r="S465" s="7"/>
      <c r="V465" s="2"/>
      <c r="W465" s="15"/>
      <c r="X465" s="2"/>
      <c r="AA465" s="1"/>
      <c r="AB465" s="15"/>
      <c r="AC465" s="2"/>
    </row>
    <row r="466" spans="1:29" x14ac:dyDescent="0.35">
      <c r="B466" s="1"/>
      <c r="C466" s="15"/>
      <c r="D466" s="12"/>
      <c r="F466" s="234"/>
      <c r="K466" s="234"/>
      <c r="P466" s="234"/>
      <c r="V466" s="2"/>
      <c r="W466" s="15"/>
      <c r="X466" s="2"/>
      <c r="AA466" s="1"/>
      <c r="AB466" s="15"/>
      <c r="AC466" s="2"/>
    </row>
    <row r="467" spans="1:29" x14ac:dyDescent="0.35">
      <c r="A467" t="s">
        <v>12</v>
      </c>
      <c r="B467" s="1">
        <v>35554710.099999994</v>
      </c>
      <c r="C467" s="1">
        <v>150555546.92305815</v>
      </c>
      <c r="D467" s="2">
        <v>186110257.02305815</v>
      </c>
      <c r="F467" t="s">
        <v>12</v>
      </c>
      <c r="G467" s="2">
        <v>12826869.719999999</v>
      </c>
      <c r="H467" s="2">
        <v>21853654.912850853</v>
      </c>
      <c r="I467" s="2">
        <v>34680524.632850856</v>
      </c>
      <c r="K467" t="s">
        <v>12</v>
      </c>
      <c r="L467" s="2">
        <v>9233818.9599999972</v>
      </c>
      <c r="M467" s="2">
        <v>32995576.508865211</v>
      </c>
      <c r="N467" s="2">
        <v>42229395.468865208</v>
      </c>
      <c r="P467" t="s">
        <v>12</v>
      </c>
      <c r="Q467" s="2">
        <v>22060688.679999996</v>
      </c>
      <c r="R467" s="2">
        <v>54849231.421716064</v>
      </c>
      <c r="S467" s="2">
        <v>76909920.101716056</v>
      </c>
      <c r="U467" t="s">
        <v>12</v>
      </c>
      <c r="V467" s="2">
        <v>6806232.4600000009</v>
      </c>
      <c r="W467" s="2">
        <v>44105693.666198418</v>
      </c>
      <c r="X467" s="2">
        <v>50911926.126198418</v>
      </c>
      <c r="Z467" t="s">
        <v>12</v>
      </c>
      <c r="AA467" s="1">
        <v>6687788.9599999972</v>
      </c>
      <c r="AB467" s="1">
        <v>51600621.83514367</v>
      </c>
      <c r="AC467" s="2">
        <v>58288410.795143671</v>
      </c>
    </row>
    <row r="468" spans="1:29" x14ac:dyDescent="0.35">
      <c r="A468" t="s">
        <v>3</v>
      </c>
      <c r="B468" s="1">
        <v>-30627281.539999995</v>
      </c>
      <c r="C468" s="1">
        <v>-22234764.734928329</v>
      </c>
      <c r="D468" s="2">
        <v>-52862046.274928324</v>
      </c>
      <c r="F468" t="s">
        <v>3</v>
      </c>
      <c r="G468" s="2">
        <v>-11925762.830000002</v>
      </c>
      <c r="H468" s="2">
        <v>-4232245.1296416614</v>
      </c>
      <c r="I468" s="2">
        <v>-16158007.959641663</v>
      </c>
      <c r="K468" t="s">
        <v>3</v>
      </c>
      <c r="L468" s="2">
        <v>-8161592.0899999924</v>
      </c>
      <c r="M468" s="2">
        <v>-4095536.9050815227</v>
      </c>
      <c r="N468" s="2">
        <v>-12257128.995081514</v>
      </c>
      <c r="P468" t="s">
        <v>3</v>
      </c>
      <c r="Q468" s="2">
        <v>-20087354.919999994</v>
      </c>
      <c r="R468" s="2">
        <v>-8327782.0347231841</v>
      </c>
      <c r="S468" s="2">
        <v>-28415136.954723179</v>
      </c>
      <c r="U468" t="s">
        <v>3</v>
      </c>
      <c r="V468" s="2">
        <v>-6404132.6700000055</v>
      </c>
      <c r="W468" s="2">
        <v>-4279147.2617385099</v>
      </c>
      <c r="X468" s="2">
        <v>-10683279.931738514</v>
      </c>
      <c r="Z468" t="s">
        <v>3</v>
      </c>
      <c r="AA468" s="1">
        <v>-4135793.9499999955</v>
      </c>
      <c r="AB468" s="1">
        <v>-9627835.4384666346</v>
      </c>
      <c r="AC468" s="2">
        <v>-13763629.38846663</v>
      </c>
    </row>
    <row r="469" spans="1:29" x14ac:dyDescent="0.35">
      <c r="A469" t="s">
        <v>88</v>
      </c>
      <c r="B469" s="1">
        <v>16910792.09</v>
      </c>
      <c r="C469" s="1">
        <v>39199903.843821749</v>
      </c>
      <c r="D469" s="2">
        <v>56110695.933821753</v>
      </c>
      <c r="F469" t="s">
        <v>88</v>
      </c>
      <c r="G469" s="2">
        <v>5462878.1900000004</v>
      </c>
      <c r="H469" s="2">
        <v>2483158.5769546498</v>
      </c>
      <c r="I469" s="2">
        <v>7946036.7669546502</v>
      </c>
      <c r="K469" t="s">
        <v>88</v>
      </c>
      <c r="L469" s="2">
        <v>3780161.5299999984</v>
      </c>
      <c r="M469" s="2">
        <v>12723472.77910264</v>
      </c>
      <c r="N469" s="2">
        <v>16503634.30910264</v>
      </c>
      <c r="P469" t="s">
        <v>88</v>
      </c>
      <c r="Q469" s="2">
        <v>9243039.7199999988</v>
      </c>
      <c r="R469" s="2">
        <v>15206631.35605729</v>
      </c>
      <c r="S469" s="2">
        <v>24449671.076057289</v>
      </c>
      <c r="U469" t="s">
        <v>88</v>
      </c>
      <c r="V469" s="2">
        <v>4236541.2000000011</v>
      </c>
      <c r="W469" s="2">
        <v>11250504.680569205</v>
      </c>
      <c r="X469" s="2">
        <v>15487045.880569207</v>
      </c>
      <c r="Z469" t="s">
        <v>88</v>
      </c>
      <c r="AA469" s="1">
        <v>3431211.17</v>
      </c>
      <c r="AB469" s="1">
        <v>12742767.807195254</v>
      </c>
      <c r="AC469" s="2">
        <v>16173978.977195257</v>
      </c>
    </row>
    <row r="470" spans="1:29" x14ac:dyDescent="0.35">
      <c r="A470" t="s">
        <v>13</v>
      </c>
      <c r="B470" s="1">
        <v>-1761089.73</v>
      </c>
      <c r="C470" s="1">
        <v>-814513.97</v>
      </c>
      <c r="D470" s="2">
        <v>-2575603.7000000002</v>
      </c>
      <c r="F470" t="s">
        <v>13</v>
      </c>
      <c r="G470" s="2">
        <v>-651085.18999999994</v>
      </c>
      <c r="H470" s="2">
        <v>-129851.23999999999</v>
      </c>
      <c r="I470" s="2">
        <v>-780936.42999999993</v>
      </c>
      <c r="K470" t="s">
        <v>13</v>
      </c>
      <c r="L470" s="2">
        <v>-506067.62000000011</v>
      </c>
      <c r="M470" s="2">
        <v>-133510.79000000004</v>
      </c>
      <c r="N470" s="2">
        <v>-639578.41000000015</v>
      </c>
      <c r="P470" t="s">
        <v>13</v>
      </c>
      <c r="Q470" s="2">
        <v>-1157152.81</v>
      </c>
      <c r="R470" s="2">
        <v>-263362.03000000003</v>
      </c>
      <c r="S470" s="2">
        <v>-1420514.84</v>
      </c>
      <c r="U470" t="s">
        <v>13</v>
      </c>
      <c r="V470" s="2">
        <v>-367544.60999999987</v>
      </c>
      <c r="W470" s="2">
        <v>-184627.15999999997</v>
      </c>
      <c r="X470" s="2">
        <v>-552171.76999999979</v>
      </c>
      <c r="Z470" t="s">
        <v>13</v>
      </c>
      <c r="AA470" s="1">
        <v>-236392.31000000006</v>
      </c>
      <c r="AB470" s="1">
        <v>-366524.77999999997</v>
      </c>
      <c r="AC470" s="2">
        <v>-602917.09000000032</v>
      </c>
    </row>
    <row r="471" spans="1:29" x14ac:dyDescent="0.35">
      <c r="A471" s="19" t="s">
        <v>14</v>
      </c>
      <c r="B471" s="20">
        <v>20077130.919999998</v>
      </c>
      <c r="C471" s="20">
        <v>166706172.06195158</v>
      </c>
      <c r="D471" s="20">
        <v>186783302.98195156</v>
      </c>
      <c r="F471" s="5" t="s">
        <v>14</v>
      </c>
      <c r="G471" s="235">
        <v>5712899.8899999969</v>
      </c>
      <c r="H471" s="235">
        <v>19974717.120163839</v>
      </c>
      <c r="I471" s="235">
        <v>25687617.01016384</v>
      </c>
      <c r="K471" s="5" t="s">
        <v>14</v>
      </c>
      <c r="L471" s="235">
        <v>4346320.7800000031</v>
      </c>
      <c r="M471" s="235">
        <v>41490001.592886329</v>
      </c>
      <c r="N471" s="235">
        <v>45836322.37288633</v>
      </c>
      <c r="P471" s="5" t="s">
        <v>14</v>
      </c>
      <c r="Q471" s="235">
        <v>10059220.67</v>
      </c>
      <c r="R471" s="235">
        <v>61464718.713050172</v>
      </c>
      <c r="S471" s="235">
        <v>71523939.383050159</v>
      </c>
      <c r="U471" s="19" t="s">
        <v>14</v>
      </c>
      <c r="V471" s="235">
        <v>4271096.3799999971</v>
      </c>
      <c r="W471" s="235">
        <v>50892423.925029114</v>
      </c>
      <c r="X471" s="235">
        <v>55163520.305029102</v>
      </c>
      <c r="Z471" s="19" t="s">
        <v>14</v>
      </c>
      <c r="AA471" s="20">
        <v>5746813.870000001</v>
      </c>
      <c r="AB471" s="20">
        <v>54349029.423872292</v>
      </c>
      <c r="AC471" s="20">
        <v>60095843.293872304</v>
      </c>
    </row>
    <row r="472" spans="1:29" x14ac:dyDescent="0.35">
      <c r="B472" s="2"/>
      <c r="C472" s="15"/>
      <c r="D472" s="12"/>
      <c r="F472" s="6"/>
      <c r="G472" s="7"/>
      <c r="H472" s="7"/>
      <c r="I472" s="7"/>
      <c r="K472" s="6"/>
      <c r="L472" s="7"/>
      <c r="M472" s="7"/>
      <c r="N472" s="7"/>
      <c r="P472" s="6"/>
      <c r="Q472" s="7"/>
      <c r="R472" s="7"/>
      <c r="S472" s="7"/>
      <c r="V472" s="2"/>
      <c r="W472" s="15"/>
      <c r="X472" s="2"/>
      <c r="AA472" s="12"/>
      <c r="AB472" s="15"/>
      <c r="AC472" s="2"/>
    </row>
    <row r="473" spans="1:29" x14ac:dyDescent="0.35">
      <c r="B473" s="2"/>
      <c r="C473" s="15"/>
      <c r="D473" s="12"/>
      <c r="F473" s="6"/>
      <c r="G473" s="7"/>
      <c r="H473" s="7"/>
      <c r="I473" s="7"/>
      <c r="K473" s="6"/>
      <c r="L473" s="7"/>
      <c r="M473" s="7"/>
      <c r="N473" s="7"/>
      <c r="P473" s="6"/>
      <c r="Q473" s="7"/>
      <c r="R473" s="7"/>
      <c r="S473" s="7"/>
      <c r="V473" s="2"/>
      <c r="W473" s="15"/>
      <c r="X473" s="2"/>
      <c r="AA473" s="12"/>
      <c r="AB473" s="15"/>
      <c r="AC473" s="2"/>
    </row>
    <row r="474" spans="1:29" x14ac:dyDescent="0.35">
      <c r="A474" t="s">
        <v>15</v>
      </c>
      <c r="B474" s="1">
        <v>0</v>
      </c>
      <c r="C474" s="1">
        <v>12327127.519728573</v>
      </c>
      <c r="D474" s="2">
        <v>12327127.519728573</v>
      </c>
      <c r="F474" t="s">
        <v>15</v>
      </c>
      <c r="G474" s="2">
        <v>0</v>
      </c>
      <c r="H474" s="2">
        <v>1009929.6398273117</v>
      </c>
      <c r="I474" s="2">
        <v>1009929.6398273117</v>
      </c>
      <c r="K474" t="s">
        <v>15</v>
      </c>
      <c r="L474" s="2">
        <v>0</v>
      </c>
      <c r="M474" s="2">
        <v>2503029.4959923001</v>
      </c>
      <c r="N474" s="2">
        <v>2503029.4959923001</v>
      </c>
      <c r="P474" t="s">
        <v>15</v>
      </c>
      <c r="Q474" s="2">
        <v>0</v>
      </c>
      <c r="R474" s="2">
        <v>3512959.1358196121</v>
      </c>
      <c r="S474" s="2">
        <v>3512959.1358196121</v>
      </c>
      <c r="U474" t="s">
        <v>15</v>
      </c>
      <c r="V474" s="2">
        <v>0</v>
      </c>
      <c r="W474" s="2">
        <v>3930140.7876734342</v>
      </c>
      <c r="X474" s="2">
        <v>3930140.7876734342</v>
      </c>
      <c r="Z474" t="s">
        <v>15</v>
      </c>
      <c r="AA474" s="1">
        <v>0</v>
      </c>
      <c r="AB474" s="1">
        <v>4884027.5962355267</v>
      </c>
      <c r="AC474" s="2">
        <v>4884027.5962355267</v>
      </c>
    </row>
    <row r="475" spans="1:29" x14ac:dyDescent="0.35">
      <c r="A475" t="s">
        <v>16</v>
      </c>
      <c r="B475" s="1">
        <v>0</v>
      </c>
      <c r="C475" s="1">
        <v>-3124499.3468530951</v>
      </c>
      <c r="D475" s="2">
        <v>-3124499.3468530951</v>
      </c>
      <c r="F475" t="s">
        <v>16</v>
      </c>
      <c r="G475" s="2">
        <v>0</v>
      </c>
      <c r="H475" s="2">
        <v>-511457.32</v>
      </c>
      <c r="I475" s="2">
        <v>-511457.32</v>
      </c>
      <c r="K475" t="s">
        <v>16</v>
      </c>
      <c r="L475" s="2">
        <v>0</v>
      </c>
      <c r="M475" s="2">
        <v>-206037.80610301386</v>
      </c>
      <c r="N475" s="2">
        <v>-206037.80610301386</v>
      </c>
      <c r="P475" t="s">
        <v>16</v>
      </c>
      <c r="Q475" s="2">
        <v>0</v>
      </c>
      <c r="R475" s="2">
        <v>-717495.12610301387</v>
      </c>
      <c r="S475" s="2">
        <v>-717495.12610301387</v>
      </c>
      <c r="U475" t="s">
        <v>16</v>
      </c>
      <c r="V475" s="2">
        <v>0</v>
      </c>
      <c r="W475" s="2">
        <v>-1079732.7339676986</v>
      </c>
      <c r="X475" s="2">
        <v>-1079732.7339676986</v>
      </c>
      <c r="Z475" t="s">
        <v>16</v>
      </c>
      <c r="AA475" s="1">
        <v>0</v>
      </c>
      <c r="AB475" s="1">
        <v>-1327271.4867823827</v>
      </c>
      <c r="AC475" s="2">
        <v>-1327271.4867823827</v>
      </c>
    </row>
    <row r="476" spans="1:29" x14ac:dyDescent="0.35">
      <c r="A476" s="19" t="s">
        <v>17</v>
      </c>
      <c r="B476" s="20">
        <v>0</v>
      </c>
      <c r="C476" s="20">
        <v>9202628.1728754789</v>
      </c>
      <c r="D476" s="20">
        <v>9202628.1728754789</v>
      </c>
      <c r="F476" s="5" t="s">
        <v>17</v>
      </c>
      <c r="G476" s="235">
        <v>0</v>
      </c>
      <c r="H476" s="235">
        <v>498472.31982731173</v>
      </c>
      <c r="I476" s="235">
        <v>498472.31982731173</v>
      </c>
      <c r="K476" s="5" t="s">
        <v>17</v>
      </c>
      <c r="L476" s="235">
        <v>0</v>
      </c>
      <c r="M476" s="235">
        <v>2296991.6898892862</v>
      </c>
      <c r="N476" s="235">
        <v>2296991.6898892862</v>
      </c>
      <c r="P476" s="5" t="s">
        <v>17</v>
      </c>
      <c r="Q476" s="235">
        <v>0</v>
      </c>
      <c r="R476" s="235">
        <v>2795464.0097165983</v>
      </c>
      <c r="S476" s="235">
        <v>2795464.0097165983</v>
      </c>
      <c r="U476" s="19" t="s">
        <v>17</v>
      </c>
      <c r="V476" s="235">
        <v>0</v>
      </c>
      <c r="W476" s="235">
        <v>2850408.0537057356</v>
      </c>
      <c r="X476" s="235">
        <v>2850408.0537057356</v>
      </c>
      <c r="Z476" s="19" t="s">
        <v>17</v>
      </c>
      <c r="AA476" s="20">
        <v>0</v>
      </c>
      <c r="AB476" s="20">
        <v>3556756.1094531449</v>
      </c>
      <c r="AC476" s="20">
        <v>3556756.1094531449</v>
      </c>
    </row>
    <row r="477" spans="1:29" x14ac:dyDescent="0.35">
      <c r="B477" s="1"/>
      <c r="C477" s="15"/>
      <c r="D477" s="12"/>
      <c r="F477" s="6"/>
      <c r="G477" s="7"/>
      <c r="H477" s="7"/>
      <c r="I477" s="7"/>
      <c r="K477" s="6"/>
      <c r="L477" s="7"/>
      <c r="M477" s="7"/>
      <c r="N477" s="7"/>
      <c r="P477" s="6"/>
      <c r="Q477" s="7"/>
      <c r="R477" s="7"/>
      <c r="S477" s="7"/>
      <c r="V477" s="2"/>
      <c r="W477" s="15"/>
      <c r="X477" s="2"/>
      <c r="AA477" s="1"/>
      <c r="AB477" s="15"/>
      <c r="AC477" s="2"/>
    </row>
    <row r="478" spans="1:29" x14ac:dyDescent="0.35">
      <c r="B478" s="1"/>
      <c r="C478" s="15"/>
      <c r="D478" s="12"/>
      <c r="V478" s="2"/>
      <c r="W478" s="15"/>
      <c r="X478" s="2"/>
      <c r="AA478" s="1"/>
      <c r="AB478" s="15"/>
      <c r="AC478" s="2"/>
    </row>
    <row r="479" spans="1:29" x14ac:dyDescent="0.35">
      <c r="A479" s="6" t="s">
        <v>20</v>
      </c>
      <c r="B479" s="1">
        <v>0</v>
      </c>
      <c r="C479" s="1">
        <v>0</v>
      </c>
      <c r="D479" s="216">
        <v>0</v>
      </c>
      <c r="F479" s="16" t="s">
        <v>20</v>
      </c>
      <c r="G479" s="23">
        <v>0</v>
      </c>
      <c r="H479" s="23">
        <v>0</v>
      </c>
      <c r="I479" s="23">
        <v>0</v>
      </c>
      <c r="K479" s="14" t="s">
        <v>20</v>
      </c>
      <c r="L479" s="23">
        <v>0</v>
      </c>
      <c r="M479" s="23">
        <v>0</v>
      </c>
      <c r="N479" s="23">
        <v>0</v>
      </c>
      <c r="P479" s="16" t="s">
        <v>20</v>
      </c>
      <c r="Q479" s="23">
        <v>0</v>
      </c>
      <c r="R479" s="23">
        <v>0</v>
      </c>
      <c r="S479" s="23">
        <v>0</v>
      </c>
      <c r="U479" s="16" t="s">
        <v>20</v>
      </c>
      <c r="V479" s="2">
        <v>0</v>
      </c>
      <c r="W479" s="2">
        <v>0</v>
      </c>
      <c r="X479" s="7">
        <v>0</v>
      </c>
      <c r="Z479" s="16" t="s">
        <v>20</v>
      </c>
      <c r="AA479" s="27">
        <v>0</v>
      </c>
      <c r="AB479" s="28">
        <v>0</v>
      </c>
      <c r="AC479" s="17">
        <v>0</v>
      </c>
    </row>
    <row r="480" spans="1:29" x14ac:dyDescent="0.35">
      <c r="A480" s="13"/>
      <c r="B480" s="217"/>
      <c r="C480" s="156"/>
      <c r="D480" s="215"/>
      <c r="F480" s="6"/>
      <c r="G480" s="103"/>
      <c r="H480" s="103"/>
      <c r="I480" s="103"/>
      <c r="K480" s="6"/>
      <c r="L480" s="103"/>
      <c r="M480" s="103"/>
      <c r="N480" s="103"/>
      <c r="P480" s="6"/>
      <c r="Q480" s="103"/>
      <c r="R480" s="103"/>
      <c r="S480" s="103"/>
      <c r="V480" s="155"/>
      <c r="W480" s="156"/>
      <c r="X480" s="155"/>
      <c r="AA480" s="1"/>
      <c r="AB480" s="15"/>
      <c r="AC480" s="2"/>
    </row>
    <row r="481" spans="1:29" x14ac:dyDescent="0.35">
      <c r="B481" s="1"/>
      <c r="C481" s="15"/>
      <c r="D481" s="12"/>
      <c r="V481" s="2"/>
      <c r="W481" s="15"/>
      <c r="X481" s="2"/>
      <c r="AC481" s="2"/>
    </row>
    <row r="482" spans="1:29" x14ac:dyDescent="0.35">
      <c r="B482" s="1"/>
      <c r="C482" s="15"/>
      <c r="D482" s="12"/>
      <c r="F482" t="s">
        <v>0</v>
      </c>
      <c r="G482" s="2">
        <v>0</v>
      </c>
      <c r="H482" s="2">
        <v>5893362</v>
      </c>
      <c r="I482" s="2">
        <v>5893362</v>
      </c>
      <c r="K482" t="s">
        <v>0</v>
      </c>
      <c r="L482" s="2">
        <v>0</v>
      </c>
      <c r="M482" s="2">
        <v>4726466</v>
      </c>
      <c r="N482" s="2">
        <v>4726466</v>
      </c>
      <c r="P482" t="s">
        <v>0</v>
      </c>
      <c r="Q482" s="2">
        <v>0</v>
      </c>
      <c r="R482" s="2">
        <v>10619828</v>
      </c>
      <c r="S482" s="2">
        <v>10619828</v>
      </c>
      <c r="U482" t="s">
        <v>0</v>
      </c>
      <c r="V482" s="2">
        <v>0</v>
      </c>
      <c r="W482" s="2">
        <v>5619914</v>
      </c>
      <c r="X482" s="2">
        <v>5619914</v>
      </c>
      <c r="AC482" s="2"/>
    </row>
    <row r="483" spans="1:29" x14ac:dyDescent="0.35">
      <c r="A483" t="s">
        <v>0</v>
      </c>
      <c r="B483" s="1">
        <v>0</v>
      </c>
      <c r="C483" s="1">
        <v>21478646</v>
      </c>
      <c r="D483" s="2">
        <v>21478646</v>
      </c>
      <c r="F483" t="s">
        <v>2</v>
      </c>
      <c r="G483" s="2">
        <v>0</v>
      </c>
      <c r="H483" s="2">
        <v>-3855806.4131103987</v>
      </c>
      <c r="I483" s="2">
        <v>-3855806.4131103987</v>
      </c>
      <c r="K483" t="s">
        <v>2</v>
      </c>
      <c r="L483" s="2">
        <v>0</v>
      </c>
      <c r="M483" s="2">
        <v>-3328443.2961475076</v>
      </c>
      <c r="N483" s="2">
        <v>-3328443.2961475076</v>
      </c>
      <c r="P483" t="s">
        <v>2</v>
      </c>
      <c r="Q483" s="2">
        <v>0</v>
      </c>
      <c r="R483" s="2">
        <v>-7184249.7092579063</v>
      </c>
      <c r="S483" s="2">
        <v>-7184249.7092579063</v>
      </c>
      <c r="U483" t="s">
        <v>2</v>
      </c>
      <c r="V483" s="2">
        <v>0</v>
      </c>
      <c r="W483" s="2">
        <v>-2962840.9079428576</v>
      </c>
      <c r="X483" s="2">
        <v>-2962840.9079428576</v>
      </c>
      <c r="Z483" t="s">
        <v>0</v>
      </c>
      <c r="AA483" s="1">
        <v>0</v>
      </c>
      <c r="AB483" s="1">
        <v>23042981.709257908</v>
      </c>
      <c r="AC483" s="2">
        <v>23042981.709257908</v>
      </c>
    </row>
    <row r="484" spans="1:29" x14ac:dyDescent="0.35">
      <c r="A484" t="s">
        <v>2</v>
      </c>
      <c r="B484" s="1">
        <v>0</v>
      </c>
      <c r="C484" s="1">
        <v>-14507161.530117329</v>
      </c>
      <c r="D484" s="2">
        <v>-14507161.530117329</v>
      </c>
      <c r="F484" s="5" t="s">
        <v>21</v>
      </c>
      <c r="G484" s="235">
        <v>0</v>
      </c>
      <c r="H484" s="235">
        <v>2037555.5868896013</v>
      </c>
      <c r="I484" s="235">
        <v>2037555.5868896013</v>
      </c>
      <c r="K484" s="5" t="s">
        <v>21</v>
      </c>
      <c r="L484" s="235">
        <v>0</v>
      </c>
      <c r="M484" s="235">
        <v>1398022.7038524924</v>
      </c>
      <c r="N484" s="235">
        <v>1398022.7038524924</v>
      </c>
      <c r="P484" s="5" t="s">
        <v>21</v>
      </c>
      <c r="Q484" s="235">
        <v>0</v>
      </c>
      <c r="R484" s="235">
        <v>3435578.2907420937</v>
      </c>
      <c r="S484" s="235">
        <v>3435578.2907420937</v>
      </c>
      <c r="U484" s="5" t="s">
        <v>21</v>
      </c>
      <c r="V484" s="235">
        <v>0</v>
      </c>
      <c r="W484" s="235">
        <v>2657073.0920571424</v>
      </c>
      <c r="X484" s="235">
        <v>2657073.0920571424</v>
      </c>
      <c r="Z484" t="s">
        <v>2</v>
      </c>
      <c r="AA484" s="1">
        <v>0</v>
      </c>
      <c r="AB484" s="1">
        <v>-14979898.912916567</v>
      </c>
      <c r="AC484" s="2">
        <v>-14979898.912916567</v>
      </c>
    </row>
    <row r="485" spans="1:29" ht="15" thickBot="1" x14ac:dyDescent="0.4">
      <c r="A485" s="19" t="s">
        <v>21</v>
      </c>
      <c r="B485" s="20">
        <v>0</v>
      </c>
      <c r="C485" s="20">
        <v>6971484.4698826708</v>
      </c>
      <c r="D485" s="20">
        <v>6971484.4698826708</v>
      </c>
      <c r="F485" s="236" t="s">
        <v>22</v>
      </c>
      <c r="G485" s="237">
        <v>5712900</v>
      </c>
      <c r="H485" s="237">
        <v>22531965</v>
      </c>
      <c r="I485" s="237">
        <v>28244865</v>
      </c>
      <c r="K485" s="236" t="s">
        <v>22</v>
      </c>
      <c r="L485" s="237">
        <v>4346321</v>
      </c>
      <c r="M485" s="237">
        <v>46327596</v>
      </c>
      <c r="N485" s="237">
        <v>50673917</v>
      </c>
      <c r="P485" s="236" t="s">
        <v>22</v>
      </c>
      <c r="Q485" s="237">
        <v>10059221</v>
      </c>
      <c r="R485" s="237">
        <v>68859561</v>
      </c>
      <c r="S485" s="237">
        <v>78918782</v>
      </c>
      <c r="U485" s="236" t="s">
        <v>22</v>
      </c>
      <c r="V485" s="237">
        <v>4271096</v>
      </c>
      <c r="W485" s="237">
        <v>57893834</v>
      </c>
      <c r="X485" s="237">
        <v>62164931</v>
      </c>
      <c r="Z485" s="19" t="s">
        <v>21</v>
      </c>
      <c r="AA485" s="20">
        <v>-14330317</v>
      </c>
      <c r="AB485" s="20">
        <v>-119781910.53011733</v>
      </c>
      <c r="AC485" s="20">
        <v>-134112228.53011733</v>
      </c>
    </row>
    <row r="486" spans="1:29" ht="15" thickTop="1" x14ac:dyDescent="0.35">
      <c r="B486" s="2"/>
      <c r="C486" s="15"/>
      <c r="D486" s="12"/>
      <c r="F486" s="6"/>
      <c r="G486" s="7"/>
      <c r="H486" s="7"/>
      <c r="I486" s="7"/>
      <c r="K486" s="6"/>
      <c r="L486" s="7"/>
      <c r="M486" s="7"/>
      <c r="N486" s="7"/>
      <c r="P486" s="6"/>
      <c r="Q486" s="7"/>
      <c r="R486" s="7"/>
      <c r="S486" s="7"/>
      <c r="V486" s="2"/>
      <c r="W486" s="15"/>
      <c r="X486" s="2"/>
      <c r="AA486" s="2"/>
      <c r="AB486" s="15"/>
      <c r="AC486" s="2"/>
    </row>
    <row r="487" spans="1:29" x14ac:dyDescent="0.35">
      <c r="A487" s="234" t="s">
        <v>23</v>
      </c>
      <c r="B487" s="7"/>
      <c r="C487" s="7"/>
      <c r="D487" s="7"/>
      <c r="F487" s="234" t="s">
        <v>23</v>
      </c>
      <c r="G487" s="7"/>
      <c r="H487" s="7"/>
      <c r="I487" s="7"/>
      <c r="K487" s="234" t="s">
        <v>23</v>
      </c>
      <c r="L487" s="7"/>
      <c r="M487" s="7"/>
      <c r="N487" s="7"/>
      <c r="P487" s="234" t="s">
        <v>23</v>
      </c>
      <c r="Q487" s="7"/>
      <c r="R487" s="7"/>
      <c r="S487" s="7"/>
      <c r="U487" s="234" t="s">
        <v>23</v>
      </c>
      <c r="V487" s="7"/>
      <c r="W487" s="7"/>
      <c r="X487" s="7"/>
      <c r="Z487" s="234" t="s">
        <v>23</v>
      </c>
      <c r="AA487" s="7"/>
      <c r="AB487" s="7"/>
      <c r="AC487" s="7"/>
    </row>
    <row r="488" spans="1:29" x14ac:dyDescent="0.35">
      <c r="A488" t="s">
        <v>241</v>
      </c>
      <c r="B488" s="1">
        <v>0</v>
      </c>
      <c r="C488" s="1">
        <v>0</v>
      </c>
      <c r="D488" s="2">
        <v>0</v>
      </c>
      <c r="F488" t="s">
        <v>241</v>
      </c>
      <c r="G488" s="2">
        <v>0</v>
      </c>
      <c r="H488" s="2">
        <v>0</v>
      </c>
      <c r="I488" s="2">
        <v>0</v>
      </c>
      <c r="K488" t="s">
        <v>241</v>
      </c>
      <c r="L488" s="2">
        <v>0</v>
      </c>
      <c r="M488" s="2">
        <v>0</v>
      </c>
      <c r="N488" s="2">
        <v>0</v>
      </c>
      <c r="P488" t="s">
        <v>241</v>
      </c>
      <c r="Q488" s="2">
        <v>0</v>
      </c>
      <c r="R488" s="2">
        <v>0</v>
      </c>
      <c r="S488" s="2">
        <v>0</v>
      </c>
      <c r="U488" t="s">
        <v>241</v>
      </c>
      <c r="V488" s="2">
        <v>0</v>
      </c>
      <c r="W488" s="2">
        <v>0</v>
      </c>
      <c r="X488" s="2">
        <v>0</v>
      </c>
      <c r="Z488" t="s">
        <v>241</v>
      </c>
      <c r="AA488" s="2">
        <v>0</v>
      </c>
      <c r="AB488" s="2">
        <v>0</v>
      </c>
      <c r="AC488" s="2">
        <v>0</v>
      </c>
    </row>
    <row r="489" spans="1:29" x14ac:dyDescent="0.35">
      <c r="A489" t="s">
        <v>231</v>
      </c>
      <c r="B489" s="1">
        <v>0</v>
      </c>
      <c r="C489" s="1">
        <v>0</v>
      </c>
      <c r="D489" s="2">
        <v>0</v>
      </c>
      <c r="F489" t="s">
        <v>231</v>
      </c>
      <c r="G489" s="2">
        <v>0</v>
      </c>
      <c r="H489" s="2">
        <v>0</v>
      </c>
      <c r="I489" s="2">
        <v>0</v>
      </c>
      <c r="K489" t="s">
        <v>231</v>
      </c>
      <c r="L489" s="2">
        <v>0</v>
      </c>
      <c r="M489" s="2">
        <v>0</v>
      </c>
      <c r="N489" s="2">
        <v>0</v>
      </c>
      <c r="P489" t="s">
        <v>231</v>
      </c>
      <c r="Q489" s="2">
        <v>0</v>
      </c>
      <c r="R489" s="2">
        <v>0</v>
      </c>
      <c r="S489" s="2">
        <v>0</v>
      </c>
      <c r="U489" t="s">
        <v>231</v>
      </c>
      <c r="V489" s="2">
        <v>0</v>
      </c>
      <c r="W489" s="2">
        <v>0</v>
      </c>
      <c r="X489" s="2">
        <v>0</v>
      </c>
      <c r="Z489" t="s">
        <v>231</v>
      </c>
      <c r="AA489" s="2">
        <v>0</v>
      </c>
      <c r="AB489" s="2">
        <v>0</v>
      </c>
      <c r="AC489" s="2">
        <v>0</v>
      </c>
    </row>
    <row r="490" spans="1:29" ht="15" thickBot="1" x14ac:dyDescent="0.4">
      <c r="A490" s="236" t="s">
        <v>232</v>
      </c>
      <c r="B490" s="238">
        <v>0</v>
      </c>
      <c r="C490" s="238">
        <v>0</v>
      </c>
      <c r="D490" s="238">
        <v>0</v>
      </c>
      <c r="F490" s="236" t="s">
        <v>232</v>
      </c>
      <c r="G490" s="238">
        <v>0</v>
      </c>
      <c r="H490" s="238">
        <v>0</v>
      </c>
      <c r="I490" s="238">
        <v>0</v>
      </c>
      <c r="K490" s="236" t="s">
        <v>232</v>
      </c>
      <c r="L490" s="238">
        <v>0</v>
      </c>
      <c r="M490" s="238">
        <v>0</v>
      </c>
      <c r="N490" s="238">
        <v>0</v>
      </c>
      <c r="P490" s="236" t="s">
        <v>232</v>
      </c>
      <c r="Q490" s="238">
        <v>0</v>
      </c>
      <c r="R490" s="238">
        <v>0</v>
      </c>
      <c r="S490" s="238">
        <v>0</v>
      </c>
      <c r="U490" s="236" t="s">
        <v>232</v>
      </c>
      <c r="V490" s="238">
        <v>0</v>
      </c>
      <c r="W490" s="238">
        <v>0</v>
      </c>
      <c r="X490" s="238">
        <v>0</v>
      </c>
      <c r="Z490" s="236" t="s">
        <v>232</v>
      </c>
      <c r="AA490" s="238">
        <v>0</v>
      </c>
      <c r="AB490" s="238">
        <v>0</v>
      </c>
      <c r="AC490" s="238">
        <v>0</v>
      </c>
    </row>
    <row r="491" spans="1:29" ht="15" thickTop="1" x14ac:dyDescent="0.35">
      <c r="A491" t="s">
        <v>233</v>
      </c>
      <c r="B491" s="1">
        <v>0</v>
      </c>
      <c r="C491" s="1">
        <v>0</v>
      </c>
      <c r="D491" s="2">
        <v>0</v>
      </c>
      <c r="F491" t="s">
        <v>233</v>
      </c>
      <c r="G491" s="2">
        <v>0</v>
      </c>
      <c r="H491" s="2">
        <v>0</v>
      </c>
      <c r="I491" s="2">
        <v>0</v>
      </c>
      <c r="K491" t="s">
        <v>233</v>
      </c>
      <c r="L491" s="2">
        <v>0</v>
      </c>
      <c r="M491" s="2">
        <v>0</v>
      </c>
      <c r="N491" s="2">
        <v>0</v>
      </c>
      <c r="P491" t="s">
        <v>233</v>
      </c>
      <c r="Q491" s="2">
        <v>0</v>
      </c>
      <c r="R491" s="2">
        <v>0</v>
      </c>
      <c r="S491" s="2">
        <v>0</v>
      </c>
      <c r="U491" t="s">
        <v>233</v>
      </c>
      <c r="V491" s="2">
        <v>0</v>
      </c>
      <c r="W491" s="2">
        <v>0</v>
      </c>
      <c r="X491" s="2">
        <v>0</v>
      </c>
      <c r="Z491" t="s">
        <v>233</v>
      </c>
      <c r="AA491" s="2">
        <v>0</v>
      </c>
      <c r="AB491" s="2">
        <v>0</v>
      </c>
      <c r="AC491" s="2">
        <v>0</v>
      </c>
    </row>
    <row r="492" spans="1:29" x14ac:dyDescent="0.35">
      <c r="A492" t="s">
        <v>234</v>
      </c>
      <c r="B492" s="1">
        <v>0</v>
      </c>
      <c r="C492" s="1">
        <v>0</v>
      </c>
      <c r="D492" s="2">
        <v>0</v>
      </c>
      <c r="F492" t="s">
        <v>234</v>
      </c>
      <c r="G492" s="2">
        <v>0</v>
      </c>
      <c r="H492" s="2">
        <v>0</v>
      </c>
      <c r="I492" s="2">
        <v>0</v>
      </c>
      <c r="K492" t="s">
        <v>234</v>
      </c>
      <c r="L492" s="2">
        <v>0</v>
      </c>
      <c r="M492" s="2">
        <v>0</v>
      </c>
      <c r="N492" s="2">
        <v>0</v>
      </c>
      <c r="P492" t="s">
        <v>234</v>
      </c>
      <c r="Q492" s="2">
        <v>0</v>
      </c>
      <c r="R492" s="2">
        <v>0</v>
      </c>
      <c r="S492" s="2">
        <v>0</v>
      </c>
      <c r="U492" t="s">
        <v>234</v>
      </c>
      <c r="V492" s="2">
        <v>0</v>
      </c>
      <c r="W492" s="2">
        <v>0</v>
      </c>
      <c r="X492" s="2">
        <v>0</v>
      </c>
      <c r="Z492" t="s">
        <v>234</v>
      </c>
      <c r="AA492" s="2">
        <v>0</v>
      </c>
      <c r="AB492" s="2">
        <v>0</v>
      </c>
      <c r="AC492" s="2">
        <v>0</v>
      </c>
    </row>
    <row r="493" spans="1:29" ht="15" thickBot="1" x14ac:dyDescent="0.4">
      <c r="A493" s="236" t="s">
        <v>235</v>
      </c>
      <c r="B493" s="238">
        <v>0</v>
      </c>
      <c r="C493" s="238">
        <v>0</v>
      </c>
      <c r="D493" s="238">
        <v>0</v>
      </c>
      <c r="F493" s="236" t="s">
        <v>235</v>
      </c>
      <c r="G493" s="238">
        <v>0</v>
      </c>
      <c r="H493" s="238">
        <v>0</v>
      </c>
      <c r="I493" s="238">
        <v>0</v>
      </c>
      <c r="K493" s="236" t="s">
        <v>235</v>
      </c>
      <c r="L493" s="238">
        <v>0</v>
      </c>
      <c r="M493" s="238">
        <v>0</v>
      </c>
      <c r="N493" s="238">
        <v>0</v>
      </c>
      <c r="P493" s="236" t="s">
        <v>235</v>
      </c>
      <c r="Q493" s="238">
        <v>0</v>
      </c>
      <c r="R493" s="238">
        <v>0</v>
      </c>
      <c r="S493" s="238">
        <v>0</v>
      </c>
      <c r="U493" s="236" t="s">
        <v>235</v>
      </c>
      <c r="V493" s="238">
        <v>0</v>
      </c>
      <c r="W493" s="238">
        <v>0</v>
      </c>
      <c r="X493" s="238">
        <v>0</v>
      </c>
      <c r="Z493" s="236" t="s">
        <v>235</v>
      </c>
      <c r="AA493" s="238">
        <v>0</v>
      </c>
      <c r="AB493" s="238">
        <v>0</v>
      </c>
      <c r="AC493" s="238">
        <v>0</v>
      </c>
    </row>
    <row r="494" spans="1:29" ht="15" thickTop="1" x14ac:dyDescent="0.35">
      <c r="B494" s="2"/>
      <c r="C494" s="2"/>
      <c r="G494" s="2"/>
      <c r="H494" s="2"/>
      <c r="I494" s="2"/>
      <c r="L494" s="2"/>
      <c r="M494" s="2"/>
      <c r="N494" s="2"/>
      <c r="Q494" s="2"/>
      <c r="R494" s="2"/>
      <c r="S494" s="2"/>
      <c r="V494" s="2"/>
      <c r="W494" s="2"/>
      <c r="X494" s="2"/>
      <c r="AA494" s="2"/>
      <c r="AB494" s="2"/>
      <c r="AC494" s="2"/>
    </row>
    <row r="495" spans="1:29" x14ac:dyDescent="0.35">
      <c r="A495" t="s">
        <v>236</v>
      </c>
      <c r="B495" s="1">
        <v>0</v>
      </c>
      <c r="C495" s="1">
        <v>0</v>
      </c>
      <c r="D495" s="2">
        <v>0</v>
      </c>
      <c r="F495" t="s">
        <v>236</v>
      </c>
      <c r="G495" s="2">
        <v>0</v>
      </c>
      <c r="H495" s="2">
        <v>0</v>
      </c>
      <c r="I495" s="2">
        <v>0</v>
      </c>
      <c r="K495" t="s">
        <v>236</v>
      </c>
      <c r="L495" s="2">
        <v>0</v>
      </c>
      <c r="M495" s="2">
        <v>0</v>
      </c>
      <c r="N495" s="2">
        <v>0</v>
      </c>
      <c r="P495" t="s">
        <v>236</v>
      </c>
      <c r="Q495" s="2">
        <v>0</v>
      </c>
      <c r="R495" s="2">
        <v>0</v>
      </c>
      <c r="S495" s="2">
        <v>0</v>
      </c>
      <c r="U495" t="s">
        <v>236</v>
      </c>
      <c r="V495" s="2">
        <v>0</v>
      </c>
      <c r="W495" s="2">
        <v>0</v>
      </c>
      <c r="X495" s="2">
        <v>0</v>
      </c>
      <c r="Z495" t="s">
        <v>236</v>
      </c>
      <c r="AA495" s="2">
        <v>0</v>
      </c>
      <c r="AB495" s="2">
        <v>0</v>
      </c>
      <c r="AC495" s="2">
        <v>0</v>
      </c>
    </row>
    <row r="496" spans="1:29" x14ac:dyDescent="0.35">
      <c r="A496" t="s">
        <v>237</v>
      </c>
      <c r="B496" s="1">
        <v>0</v>
      </c>
      <c r="C496" s="1">
        <v>0</v>
      </c>
      <c r="D496" s="2">
        <v>0</v>
      </c>
      <c r="F496" t="s">
        <v>237</v>
      </c>
      <c r="G496" s="2">
        <v>0</v>
      </c>
      <c r="H496" s="2">
        <v>0</v>
      </c>
      <c r="I496" s="2">
        <v>0</v>
      </c>
      <c r="K496" t="s">
        <v>237</v>
      </c>
      <c r="L496" s="2">
        <v>0</v>
      </c>
      <c r="M496" s="2">
        <v>0</v>
      </c>
      <c r="N496" s="2">
        <v>0</v>
      </c>
      <c r="P496" t="s">
        <v>237</v>
      </c>
      <c r="Q496" s="2">
        <v>0</v>
      </c>
      <c r="R496" s="2">
        <v>0</v>
      </c>
      <c r="S496" s="2">
        <v>0</v>
      </c>
      <c r="U496" t="s">
        <v>237</v>
      </c>
      <c r="V496" s="2">
        <v>0</v>
      </c>
      <c r="W496" s="2">
        <v>0</v>
      </c>
      <c r="X496" s="2">
        <v>0</v>
      </c>
      <c r="Z496" t="s">
        <v>237</v>
      </c>
      <c r="AA496" s="2">
        <v>0</v>
      </c>
      <c r="AB496" s="2">
        <v>0</v>
      </c>
      <c r="AC496" s="2">
        <v>0</v>
      </c>
    </row>
    <row r="497" spans="1:29" x14ac:dyDescent="0.35">
      <c r="A497" s="5" t="s">
        <v>90</v>
      </c>
      <c r="B497" s="235">
        <v>0</v>
      </c>
      <c r="C497" s="235">
        <v>0</v>
      </c>
      <c r="D497" s="235">
        <v>0</v>
      </c>
      <c r="F497" s="5" t="s">
        <v>90</v>
      </c>
      <c r="G497" s="235">
        <v>0</v>
      </c>
      <c r="H497" s="235">
        <v>0</v>
      </c>
      <c r="I497" s="235">
        <v>0</v>
      </c>
      <c r="K497" s="5" t="s">
        <v>90</v>
      </c>
      <c r="L497" s="235">
        <v>0</v>
      </c>
      <c r="M497" s="235">
        <v>0</v>
      </c>
      <c r="N497" s="235">
        <v>0</v>
      </c>
      <c r="P497" s="5" t="s">
        <v>90</v>
      </c>
      <c r="Q497" s="235">
        <v>0</v>
      </c>
      <c r="R497" s="235">
        <v>0</v>
      </c>
      <c r="S497" s="235">
        <v>0</v>
      </c>
      <c r="U497" s="5" t="s">
        <v>90</v>
      </c>
      <c r="V497" s="235">
        <v>0</v>
      </c>
      <c r="W497" s="235">
        <v>0</v>
      </c>
      <c r="X497" s="235">
        <v>0</v>
      </c>
      <c r="Z497" s="5" t="s">
        <v>90</v>
      </c>
      <c r="AA497" s="235">
        <v>0</v>
      </c>
      <c r="AB497" s="235">
        <v>0</v>
      </c>
      <c r="AC497" s="235">
        <v>0</v>
      </c>
    </row>
    <row r="498" spans="1:29" x14ac:dyDescent="0.35">
      <c r="A498" s="6"/>
      <c r="B498" s="7"/>
      <c r="C498" s="7"/>
      <c r="D498" s="7"/>
      <c r="F498" s="6"/>
      <c r="G498" s="7"/>
      <c r="H498" s="7"/>
      <c r="I498" s="7"/>
      <c r="K498" s="6"/>
      <c r="L498" s="7"/>
      <c r="M498" s="7"/>
      <c r="N498" s="7"/>
      <c r="P498" s="6"/>
      <c r="Q498" s="7"/>
      <c r="R498" s="7"/>
      <c r="S498" s="7"/>
      <c r="U498" s="6"/>
      <c r="V498" s="7"/>
      <c r="W498" s="7"/>
      <c r="X498" s="7"/>
      <c r="Z498" s="6"/>
      <c r="AA498" s="7"/>
      <c r="AB498" s="7"/>
      <c r="AC498" s="7"/>
    </row>
    <row r="499" spans="1:29" x14ac:dyDescent="0.35">
      <c r="B499" s="2"/>
      <c r="C499" s="15"/>
      <c r="D499" s="12"/>
      <c r="F499" s="6"/>
      <c r="G499" s="7"/>
      <c r="H499" s="7"/>
      <c r="I499" s="7"/>
      <c r="K499" s="6"/>
      <c r="L499" s="7"/>
      <c r="M499" s="7"/>
      <c r="N499" s="7"/>
      <c r="P499" s="6"/>
      <c r="Q499" s="7"/>
      <c r="R499" s="7"/>
      <c r="S499" s="7"/>
      <c r="V499" s="2"/>
      <c r="W499" s="15"/>
      <c r="X499" s="2"/>
      <c r="AA499" s="2"/>
      <c r="AB499" s="15"/>
      <c r="AC499" s="2"/>
    </row>
    <row r="500" spans="1:29" x14ac:dyDescent="0.35">
      <c r="B500" s="2"/>
      <c r="C500" s="15"/>
      <c r="D500" s="12"/>
      <c r="F500" s="6"/>
      <c r="G500" s="7"/>
      <c r="H500" s="7"/>
      <c r="I500" s="7"/>
      <c r="K500" s="6"/>
      <c r="L500" s="7"/>
      <c r="M500" s="7"/>
      <c r="N500" s="7"/>
      <c r="P500" s="6"/>
      <c r="Q500" s="7"/>
      <c r="R500" s="7"/>
      <c r="S500" s="7"/>
      <c r="V500" s="2"/>
      <c r="W500" s="15"/>
      <c r="X500" s="2"/>
      <c r="AA500" s="2"/>
      <c r="AB500" s="15"/>
      <c r="AC500" s="2"/>
    </row>
    <row r="501" spans="1:29" x14ac:dyDescent="0.35">
      <c r="A501" t="s">
        <v>89</v>
      </c>
      <c r="B501" s="1">
        <v>0</v>
      </c>
      <c r="C501" s="1">
        <v>0</v>
      </c>
      <c r="D501" s="2">
        <v>0</v>
      </c>
      <c r="F501" s="16" t="s">
        <v>89</v>
      </c>
      <c r="G501" s="23">
        <v>0</v>
      </c>
      <c r="H501" s="23">
        <v>0</v>
      </c>
      <c r="I501" s="23">
        <v>0</v>
      </c>
      <c r="K501" s="14" t="s">
        <v>89</v>
      </c>
      <c r="L501" s="23">
        <v>0</v>
      </c>
      <c r="M501" s="23">
        <v>0</v>
      </c>
      <c r="N501" s="23">
        <v>0</v>
      </c>
      <c r="P501" s="16" t="s">
        <v>89</v>
      </c>
      <c r="Q501" s="23">
        <v>0</v>
      </c>
      <c r="R501" s="23">
        <v>0</v>
      </c>
      <c r="S501" s="23">
        <v>0</v>
      </c>
      <c r="U501" t="s">
        <v>89</v>
      </c>
      <c r="V501" s="2"/>
      <c r="W501" s="2">
        <v>0</v>
      </c>
      <c r="X501" s="2">
        <v>0</v>
      </c>
      <c r="Z501" s="16" t="s">
        <v>89</v>
      </c>
      <c r="AA501" s="27">
        <v>0</v>
      </c>
      <c r="AB501" s="28">
        <v>0</v>
      </c>
      <c r="AC501" s="17">
        <v>0</v>
      </c>
    </row>
    <row r="502" spans="1:29" x14ac:dyDescent="0.35">
      <c r="A502" s="13"/>
      <c r="B502" s="155"/>
      <c r="C502" s="156"/>
      <c r="D502" s="215"/>
      <c r="F502" s="6"/>
      <c r="G502" s="103"/>
      <c r="H502" s="103"/>
      <c r="I502" s="103"/>
      <c r="K502" s="6"/>
      <c r="L502" s="103"/>
      <c r="M502" s="103"/>
      <c r="N502" s="103"/>
      <c r="P502" s="6"/>
      <c r="Q502" s="103"/>
      <c r="R502" s="103"/>
      <c r="S502" s="103"/>
      <c r="V502" s="2"/>
      <c r="W502" s="15"/>
      <c r="X502" s="2"/>
      <c r="AA502" s="2"/>
      <c r="AB502" s="15"/>
      <c r="AC502" s="2"/>
    </row>
    <row r="503" spans="1:29" x14ac:dyDescent="0.35">
      <c r="B503" s="2"/>
      <c r="C503" s="15"/>
      <c r="D503" s="12"/>
      <c r="F503" s="6"/>
      <c r="G503" s="103"/>
      <c r="H503" s="103"/>
      <c r="I503" s="103"/>
      <c r="K503" s="6"/>
      <c r="L503" s="103"/>
      <c r="M503" s="103"/>
      <c r="N503" s="103"/>
      <c r="P503" s="6"/>
      <c r="Q503" s="103"/>
      <c r="R503" s="103"/>
      <c r="S503" s="103"/>
      <c r="V503" s="2"/>
      <c r="W503" s="15"/>
      <c r="X503" s="2"/>
      <c r="AC503" s="2"/>
    </row>
    <row r="504" spans="1:29" x14ac:dyDescent="0.35">
      <c r="B504" s="2"/>
      <c r="C504" s="15"/>
      <c r="D504" s="12"/>
      <c r="G504" s="2"/>
      <c r="H504" s="2"/>
      <c r="I504" s="2"/>
      <c r="L504" s="2"/>
      <c r="M504" s="2"/>
      <c r="N504" s="2"/>
      <c r="Q504" s="2"/>
      <c r="R504" s="2"/>
      <c r="S504" s="2"/>
      <c r="V504" s="2"/>
      <c r="W504" s="15"/>
      <c r="X504" s="2"/>
      <c r="AC504" s="2"/>
    </row>
    <row r="505" spans="1:29" x14ac:dyDescent="0.35">
      <c r="A505" t="s">
        <v>31</v>
      </c>
      <c r="B505" s="1">
        <v>0</v>
      </c>
      <c r="C505" s="1">
        <v>0</v>
      </c>
      <c r="D505" s="2">
        <v>0</v>
      </c>
      <c r="F505" t="s">
        <v>31</v>
      </c>
      <c r="G505" s="2">
        <v>0</v>
      </c>
      <c r="H505" s="2">
        <v>0</v>
      </c>
      <c r="I505" s="2">
        <v>0</v>
      </c>
      <c r="K505" t="s">
        <v>31</v>
      </c>
      <c r="L505" s="2">
        <v>0</v>
      </c>
      <c r="M505" s="2">
        <v>0</v>
      </c>
      <c r="N505" s="2">
        <v>0</v>
      </c>
      <c r="P505" t="s">
        <v>31</v>
      </c>
      <c r="Q505" s="2">
        <v>0</v>
      </c>
      <c r="R505" s="2">
        <v>0</v>
      </c>
      <c r="S505" s="2">
        <v>0</v>
      </c>
      <c r="U505" t="s">
        <v>31</v>
      </c>
      <c r="V505" s="2">
        <v>0</v>
      </c>
      <c r="W505" s="2">
        <v>0</v>
      </c>
      <c r="X505" s="2">
        <v>0</v>
      </c>
      <c r="Z505" t="s">
        <v>31</v>
      </c>
      <c r="AA505" s="1">
        <v>0</v>
      </c>
      <c r="AB505" s="1">
        <v>0</v>
      </c>
      <c r="AC505" s="2">
        <v>0</v>
      </c>
    </row>
    <row r="506" spans="1:29" x14ac:dyDescent="0.35">
      <c r="A506" t="s">
        <v>32</v>
      </c>
      <c r="B506" s="1">
        <v>0</v>
      </c>
      <c r="C506" s="1">
        <v>0</v>
      </c>
      <c r="D506" s="2">
        <v>0</v>
      </c>
      <c r="F506" t="s">
        <v>32</v>
      </c>
      <c r="G506" s="2">
        <v>0</v>
      </c>
      <c r="H506" s="2">
        <v>0</v>
      </c>
      <c r="I506" s="2">
        <v>0</v>
      </c>
      <c r="K506" t="s">
        <v>32</v>
      </c>
      <c r="L506" s="2">
        <v>0</v>
      </c>
      <c r="M506" s="2">
        <v>0</v>
      </c>
      <c r="N506" s="2">
        <v>0</v>
      </c>
      <c r="P506" t="s">
        <v>32</v>
      </c>
      <c r="Q506" s="2">
        <v>0</v>
      </c>
      <c r="R506" s="2">
        <v>0</v>
      </c>
      <c r="S506" s="2">
        <v>0</v>
      </c>
      <c r="U506" t="s">
        <v>32</v>
      </c>
      <c r="V506" s="2">
        <v>0</v>
      </c>
      <c r="W506" s="2">
        <v>0</v>
      </c>
      <c r="X506" s="2">
        <v>0</v>
      </c>
      <c r="Z506" t="s">
        <v>32</v>
      </c>
      <c r="AA506" s="1">
        <v>0</v>
      </c>
      <c r="AB506" s="1">
        <v>0</v>
      </c>
      <c r="AC506" s="2">
        <v>0</v>
      </c>
    </row>
    <row r="507" spans="1:29" x14ac:dyDescent="0.35">
      <c r="A507" s="19" t="s">
        <v>33</v>
      </c>
      <c r="B507" s="20">
        <v>0</v>
      </c>
      <c r="C507" s="20">
        <v>0</v>
      </c>
      <c r="D507" s="20">
        <v>0</v>
      </c>
      <c r="F507" s="239" t="s">
        <v>33</v>
      </c>
      <c r="G507" s="235">
        <v>0</v>
      </c>
      <c r="H507" s="235">
        <v>0</v>
      </c>
      <c r="I507" s="235">
        <v>0</v>
      </c>
      <c r="K507" s="239" t="s">
        <v>33</v>
      </c>
      <c r="L507" s="235">
        <v>0</v>
      </c>
      <c r="M507" s="235">
        <v>0</v>
      </c>
      <c r="N507" s="235">
        <v>0</v>
      </c>
      <c r="P507" s="239" t="s">
        <v>33</v>
      </c>
      <c r="Q507" s="235">
        <v>0</v>
      </c>
      <c r="R507" s="235">
        <v>0</v>
      </c>
      <c r="S507" s="235">
        <v>0</v>
      </c>
      <c r="U507" s="239" t="s">
        <v>33</v>
      </c>
      <c r="V507" s="235">
        <v>0</v>
      </c>
      <c r="W507" s="235">
        <v>0</v>
      </c>
      <c r="X507" s="235">
        <v>0</v>
      </c>
      <c r="Z507" s="25" t="s">
        <v>33</v>
      </c>
      <c r="AA507" s="20">
        <v>0</v>
      </c>
      <c r="AB507" s="20">
        <v>0</v>
      </c>
      <c r="AC507" s="20">
        <v>0</v>
      </c>
    </row>
    <row r="508" spans="1:29" ht="15" thickBot="1" x14ac:dyDescent="0.4">
      <c r="B508" s="2"/>
      <c r="C508" s="15"/>
      <c r="D508" s="12"/>
      <c r="F508" s="236" t="s">
        <v>34</v>
      </c>
      <c r="G508" s="237">
        <v>0</v>
      </c>
      <c r="H508" s="237">
        <v>0</v>
      </c>
      <c r="I508" s="237">
        <v>0</v>
      </c>
      <c r="K508" s="236" t="s">
        <v>34</v>
      </c>
      <c r="L508" s="237">
        <v>0</v>
      </c>
      <c r="M508" s="237">
        <v>0</v>
      </c>
      <c r="N508" s="237">
        <v>0</v>
      </c>
      <c r="P508" s="236" t="s">
        <v>34</v>
      </c>
      <c r="Q508" s="237">
        <v>0</v>
      </c>
      <c r="R508" s="237">
        <v>0</v>
      </c>
      <c r="S508" s="237">
        <v>0</v>
      </c>
      <c r="U508" s="236" t="s">
        <v>34</v>
      </c>
      <c r="V508" s="237">
        <v>0</v>
      </c>
      <c r="W508" s="237">
        <v>0</v>
      </c>
      <c r="X508" s="237">
        <v>0</v>
      </c>
      <c r="AA508" s="2"/>
      <c r="AB508" s="15"/>
      <c r="AC508" s="2"/>
    </row>
    <row r="509" spans="1:29" ht="15" thickTop="1" x14ac:dyDescent="0.35">
      <c r="B509" s="2"/>
      <c r="C509" s="15"/>
      <c r="D509" s="12"/>
      <c r="F509" t="s">
        <v>224</v>
      </c>
      <c r="G509" s="2"/>
      <c r="H509" s="2"/>
      <c r="I509" s="2"/>
      <c r="K509" t="s">
        <v>224</v>
      </c>
      <c r="L509" s="2">
        <v>0</v>
      </c>
      <c r="M509" s="2">
        <v>0</v>
      </c>
      <c r="N509" s="2"/>
      <c r="P509" t="s">
        <v>224</v>
      </c>
      <c r="Q509" s="2">
        <v>0</v>
      </c>
      <c r="R509" s="2">
        <v>0</v>
      </c>
      <c r="S509" s="2"/>
      <c r="V509" s="2"/>
      <c r="W509" s="15"/>
      <c r="X509" s="2"/>
      <c r="AA509" s="2"/>
      <c r="AB509" s="15"/>
      <c r="AC509" s="2"/>
    </row>
    <row r="510" spans="1:29" x14ac:dyDescent="0.35">
      <c r="A510" t="s">
        <v>35</v>
      </c>
      <c r="B510" s="1">
        <v>0</v>
      </c>
      <c r="C510" s="1">
        <v>108825827.2</v>
      </c>
      <c r="D510" s="2">
        <v>108825827.2</v>
      </c>
      <c r="F510" t="s">
        <v>35</v>
      </c>
      <c r="G510" s="2">
        <v>0</v>
      </c>
      <c r="H510" s="2">
        <v>39672004.32</v>
      </c>
      <c r="I510" s="2">
        <v>39672004.32</v>
      </c>
      <c r="K510" t="s">
        <v>35</v>
      </c>
      <c r="L510" s="2">
        <v>0</v>
      </c>
      <c r="M510" s="2">
        <v>22857861.880000003</v>
      </c>
      <c r="N510" s="2">
        <v>22857861.880000003</v>
      </c>
      <c r="P510" t="s">
        <v>35</v>
      </c>
      <c r="Q510" s="2">
        <v>0</v>
      </c>
      <c r="R510" s="2">
        <v>62529866.200000003</v>
      </c>
      <c r="S510" s="2">
        <v>62529866.200000003</v>
      </c>
      <c r="U510" t="s">
        <v>35</v>
      </c>
      <c r="V510" s="2">
        <v>0</v>
      </c>
      <c r="W510" s="2">
        <v>27005846.090000004</v>
      </c>
      <c r="X510" s="2">
        <v>27005846.090000004</v>
      </c>
      <c r="Z510" t="s">
        <v>35</v>
      </c>
      <c r="AA510" s="1">
        <v>0</v>
      </c>
      <c r="AB510" s="1">
        <v>19290114.909999996</v>
      </c>
      <c r="AC510" s="2">
        <v>19290114.909999996</v>
      </c>
    </row>
    <row r="511" spans="1:29" x14ac:dyDescent="0.35">
      <c r="A511" t="s">
        <v>36</v>
      </c>
      <c r="B511" s="1">
        <v>-2287170.34</v>
      </c>
      <c r="C511" s="1">
        <v>-104059763.75</v>
      </c>
      <c r="D511" s="2">
        <v>-106346934.09</v>
      </c>
      <c r="F511" t="s">
        <v>36</v>
      </c>
      <c r="G511" s="2">
        <v>-1437309.08</v>
      </c>
      <c r="H511" s="2">
        <v>-35842428.410000004</v>
      </c>
      <c r="I511" s="2">
        <v>-37279737.490000002</v>
      </c>
      <c r="K511" t="s">
        <v>36</v>
      </c>
      <c r="L511" s="2">
        <v>-439792.08999999985</v>
      </c>
      <c r="M511" s="2">
        <v>-23681549.189999998</v>
      </c>
      <c r="N511" s="2">
        <v>-24121341.279999997</v>
      </c>
      <c r="P511" t="s">
        <v>36</v>
      </c>
      <c r="Q511" s="2">
        <v>-1877101.17</v>
      </c>
      <c r="R511" s="2">
        <v>-59523977.600000001</v>
      </c>
      <c r="S511" s="2">
        <v>-61401078.770000003</v>
      </c>
      <c r="U511" t="s">
        <v>36</v>
      </c>
      <c r="V511" s="2">
        <v>-268571.37999999989</v>
      </c>
      <c r="W511" s="2">
        <v>-26253072.029999994</v>
      </c>
      <c r="X511" s="2">
        <v>-26521643.409999993</v>
      </c>
      <c r="Z511" t="s">
        <v>36</v>
      </c>
      <c r="AA511" s="1">
        <v>-141497.79000000004</v>
      </c>
      <c r="AB511" s="1">
        <v>-18282714.120000005</v>
      </c>
      <c r="AC511" s="2">
        <v>-18424211.910000008</v>
      </c>
    </row>
    <row r="512" spans="1:29" ht="15" thickBot="1" x14ac:dyDescent="0.4">
      <c r="A512" s="19" t="s">
        <v>37</v>
      </c>
      <c r="B512" s="20">
        <v>-2287170.34</v>
      </c>
      <c r="C512" s="20">
        <v>4766063.450000003</v>
      </c>
      <c r="D512" s="20">
        <v>2478893.1100000031</v>
      </c>
      <c r="F512" s="236" t="s">
        <v>37</v>
      </c>
      <c r="G512" s="237">
        <v>-1437309.08</v>
      </c>
      <c r="H512" s="237">
        <v>3829575.9099999964</v>
      </c>
      <c r="I512" s="237">
        <v>2392266.8299999982</v>
      </c>
      <c r="K512" s="236" t="s">
        <v>37</v>
      </c>
      <c r="L512" s="237">
        <v>-439792.08999999985</v>
      </c>
      <c r="M512" s="237">
        <v>-823687.30999999493</v>
      </c>
      <c r="N512" s="237">
        <v>-1263479.3999999948</v>
      </c>
      <c r="P512" s="236" t="s">
        <v>37</v>
      </c>
      <c r="Q512" s="237">
        <v>-1877101.17</v>
      </c>
      <c r="R512" s="237">
        <v>3005888.6000000015</v>
      </c>
      <c r="S512" s="237">
        <v>1128787.4299999997</v>
      </c>
      <c r="U512" s="236" t="s">
        <v>37</v>
      </c>
      <c r="V512" s="237">
        <v>-268571.37999999989</v>
      </c>
      <c r="W512" s="237">
        <v>752774.06000000983</v>
      </c>
      <c r="X512" s="237">
        <v>484202.68000001088</v>
      </c>
      <c r="Z512" s="25" t="s">
        <v>37</v>
      </c>
      <c r="AA512" s="20">
        <v>-141497.79000000004</v>
      </c>
      <c r="AB512" s="20">
        <v>1007400.7899999917</v>
      </c>
      <c r="AC512" s="20">
        <v>865902.99999999255</v>
      </c>
    </row>
    <row r="513" spans="1:29" ht="15" thickTop="1" x14ac:dyDescent="0.35">
      <c r="B513" s="2"/>
      <c r="C513" s="15"/>
      <c r="D513" s="12"/>
      <c r="F513" s="6"/>
      <c r="G513" s="7"/>
      <c r="H513" s="7"/>
      <c r="I513" s="7"/>
      <c r="K513" s="6"/>
      <c r="L513" s="7"/>
      <c r="M513" s="7"/>
      <c r="N513" s="7"/>
      <c r="P513" s="6"/>
      <c r="Q513" s="7"/>
      <c r="R513" s="7"/>
      <c r="S513" s="7"/>
      <c r="V513" s="2"/>
      <c r="W513" s="15"/>
      <c r="X513" s="2"/>
      <c r="AA513" s="2"/>
      <c r="AB513" s="15"/>
      <c r="AC513" s="2"/>
    </row>
    <row r="514" spans="1:29" x14ac:dyDescent="0.35">
      <c r="A514" t="s">
        <v>212</v>
      </c>
      <c r="B514" s="1">
        <v>0</v>
      </c>
      <c r="C514" s="1">
        <v>0</v>
      </c>
      <c r="D514" s="12"/>
      <c r="F514" t="s">
        <v>212</v>
      </c>
      <c r="G514" s="2">
        <v>0</v>
      </c>
      <c r="H514" s="2">
        <v>0</v>
      </c>
      <c r="I514" s="2">
        <v>0</v>
      </c>
      <c r="K514" t="s">
        <v>212</v>
      </c>
      <c r="L514" s="2">
        <v>0</v>
      </c>
      <c r="M514" s="2">
        <v>0</v>
      </c>
      <c r="N514" s="2">
        <v>0</v>
      </c>
      <c r="P514" t="s">
        <v>212</v>
      </c>
      <c r="Q514" s="2">
        <v>0</v>
      </c>
      <c r="R514" s="2">
        <v>0</v>
      </c>
      <c r="S514" s="2">
        <v>0</v>
      </c>
      <c r="U514" t="s">
        <v>212</v>
      </c>
      <c r="V514" s="2">
        <v>0</v>
      </c>
      <c r="W514" s="2">
        <v>0</v>
      </c>
      <c r="X514" s="2"/>
      <c r="Z514" t="s">
        <v>212</v>
      </c>
      <c r="AA514" s="2"/>
      <c r="AB514" s="15"/>
      <c r="AC514" s="2"/>
    </row>
    <row r="515" spans="1:29" x14ac:dyDescent="0.35">
      <c r="A515" t="s">
        <v>38</v>
      </c>
      <c r="B515" s="1">
        <v>0</v>
      </c>
      <c r="C515" s="1">
        <v>-6059511.142098547</v>
      </c>
      <c r="D515" s="2">
        <v>-6059511.142098547</v>
      </c>
      <c r="F515" t="s">
        <v>38</v>
      </c>
      <c r="G515" s="2">
        <v>0</v>
      </c>
      <c r="H515" s="2">
        <v>-1239173.3764902903</v>
      </c>
      <c r="I515" s="2">
        <v>-1239173.3764902903</v>
      </c>
      <c r="K515" t="s">
        <v>38</v>
      </c>
      <c r="L515" s="2">
        <v>0</v>
      </c>
      <c r="M515" s="2">
        <v>-1581856.31302612</v>
      </c>
      <c r="N515" s="2">
        <v>-1581856.31302612</v>
      </c>
      <c r="P515" t="s">
        <v>38</v>
      </c>
      <c r="Q515" s="2">
        <v>0</v>
      </c>
      <c r="R515" s="2">
        <v>-2821029.6895164102</v>
      </c>
      <c r="S515" s="2">
        <v>-2821029.6895164102</v>
      </c>
      <c r="U515" t="s">
        <v>38</v>
      </c>
      <c r="V515" s="2">
        <v>0</v>
      </c>
      <c r="W515" s="2">
        <v>-1621699.5010341629</v>
      </c>
      <c r="X515" s="2">
        <v>-1621699.5010341629</v>
      </c>
      <c r="Z515" t="s">
        <v>38</v>
      </c>
      <c r="AA515" s="1">
        <v>0</v>
      </c>
      <c r="AB515" s="1">
        <v>-1616781.9515479738</v>
      </c>
      <c r="AC515" s="2">
        <v>-1616781.9515479738</v>
      </c>
    </row>
    <row r="516" spans="1:29" x14ac:dyDescent="0.35">
      <c r="A516" t="s">
        <v>78</v>
      </c>
      <c r="B516" s="1">
        <v>0</v>
      </c>
      <c r="C516" s="1">
        <v>-54729753.987293079</v>
      </c>
      <c r="D516" s="2">
        <v>-54729753.987293079</v>
      </c>
      <c r="F516" t="s">
        <v>78</v>
      </c>
      <c r="G516" s="2">
        <v>0</v>
      </c>
      <c r="H516" s="2">
        <v>-11686404.843684722</v>
      </c>
      <c r="I516" s="2">
        <v>-11686404.843684722</v>
      </c>
      <c r="K516" t="s">
        <v>78</v>
      </c>
      <c r="L516" s="2">
        <v>0</v>
      </c>
      <c r="M516" s="2">
        <v>-13260390.76066139</v>
      </c>
      <c r="N516" s="2">
        <v>-13260390.76066139</v>
      </c>
      <c r="P516" t="s">
        <v>78</v>
      </c>
      <c r="Q516" s="2">
        <v>0</v>
      </c>
      <c r="R516" s="2">
        <v>-24946795.604346111</v>
      </c>
      <c r="S516" s="2">
        <v>-24946795.604346111</v>
      </c>
      <c r="U516" t="s">
        <v>78</v>
      </c>
      <c r="V516" s="2">
        <v>0</v>
      </c>
      <c r="W516" s="2">
        <v>-13901452.346975997</v>
      </c>
      <c r="X516" s="2">
        <v>-13901452.346975997</v>
      </c>
      <c r="Z516" t="s">
        <v>78</v>
      </c>
      <c r="AA516" s="1">
        <v>0</v>
      </c>
      <c r="AB516" s="1">
        <v>-15881506.035970971</v>
      </c>
      <c r="AC516" s="2">
        <v>-15881506.035970971</v>
      </c>
    </row>
    <row r="517" spans="1:29" x14ac:dyDescent="0.35">
      <c r="A517" t="s">
        <v>39</v>
      </c>
      <c r="B517" s="1">
        <v>0</v>
      </c>
      <c r="C517" s="1">
        <v>-150578642.82647952</v>
      </c>
      <c r="D517" s="2">
        <v>-150578642.82647952</v>
      </c>
      <c r="F517" t="s">
        <v>39</v>
      </c>
      <c r="G517" s="2">
        <v>0</v>
      </c>
      <c r="H517" s="2">
        <v>-22855386.579484634</v>
      </c>
      <c r="I517" s="2">
        <v>-22855386.579484634</v>
      </c>
      <c r="K517" t="s">
        <v>39</v>
      </c>
      <c r="L517" s="2">
        <v>0</v>
      </c>
      <c r="M517" s="2">
        <v>-45176250.373158567</v>
      </c>
      <c r="N517" s="2">
        <v>-45176250.373158567</v>
      </c>
      <c r="P517" t="s">
        <v>39</v>
      </c>
      <c r="Q517" s="2">
        <v>0</v>
      </c>
      <c r="R517" s="2">
        <v>-68031636.952643201</v>
      </c>
      <c r="S517" s="2">
        <v>-68031636.952643201</v>
      </c>
      <c r="U517" t="s">
        <v>39</v>
      </c>
      <c r="V517" s="2">
        <v>0</v>
      </c>
      <c r="W517" s="2">
        <v>-35964323.438907221</v>
      </c>
      <c r="X517" s="2">
        <v>-35964323.438907221</v>
      </c>
      <c r="Z517" t="s">
        <v>39</v>
      </c>
      <c r="AA517" s="1">
        <v>0</v>
      </c>
      <c r="AB517" s="1">
        <v>-46582682.434929103</v>
      </c>
      <c r="AC517" s="2">
        <v>-46582682.434929103</v>
      </c>
    </row>
    <row r="518" spans="1:29" x14ac:dyDescent="0.35">
      <c r="A518" t="s">
        <v>40</v>
      </c>
      <c r="B518" s="1">
        <v>0</v>
      </c>
      <c r="C518" s="1">
        <v>-1201995.9400000002</v>
      </c>
      <c r="D518" s="2">
        <v>-1201995.9400000002</v>
      </c>
      <c r="F518" t="s">
        <v>40</v>
      </c>
      <c r="G518" s="2">
        <v>0</v>
      </c>
      <c r="H518" s="2">
        <v>-608450.1</v>
      </c>
      <c r="I518" s="2">
        <v>-608450.1</v>
      </c>
      <c r="K518" t="s">
        <v>40</v>
      </c>
      <c r="L518" s="2">
        <v>0</v>
      </c>
      <c r="M518" s="2">
        <v>-198951.02000000002</v>
      </c>
      <c r="N518" s="2">
        <v>-198951.02000000002</v>
      </c>
      <c r="P518" t="s">
        <v>40</v>
      </c>
      <c r="Q518" s="2">
        <v>0</v>
      </c>
      <c r="R518" s="2">
        <v>-807401.12</v>
      </c>
      <c r="S518" s="2">
        <v>-807401.12</v>
      </c>
      <c r="U518" t="s">
        <v>40</v>
      </c>
      <c r="V518" s="2">
        <v>0</v>
      </c>
      <c r="W518" s="2">
        <v>-209488.43999999994</v>
      </c>
      <c r="X518" s="2">
        <v>-209488.43999999994</v>
      </c>
      <c r="Z518" t="s">
        <v>40</v>
      </c>
      <c r="AA518" s="1">
        <v>0</v>
      </c>
      <c r="AB518" s="1">
        <v>-185106.38000000024</v>
      </c>
      <c r="AC518" s="2">
        <v>-185106.38000000024</v>
      </c>
    </row>
    <row r="519" spans="1:29" x14ac:dyDescent="0.35">
      <c r="A519" t="s">
        <v>41</v>
      </c>
      <c r="B519" s="1">
        <v>0</v>
      </c>
      <c r="C519" s="1">
        <v>-55508</v>
      </c>
      <c r="D519" s="2">
        <v>-55508</v>
      </c>
      <c r="F519" t="s">
        <v>41</v>
      </c>
      <c r="G519" s="2">
        <v>0</v>
      </c>
      <c r="H519" s="2">
        <v>-4005</v>
      </c>
      <c r="I519" s="2">
        <v>-4005</v>
      </c>
      <c r="K519" t="s">
        <v>41</v>
      </c>
      <c r="L519" s="2">
        <v>0</v>
      </c>
      <c r="M519" s="2">
        <v>0</v>
      </c>
      <c r="N519" s="2">
        <v>0</v>
      </c>
      <c r="P519" t="s">
        <v>41</v>
      </c>
      <c r="Q519" s="2">
        <v>0</v>
      </c>
      <c r="R519" s="2">
        <v>-4005</v>
      </c>
      <c r="S519" s="2">
        <v>-4005</v>
      </c>
      <c r="U519" t="s">
        <v>41</v>
      </c>
      <c r="V519" s="2">
        <v>0</v>
      </c>
      <c r="W519" s="2">
        <v>2308</v>
      </c>
      <c r="X519" s="2">
        <v>2308</v>
      </c>
      <c r="Z519" t="s">
        <v>41</v>
      </c>
      <c r="AA519" s="1">
        <v>0</v>
      </c>
      <c r="AB519" s="1">
        <v>-53811</v>
      </c>
      <c r="AC519" s="2">
        <v>-53811</v>
      </c>
    </row>
    <row r="520" spans="1:29" x14ac:dyDescent="0.35">
      <c r="A520" t="s">
        <v>42</v>
      </c>
      <c r="B520" s="1">
        <v>0</v>
      </c>
      <c r="C520" s="1">
        <v>-1345615.0009921882</v>
      </c>
      <c r="D520" s="2">
        <v>-1345615.0009921882</v>
      </c>
      <c r="F520" t="s">
        <v>42</v>
      </c>
      <c r="G520" s="2">
        <v>0</v>
      </c>
      <c r="H520" s="2">
        <v>-291045.38956867816</v>
      </c>
      <c r="I520" s="2">
        <v>-291045.38956867816</v>
      </c>
      <c r="K520" t="s">
        <v>42</v>
      </c>
      <c r="L520" s="2">
        <v>0</v>
      </c>
      <c r="M520" s="2">
        <v>-349746.45376020361</v>
      </c>
      <c r="N520" s="2">
        <v>-349746.45376020361</v>
      </c>
      <c r="P520" t="s">
        <v>42</v>
      </c>
      <c r="Q520" s="2">
        <v>0</v>
      </c>
      <c r="R520" s="2">
        <v>-640791.84332888178</v>
      </c>
      <c r="S520" s="2">
        <v>-640791.84332888178</v>
      </c>
      <c r="U520" t="s">
        <v>42</v>
      </c>
      <c r="V520" s="2">
        <v>0</v>
      </c>
      <c r="W520" s="2">
        <v>-358233.94898592995</v>
      </c>
      <c r="X520" s="2">
        <v>-358233.94898592995</v>
      </c>
      <c r="Z520" t="s">
        <v>42</v>
      </c>
      <c r="AA520" s="1">
        <v>0</v>
      </c>
      <c r="AB520" s="1">
        <v>-346589.2086773765</v>
      </c>
      <c r="AC520" s="2">
        <v>-346589.2086773765</v>
      </c>
    </row>
    <row r="521" spans="1:29" x14ac:dyDescent="0.35">
      <c r="A521" t="s">
        <v>4</v>
      </c>
      <c r="B521" s="1">
        <v>0</v>
      </c>
      <c r="C521" s="1">
        <v>-58354433.93372722</v>
      </c>
      <c r="D521" s="2">
        <v>-58354433.93372722</v>
      </c>
      <c r="F521" t="s">
        <v>4</v>
      </c>
      <c r="G521" s="2">
        <v>0</v>
      </c>
      <c r="H521" s="2">
        <v>-33443020.189838946</v>
      </c>
      <c r="I521" s="2">
        <v>-33443020.189838946</v>
      </c>
      <c r="K521" t="s">
        <v>4</v>
      </c>
      <c r="L521" s="2">
        <v>0</v>
      </c>
      <c r="M521" s="2">
        <v>-13557551.537723504</v>
      </c>
      <c r="N521" s="2">
        <v>-13557551.537723504</v>
      </c>
      <c r="P521" t="s">
        <v>4</v>
      </c>
      <c r="Q521" s="2">
        <v>0</v>
      </c>
      <c r="R521" s="2">
        <v>-47000571.72756245</v>
      </c>
      <c r="S521" s="2">
        <v>-47000571.72756245</v>
      </c>
      <c r="U521" t="s">
        <v>4</v>
      </c>
      <c r="V521" s="2">
        <v>0</v>
      </c>
      <c r="W521" s="2">
        <v>-6321198.9624333829</v>
      </c>
      <c r="X521" s="2">
        <v>-6321198.9624333829</v>
      </c>
      <c r="Z521" t="s">
        <v>4</v>
      </c>
      <c r="AA521" s="1">
        <v>0</v>
      </c>
      <c r="AB521" s="1">
        <v>-5032663.243731387</v>
      </c>
      <c r="AC521" s="2">
        <v>-5032663.243731387</v>
      </c>
    </row>
    <row r="522" spans="1:29" x14ac:dyDescent="0.35">
      <c r="A522" t="s">
        <v>5</v>
      </c>
      <c r="B522" s="1">
        <v>0</v>
      </c>
      <c r="C522" s="1">
        <v>0</v>
      </c>
      <c r="D522" s="2">
        <v>0</v>
      </c>
      <c r="F522" t="s">
        <v>5</v>
      </c>
      <c r="G522" s="2">
        <v>0</v>
      </c>
      <c r="H522" s="2">
        <v>0</v>
      </c>
      <c r="I522" s="2">
        <v>0</v>
      </c>
      <c r="K522" t="s">
        <v>5</v>
      </c>
      <c r="L522" s="2">
        <v>0</v>
      </c>
      <c r="M522" s="2">
        <v>0</v>
      </c>
      <c r="N522" s="2">
        <v>0</v>
      </c>
      <c r="P522" t="s">
        <v>5</v>
      </c>
      <c r="Q522" s="2">
        <v>0</v>
      </c>
      <c r="R522" s="2">
        <v>0</v>
      </c>
      <c r="S522" s="2">
        <v>0</v>
      </c>
      <c r="U522" t="s">
        <v>5</v>
      </c>
      <c r="V522" s="2">
        <v>0</v>
      </c>
      <c r="W522" s="2">
        <v>0</v>
      </c>
      <c r="X522" s="2">
        <v>0</v>
      </c>
      <c r="Z522" t="s">
        <v>5</v>
      </c>
      <c r="AA522" s="1">
        <v>0</v>
      </c>
      <c r="AB522" s="1">
        <v>0</v>
      </c>
      <c r="AC522" s="2">
        <v>0</v>
      </c>
    </row>
    <row r="523" spans="1:29" x14ac:dyDescent="0.35">
      <c r="A523" t="s">
        <v>182</v>
      </c>
      <c r="B523" s="1">
        <v>0</v>
      </c>
      <c r="C523" s="1">
        <v>-14320516.381091265</v>
      </c>
      <c r="D523" s="2">
        <v>-14320516.381091265</v>
      </c>
      <c r="F523" t="s">
        <v>182</v>
      </c>
      <c r="G523" s="2">
        <v>0</v>
      </c>
      <c r="H523" s="2">
        <v>-3211789.1412941306</v>
      </c>
      <c r="I523" s="2">
        <v>-3211789.1412941306</v>
      </c>
      <c r="K523" t="s">
        <v>182</v>
      </c>
      <c r="L523" s="2">
        <v>0</v>
      </c>
      <c r="M523" s="2">
        <v>-2257777.471102715</v>
      </c>
      <c r="N523" s="2">
        <v>-2257777.471102715</v>
      </c>
      <c r="P523" t="s">
        <v>182</v>
      </c>
      <c r="Q523" s="2">
        <v>0</v>
      </c>
      <c r="R523" s="2">
        <v>-5469566.6123968456</v>
      </c>
      <c r="S523" s="2">
        <v>-5469566.6123968456</v>
      </c>
      <c r="U523" t="s">
        <v>182</v>
      </c>
      <c r="V523" s="2">
        <v>0</v>
      </c>
      <c r="W523" s="2">
        <v>-5781405.2362351008</v>
      </c>
      <c r="X523" s="2">
        <v>-5781405.2362351008</v>
      </c>
      <c r="Z523" t="s">
        <v>182</v>
      </c>
      <c r="AA523" s="1">
        <v>0</v>
      </c>
      <c r="AB523" s="1">
        <v>-3069544.5324593186</v>
      </c>
      <c r="AC523" s="2">
        <v>-3069544.5324593186</v>
      </c>
    </row>
    <row r="524" spans="1:29" x14ac:dyDescent="0.35">
      <c r="A524" s="19" t="s">
        <v>11</v>
      </c>
      <c r="B524" s="20">
        <v>0</v>
      </c>
      <c r="C524" s="20">
        <v>-286645977.21168178</v>
      </c>
      <c r="D524" s="20">
        <v>-286645977.21168178</v>
      </c>
      <c r="F524" s="5" t="s">
        <v>11</v>
      </c>
      <c r="G524" s="235">
        <v>0</v>
      </c>
      <c r="H524" s="235">
        <v>-73339274.620361403</v>
      </c>
      <c r="I524" s="235">
        <v>-73339274.620361403</v>
      </c>
      <c r="K524" s="5" t="s">
        <v>11</v>
      </c>
      <c r="L524" s="235">
        <v>0</v>
      </c>
      <c r="M524" s="235">
        <v>-76382523.929432511</v>
      </c>
      <c r="N524" s="235">
        <v>-76382523.929432511</v>
      </c>
      <c r="P524" s="5" t="s">
        <v>11</v>
      </c>
      <c r="Q524" s="235">
        <v>0</v>
      </c>
      <c r="R524" s="235">
        <v>-149721798.5497939</v>
      </c>
      <c r="S524" s="235">
        <v>-149721798.5497939</v>
      </c>
      <c r="U524" s="5" t="s">
        <v>11</v>
      </c>
      <c r="V524" s="235">
        <v>0</v>
      </c>
      <c r="W524" s="235">
        <v>-64155493.874571785</v>
      </c>
      <c r="X524" s="235">
        <v>-64155493.874571785</v>
      </c>
      <c r="Z524" s="19" t="s">
        <v>11</v>
      </c>
      <c r="AA524" s="20">
        <v>0</v>
      </c>
      <c r="AB524" s="20">
        <v>-72768684.787316099</v>
      </c>
      <c r="AC524" s="20">
        <v>-72768684.787316099</v>
      </c>
    </row>
    <row r="525" spans="1:29" x14ac:dyDescent="0.35">
      <c r="B525" s="2"/>
      <c r="C525" s="15"/>
      <c r="D525" s="12"/>
      <c r="F525" s="6"/>
      <c r="G525" s="7"/>
      <c r="H525" s="7"/>
      <c r="I525" s="7"/>
      <c r="K525" s="6"/>
      <c r="L525" s="7"/>
      <c r="M525" s="7"/>
      <c r="N525" s="7"/>
      <c r="P525" s="6"/>
      <c r="Q525" s="7"/>
      <c r="R525" s="7"/>
      <c r="S525" s="7"/>
      <c r="V525" s="2"/>
      <c r="W525" s="15"/>
      <c r="X525" s="2"/>
      <c r="AA525" s="2"/>
      <c r="AB525" s="15"/>
      <c r="AC525" s="2"/>
    </row>
    <row r="526" spans="1:29" x14ac:dyDescent="0.35">
      <c r="B526" s="2"/>
      <c r="C526" s="15"/>
      <c r="D526" s="12"/>
      <c r="F526" s="6"/>
      <c r="G526" s="7"/>
      <c r="H526" s="7"/>
      <c r="I526" s="7"/>
      <c r="K526" s="6"/>
      <c r="L526" s="7"/>
      <c r="M526" s="7"/>
      <c r="N526" s="7"/>
      <c r="P526" s="6"/>
      <c r="Q526" s="7"/>
      <c r="R526" s="7"/>
      <c r="S526" s="7"/>
      <c r="V526" s="2"/>
      <c r="W526" s="15"/>
      <c r="X526" s="2"/>
      <c r="AA526" s="2"/>
      <c r="AB526" s="15"/>
      <c r="AC526" s="2"/>
    </row>
    <row r="527" spans="1:29" x14ac:dyDescent="0.35">
      <c r="A527" s="11" t="s">
        <v>43</v>
      </c>
      <c r="B527" s="4">
        <v>17789960.579999998</v>
      </c>
      <c r="C527" s="4">
        <v>-81377544.746972084</v>
      </c>
      <c r="D527" s="4">
        <v>-63587584.166972086</v>
      </c>
      <c r="F527" s="240" t="s">
        <v>43</v>
      </c>
      <c r="G527" s="241">
        <v>4275590.92</v>
      </c>
      <c r="H527" s="241">
        <v>-46977733.710361406</v>
      </c>
      <c r="I527" s="241">
        <v>-42702142.790361404</v>
      </c>
      <c r="K527" s="240" t="s">
        <v>43</v>
      </c>
      <c r="L527" s="241">
        <v>3906528.91</v>
      </c>
      <c r="M527" s="241">
        <v>-30878615.239432506</v>
      </c>
      <c r="N527" s="241">
        <v>-26972086.329432506</v>
      </c>
      <c r="P527" s="240" t="s">
        <v>43</v>
      </c>
      <c r="Q527" s="241">
        <v>8182119.8300000001</v>
      </c>
      <c r="R527" s="241">
        <v>-77856348.949793905</v>
      </c>
      <c r="S527" s="241">
        <v>-69674229.119793892</v>
      </c>
      <c r="U527" s="240" t="s">
        <v>43</v>
      </c>
      <c r="V527" s="241">
        <v>4002524.62</v>
      </c>
      <c r="W527" s="241">
        <v>-5508885.8145717755</v>
      </c>
      <c r="X527" s="241">
        <v>-1506360.1945717745</v>
      </c>
      <c r="Z527" s="11" t="s">
        <v>43</v>
      </c>
      <c r="AA527" s="4">
        <v>5605316.129999998</v>
      </c>
      <c r="AB527" s="4">
        <v>1987690.0173935965</v>
      </c>
      <c r="AC527" s="4">
        <v>7593005.1473935805</v>
      </c>
    </row>
    <row r="528" spans="1:29" x14ac:dyDescent="0.35">
      <c r="A528" t="s">
        <v>6</v>
      </c>
      <c r="B528" s="1">
        <v>0</v>
      </c>
      <c r="C528" s="1">
        <v>-10513359.289999999</v>
      </c>
      <c r="D528" s="2">
        <v>-10513359.289999999</v>
      </c>
      <c r="F528" t="s">
        <v>6</v>
      </c>
      <c r="G528" s="2">
        <v>0</v>
      </c>
      <c r="H528" s="2">
        <v>-451742</v>
      </c>
      <c r="I528" s="2">
        <v>-451742</v>
      </c>
      <c r="K528" t="s">
        <v>6</v>
      </c>
      <c r="L528" s="2">
        <v>0</v>
      </c>
      <c r="M528" s="2">
        <v>-2142031</v>
      </c>
      <c r="N528" s="2">
        <v>-2142031</v>
      </c>
      <c r="P528" t="s">
        <v>6</v>
      </c>
      <c r="Q528" s="2">
        <v>0</v>
      </c>
      <c r="R528" s="2">
        <v>-2593773</v>
      </c>
      <c r="S528" s="2">
        <v>-2593773</v>
      </c>
      <c r="U528" t="s">
        <v>6</v>
      </c>
      <c r="V528" s="2">
        <v>0</v>
      </c>
      <c r="W528" s="2">
        <v>-694060</v>
      </c>
      <c r="X528" s="2">
        <v>-694060</v>
      </c>
      <c r="Z528" t="s">
        <v>6</v>
      </c>
      <c r="AA528" s="1">
        <v>0</v>
      </c>
      <c r="AB528" s="1">
        <v>-7225526.2899999991</v>
      </c>
      <c r="AC528" s="2">
        <v>-7225526.2899999991</v>
      </c>
    </row>
    <row r="529" spans="1:29" x14ac:dyDescent="0.35">
      <c r="A529" s="11" t="s">
        <v>7</v>
      </c>
      <c r="B529" s="4">
        <v>17789960.579999998</v>
      </c>
      <c r="C529" s="4">
        <v>-91890904.036972076</v>
      </c>
      <c r="D529" s="4">
        <v>-74100943.456972077</v>
      </c>
      <c r="F529" s="242" t="s">
        <v>7</v>
      </c>
      <c r="G529" s="243">
        <v>4275590.92</v>
      </c>
      <c r="H529" s="243">
        <v>-47429475.710361406</v>
      </c>
      <c r="I529" s="243">
        <v>-43153884.790361404</v>
      </c>
      <c r="K529" s="242" t="s">
        <v>7</v>
      </c>
      <c r="L529" s="243">
        <v>3906528.91</v>
      </c>
      <c r="M529" s="243">
        <v>-33020646.239432506</v>
      </c>
      <c r="N529" s="243">
        <v>-29114117.329432506</v>
      </c>
      <c r="P529" s="242" t="s">
        <v>7</v>
      </c>
      <c r="Q529" s="243">
        <v>8182119.8300000001</v>
      </c>
      <c r="R529" s="243">
        <v>-80450121.949793905</v>
      </c>
      <c r="S529" s="243">
        <v>-72268002.119793892</v>
      </c>
      <c r="U529" s="242" t="s">
        <v>7</v>
      </c>
      <c r="V529" s="243">
        <v>4002524.62</v>
      </c>
      <c r="W529" s="243">
        <v>-6202945.8145717755</v>
      </c>
      <c r="X529" s="243">
        <v>-2200420.1945717745</v>
      </c>
      <c r="Z529" s="11" t="s">
        <v>7</v>
      </c>
      <c r="AA529" s="137">
        <v>5605316.129999998</v>
      </c>
      <c r="AB529" s="137">
        <v>-5237836.2726063952</v>
      </c>
      <c r="AC529" s="4">
        <v>367478.85739358887</v>
      </c>
    </row>
    <row r="530" spans="1:29" x14ac:dyDescent="0.35">
      <c r="A530" t="s">
        <v>8</v>
      </c>
      <c r="B530" s="1">
        <v>0</v>
      </c>
      <c r="C530" s="1">
        <v>52287372.535684556</v>
      </c>
      <c r="D530" s="2">
        <v>52287372.535684556</v>
      </c>
      <c r="F530" t="s">
        <v>8</v>
      </c>
      <c r="G530" s="2">
        <v>0</v>
      </c>
      <c r="H530" s="2">
        <v>27786436.365559679</v>
      </c>
      <c r="I530" s="2">
        <v>27786436.365559679</v>
      </c>
      <c r="K530" t="s">
        <v>8</v>
      </c>
      <c r="L530" s="2">
        <v>0</v>
      </c>
      <c r="M530" s="2">
        <v>17741302.354616378</v>
      </c>
      <c r="N530" s="2">
        <v>17741302.354616378</v>
      </c>
      <c r="P530" t="s">
        <v>8</v>
      </c>
      <c r="Q530" s="2">
        <v>0</v>
      </c>
      <c r="R530" s="2">
        <v>45527738.720176056</v>
      </c>
      <c r="S530" s="2">
        <v>45527738.720176056</v>
      </c>
      <c r="U530" t="s">
        <v>8</v>
      </c>
      <c r="V530" s="2">
        <v>0</v>
      </c>
      <c r="W530" s="2">
        <v>4116149.7918602005</v>
      </c>
      <c r="X530" s="2">
        <v>4116149.7918602005</v>
      </c>
      <c r="Z530" t="s">
        <v>8</v>
      </c>
      <c r="AA530" s="1">
        <v>0</v>
      </c>
      <c r="AB530" s="1">
        <v>2643484.0236482993</v>
      </c>
      <c r="AC530" s="2">
        <v>2643484.0236482993</v>
      </c>
    </row>
    <row r="531" spans="1:29" x14ac:dyDescent="0.35">
      <c r="A531" s="11" t="s">
        <v>161</v>
      </c>
      <c r="B531" s="4">
        <v>17789960.579999998</v>
      </c>
      <c r="C531" s="4">
        <v>-39603531.50128752</v>
      </c>
      <c r="D531" s="4">
        <v>-21813570.921287522</v>
      </c>
      <c r="F531" s="242" t="s">
        <v>9</v>
      </c>
      <c r="G531" s="244">
        <v>4275590.92</v>
      </c>
      <c r="H531" s="244">
        <v>-19643039.344801728</v>
      </c>
      <c r="I531" s="244">
        <v>-15367448.424801726</v>
      </c>
      <c r="K531" s="242" t="s">
        <v>9</v>
      </c>
      <c r="L531" s="244">
        <v>3906528.91</v>
      </c>
      <c r="M531" s="244">
        <v>-15279343.884816129</v>
      </c>
      <c r="N531" s="244">
        <v>-11372814.974816129</v>
      </c>
      <c r="P531" s="242" t="s">
        <v>9</v>
      </c>
      <c r="Q531" s="244">
        <v>8182119.8300000001</v>
      </c>
      <c r="R531" s="244">
        <v>-34922383.229617849</v>
      </c>
      <c r="S531" s="244">
        <v>-26740263.399617836</v>
      </c>
      <c r="U531" s="242" t="s">
        <v>9</v>
      </c>
      <c r="V531" s="244">
        <v>4002524.62</v>
      </c>
      <c r="W531" s="244">
        <v>-2086796.022711575</v>
      </c>
      <c r="X531" s="244">
        <v>1915729.597288426</v>
      </c>
      <c r="Z531" s="11" t="s">
        <v>9</v>
      </c>
      <c r="AA531" s="137">
        <v>5605316.129999998</v>
      </c>
      <c r="AB531" s="137">
        <v>-2594352.2489580959</v>
      </c>
      <c r="AC531" s="4">
        <v>3010962.8810418881</v>
      </c>
    </row>
    <row r="532" spans="1:29" x14ac:dyDescent="0.35">
      <c r="B532" s="3">
        <v>17789960.579999998</v>
      </c>
      <c r="C532" s="3">
        <v>-39603531.50128752</v>
      </c>
      <c r="D532" s="3"/>
      <c r="F532" s="19"/>
      <c r="G532" s="254"/>
      <c r="H532" s="254"/>
      <c r="I532" s="254"/>
      <c r="L532" s="3"/>
      <c r="M532" s="3"/>
      <c r="N532" s="3">
        <v>-2.9802322387695313E-8</v>
      </c>
      <c r="Q532" s="3">
        <v>0.33000000007450581</v>
      </c>
      <c r="R532" s="3">
        <v>-0.36350886523723602</v>
      </c>
      <c r="V532" s="3">
        <v>-4.9999997019767761E-2</v>
      </c>
      <c r="W532" s="3">
        <v>-0.84430082887411118</v>
      </c>
      <c r="AA532" s="12">
        <v>0</v>
      </c>
      <c r="AB532" s="12">
        <v>0</v>
      </c>
      <c r="AC532" s="12">
        <v>0</v>
      </c>
    </row>
    <row r="533" spans="1:29" x14ac:dyDescent="0.35">
      <c r="G533" s="15"/>
      <c r="H533" s="15"/>
      <c r="I533" s="12"/>
      <c r="AC533" s="3"/>
    </row>
    <row r="534" spans="1:29" x14ac:dyDescent="0.35">
      <c r="G534" s="15"/>
      <c r="H534" s="15"/>
      <c r="I534" s="12"/>
      <c r="AC534" s="3"/>
    </row>
    <row r="535" spans="1:29" ht="18.5" x14ac:dyDescent="0.35">
      <c r="A535" s="303" t="s">
        <v>255</v>
      </c>
      <c r="B535" s="303"/>
      <c r="C535" s="303"/>
      <c r="D535" s="303"/>
      <c r="F535" s="303" t="s">
        <v>229</v>
      </c>
      <c r="G535" s="303"/>
      <c r="H535" s="303"/>
      <c r="I535" s="303"/>
      <c r="K535" s="303" t="s">
        <v>243</v>
      </c>
      <c r="L535" s="303"/>
      <c r="M535" s="303"/>
      <c r="N535" s="303"/>
      <c r="P535" s="303" t="s">
        <v>244</v>
      </c>
      <c r="Q535" s="303"/>
      <c r="R535" s="303"/>
      <c r="S535" s="303"/>
      <c r="U535" s="303" t="s">
        <v>249</v>
      </c>
      <c r="V535" s="303"/>
      <c r="W535" s="303"/>
      <c r="X535" s="303"/>
      <c r="Z535" s="303" t="s">
        <v>255</v>
      </c>
      <c r="AA535" s="303"/>
      <c r="AB535" s="303"/>
      <c r="AC535" s="303"/>
    </row>
    <row r="536" spans="1:29" ht="15.5" x14ac:dyDescent="0.35">
      <c r="A536" s="8"/>
      <c r="B536" s="10" t="s">
        <v>46</v>
      </c>
      <c r="C536" s="10" t="s">
        <v>1</v>
      </c>
      <c r="D536" s="10" t="s">
        <v>48</v>
      </c>
      <c r="F536" s="8"/>
      <c r="G536" s="10" t="s">
        <v>46</v>
      </c>
      <c r="H536" s="10" t="s">
        <v>1</v>
      </c>
      <c r="I536" s="10" t="s">
        <v>48</v>
      </c>
      <c r="K536" s="8"/>
      <c r="L536" s="10" t="s">
        <v>46</v>
      </c>
      <c r="M536" s="10" t="s">
        <v>1</v>
      </c>
      <c r="N536" s="10" t="s">
        <v>48</v>
      </c>
      <c r="P536" s="8"/>
      <c r="Q536" s="10" t="s">
        <v>46</v>
      </c>
      <c r="R536" s="10" t="s">
        <v>1</v>
      </c>
      <c r="S536" s="10" t="s">
        <v>48</v>
      </c>
      <c r="U536" s="8"/>
      <c r="V536" s="10" t="s">
        <v>46</v>
      </c>
      <c r="W536" s="10" t="s">
        <v>1</v>
      </c>
      <c r="X536" s="10" t="s">
        <v>48</v>
      </c>
      <c r="Z536" s="8"/>
      <c r="AA536" s="10" t="s">
        <v>46</v>
      </c>
      <c r="AB536" s="10" t="s">
        <v>1</v>
      </c>
      <c r="AC536" s="10" t="s">
        <v>48</v>
      </c>
    </row>
    <row r="537" spans="1:29" x14ac:dyDescent="0.35">
      <c r="A537" s="234" t="s">
        <v>223</v>
      </c>
      <c r="B537" s="2"/>
      <c r="D537"/>
      <c r="F537" s="234" t="s">
        <v>223</v>
      </c>
      <c r="K537" s="234" t="s">
        <v>223</v>
      </c>
      <c r="P537" s="234" t="s">
        <v>223</v>
      </c>
      <c r="U537" s="234" t="s">
        <v>223</v>
      </c>
      <c r="Z537" s="234" t="s">
        <v>223</v>
      </c>
      <c r="AA537" s="2"/>
    </row>
    <row r="538" spans="1:29" x14ac:dyDescent="0.35">
      <c r="A538" s="234"/>
      <c r="B538" s="2"/>
      <c r="D538"/>
      <c r="F538" s="234"/>
      <c r="K538" s="234"/>
      <c r="P538" s="234"/>
      <c r="U538" s="234"/>
      <c r="Z538" s="234"/>
      <c r="AA538" s="2"/>
    </row>
    <row r="539" spans="1:29" x14ac:dyDescent="0.35">
      <c r="A539" t="s">
        <v>85</v>
      </c>
      <c r="B539" s="2">
        <v>0</v>
      </c>
      <c r="C539" s="2">
        <v>33860677.600000001</v>
      </c>
      <c r="D539" s="2">
        <v>33860677.600000001</v>
      </c>
      <c r="F539" t="s">
        <v>85</v>
      </c>
      <c r="G539" s="2">
        <v>0</v>
      </c>
      <c r="H539" s="2">
        <v>1899403.39</v>
      </c>
      <c r="I539" s="2">
        <v>1899403.39</v>
      </c>
      <c r="K539" t="s">
        <v>85</v>
      </c>
      <c r="L539" s="2">
        <v>0</v>
      </c>
      <c r="M539" s="2">
        <v>7691646.7500000009</v>
      </c>
      <c r="N539" s="2">
        <v>7691646.7500000009</v>
      </c>
      <c r="P539" t="s">
        <v>85</v>
      </c>
      <c r="Q539" s="2">
        <v>0</v>
      </c>
      <c r="R539" s="2">
        <v>9591050.1400000006</v>
      </c>
      <c r="S539" s="2">
        <v>9591050.1400000006</v>
      </c>
      <c r="U539" t="s">
        <v>85</v>
      </c>
      <c r="V539" s="2">
        <v>0</v>
      </c>
      <c r="W539" s="2">
        <v>19447097.319999997</v>
      </c>
      <c r="X539" s="2">
        <v>19447097.319999997</v>
      </c>
      <c r="Z539" t="s">
        <v>85</v>
      </c>
      <c r="AA539" s="2">
        <v>0</v>
      </c>
      <c r="AB539" s="2">
        <v>4822530.1400000043</v>
      </c>
      <c r="AC539" s="2">
        <v>4822530.1400000043</v>
      </c>
    </row>
    <row r="540" spans="1:29" x14ac:dyDescent="0.35">
      <c r="A540" t="s">
        <v>19</v>
      </c>
      <c r="B540" s="2">
        <v>0</v>
      </c>
      <c r="C540" s="2">
        <v>966019.42</v>
      </c>
      <c r="D540" s="2">
        <v>966019.42</v>
      </c>
      <c r="F540" t="s">
        <v>19</v>
      </c>
      <c r="G540" s="2">
        <v>0</v>
      </c>
      <c r="H540" s="2">
        <v>211486.93000000002</v>
      </c>
      <c r="I540" s="2">
        <v>211486.93000000002</v>
      </c>
      <c r="K540" t="s">
        <v>19</v>
      </c>
      <c r="L540" s="2">
        <v>0</v>
      </c>
      <c r="M540" s="2">
        <v>314594.13</v>
      </c>
      <c r="N540" s="2">
        <v>314594.13</v>
      </c>
      <c r="P540" t="s">
        <v>19</v>
      </c>
      <c r="Q540" s="2">
        <v>0</v>
      </c>
      <c r="R540" s="2">
        <v>526081.06000000006</v>
      </c>
      <c r="S540" s="2">
        <v>526081.06000000006</v>
      </c>
      <c r="U540" t="s">
        <v>19</v>
      </c>
      <c r="V540" s="2">
        <v>0</v>
      </c>
      <c r="W540" s="2">
        <v>181841.43999999994</v>
      </c>
      <c r="X540" s="2">
        <v>181841.43999999994</v>
      </c>
      <c r="Z540" t="s">
        <v>19</v>
      </c>
      <c r="AA540" s="2">
        <v>0</v>
      </c>
      <c r="AB540" s="2">
        <v>258096.92000000004</v>
      </c>
      <c r="AC540" s="2">
        <v>258096.92000000004</v>
      </c>
    </row>
    <row r="541" spans="1:29" x14ac:dyDescent="0.35">
      <c r="A541" t="s">
        <v>86</v>
      </c>
      <c r="B541" s="2">
        <v>0</v>
      </c>
      <c r="C541" s="2">
        <v>0</v>
      </c>
      <c r="D541" s="2">
        <v>0</v>
      </c>
      <c r="F541" t="s">
        <v>86</v>
      </c>
      <c r="G541" s="2">
        <v>0</v>
      </c>
      <c r="H541" s="2">
        <v>0</v>
      </c>
      <c r="I541" s="2">
        <v>0</v>
      </c>
      <c r="K541" t="s">
        <v>86</v>
      </c>
      <c r="L541" s="2">
        <v>0</v>
      </c>
      <c r="M541" s="2">
        <v>0</v>
      </c>
      <c r="N541" s="2">
        <v>0</v>
      </c>
      <c r="P541" t="s">
        <v>86</v>
      </c>
      <c r="Q541" s="2">
        <v>0</v>
      </c>
      <c r="R541" s="2">
        <v>0</v>
      </c>
      <c r="S541" s="2">
        <v>0</v>
      </c>
      <c r="U541" t="s">
        <v>86</v>
      </c>
      <c r="V541" s="2">
        <v>0</v>
      </c>
      <c r="W541" s="2">
        <v>0</v>
      </c>
      <c r="X541" s="2">
        <v>0</v>
      </c>
      <c r="Z541" t="s">
        <v>86</v>
      </c>
      <c r="AA541" s="2">
        <v>0</v>
      </c>
      <c r="AB541" s="2">
        <v>0</v>
      </c>
      <c r="AC541" s="2">
        <v>0</v>
      </c>
    </row>
    <row r="542" spans="1:29" x14ac:dyDescent="0.35">
      <c r="A542" t="s">
        <v>87</v>
      </c>
      <c r="B542" s="2">
        <v>0</v>
      </c>
      <c r="C542" s="2">
        <v>-262315.84000000003</v>
      </c>
      <c r="D542" s="2">
        <v>-262315.84000000003</v>
      </c>
      <c r="F542" t="s">
        <v>87</v>
      </c>
      <c r="G542" s="2">
        <v>0</v>
      </c>
      <c r="H542" s="2">
        <v>0</v>
      </c>
      <c r="I542" s="2">
        <v>0</v>
      </c>
      <c r="K542" t="s">
        <v>87</v>
      </c>
      <c r="L542" s="2">
        <v>0</v>
      </c>
      <c r="M542" s="2">
        <v>0</v>
      </c>
      <c r="N542" s="2">
        <v>0</v>
      </c>
      <c r="P542" t="s">
        <v>87</v>
      </c>
      <c r="Q542" s="2">
        <v>0</v>
      </c>
      <c r="R542" s="2">
        <v>0</v>
      </c>
      <c r="S542" s="2">
        <v>0</v>
      </c>
      <c r="U542" t="s">
        <v>87</v>
      </c>
      <c r="V542" s="2">
        <v>0</v>
      </c>
      <c r="W542" s="2">
        <v>0</v>
      </c>
      <c r="X542" s="2">
        <v>0</v>
      </c>
      <c r="Z542" t="s">
        <v>87</v>
      </c>
      <c r="AA542" s="2">
        <v>0</v>
      </c>
      <c r="AB542" s="2">
        <v>-262315.84000000003</v>
      </c>
      <c r="AC542" s="2">
        <v>-262315.84000000003</v>
      </c>
    </row>
    <row r="543" spans="1:29" x14ac:dyDescent="0.35">
      <c r="A543" s="5" t="s">
        <v>18</v>
      </c>
      <c r="B543" s="235">
        <v>0</v>
      </c>
      <c r="C543" s="235">
        <v>34564381.18</v>
      </c>
      <c r="D543" s="235">
        <v>34564381.18</v>
      </c>
      <c r="F543" s="5" t="s">
        <v>18</v>
      </c>
      <c r="G543" s="235">
        <v>0</v>
      </c>
      <c r="H543" s="235">
        <v>2110890.3199999998</v>
      </c>
      <c r="I543" s="235">
        <v>2110890.3199999998</v>
      </c>
      <c r="K543" s="5" t="s">
        <v>18</v>
      </c>
      <c r="L543" s="235">
        <v>0</v>
      </c>
      <c r="M543" s="235">
        <v>8006240.8800000008</v>
      </c>
      <c r="N543" s="235">
        <v>8006240.8800000008</v>
      </c>
      <c r="P543" s="5" t="s">
        <v>18</v>
      </c>
      <c r="Q543" s="235">
        <v>0</v>
      </c>
      <c r="R543" s="235">
        <v>10117131.200000001</v>
      </c>
      <c r="S543" s="235">
        <v>10117131.200000001</v>
      </c>
      <c r="U543" s="5" t="s">
        <v>18</v>
      </c>
      <c r="V543" s="235">
        <v>0</v>
      </c>
      <c r="W543" s="235">
        <v>19628938.759999998</v>
      </c>
      <c r="X543" s="235">
        <v>19628938.759999998</v>
      </c>
      <c r="Z543" s="5" t="s">
        <v>18</v>
      </c>
      <c r="AA543" s="235">
        <v>0</v>
      </c>
      <c r="AB543" s="235">
        <v>4818311.2200000044</v>
      </c>
      <c r="AC543" s="235">
        <v>4818311.2200000044</v>
      </c>
    </row>
    <row r="544" spans="1:29" x14ac:dyDescent="0.35">
      <c r="A544" s="234"/>
      <c r="B544" s="2"/>
      <c r="D544"/>
      <c r="F544" s="234"/>
      <c r="K544" s="234"/>
      <c r="P544" s="234"/>
      <c r="U544" s="234"/>
      <c r="Z544" s="234"/>
      <c r="AA544" s="2"/>
    </row>
    <row r="545" spans="1:29" x14ac:dyDescent="0.35">
      <c r="A545" t="s">
        <v>12</v>
      </c>
      <c r="B545" s="2">
        <v>10586819.970000003</v>
      </c>
      <c r="C545" s="2">
        <v>211659894.53782418</v>
      </c>
      <c r="D545" s="2">
        <v>222246714.50782418</v>
      </c>
      <c r="E545" s="12"/>
      <c r="F545" t="s">
        <v>12</v>
      </c>
      <c r="G545" s="2">
        <v>3834477.99</v>
      </c>
      <c r="H545" s="2">
        <v>51225317.442361012</v>
      </c>
      <c r="I545" s="2">
        <v>55059795.432361014</v>
      </c>
      <c r="K545" t="s">
        <v>12</v>
      </c>
      <c r="L545" s="2">
        <v>2479478.4800000004</v>
      </c>
      <c r="M545" s="2">
        <v>50708557.275813743</v>
      </c>
      <c r="N545" s="2">
        <v>53188035.755813748</v>
      </c>
      <c r="P545" t="s">
        <v>12</v>
      </c>
      <c r="Q545" s="2">
        <v>6313956.4700000007</v>
      </c>
      <c r="R545" s="2">
        <v>101933874.71817476</v>
      </c>
      <c r="S545" s="2">
        <v>108247831.18817475</v>
      </c>
      <c r="U545" t="s">
        <v>12</v>
      </c>
      <c r="V545" s="2">
        <v>2924756.83</v>
      </c>
      <c r="W545" s="2">
        <v>50414052.548333645</v>
      </c>
      <c r="X545" s="2">
        <v>53338809.378333643</v>
      </c>
      <c r="Z545" t="s">
        <v>12</v>
      </c>
      <c r="AA545" s="2">
        <v>1348106.6700000018</v>
      </c>
      <c r="AB545" s="2">
        <v>59311967.271315783</v>
      </c>
      <c r="AC545" s="2">
        <v>60660073.941315785</v>
      </c>
    </row>
    <row r="546" spans="1:29" x14ac:dyDescent="0.35">
      <c r="A546" t="s">
        <v>3</v>
      </c>
      <c r="B546" s="2">
        <v>-6514962.8399999999</v>
      </c>
      <c r="C546" s="2">
        <v>-30302353.940764267</v>
      </c>
      <c r="D546" s="2">
        <v>-36817316.780764267</v>
      </c>
      <c r="E546" s="12"/>
      <c r="F546" t="s">
        <v>3</v>
      </c>
      <c r="G546" s="2">
        <v>-2633448.8199999998</v>
      </c>
      <c r="H546" s="2">
        <v>-6965948.5813814979</v>
      </c>
      <c r="I546" s="2">
        <v>-9599397.4013814982</v>
      </c>
      <c r="K546" t="s">
        <v>3</v>
      </c>
      <c r="L546" s="2">
        <v>-1773008.2400000007</v>
      </c>
      <c r="M546" s="2">
        <v>-8321909.8189297337</v>
      </c>
      <c r="N546" s="2">
        <v>-10094918.058929734</v>
      </c>
      <c r="P546" t="s">
        <v>3</v>
      </c>
      <c r="Q546" s="2">
        <v>-4406457.0600000005</v>
      </c>
      <c r="R546" s="2">
        <v>-15287858.400311232</v>
      </c>
      <c r="S546" s="2">
        <v>-19694315.460311234</v>
      </c>
      <c r="U546" t="s">
        <v>3</v>
      </c>
      <c r="V546" s="2">
        <v>-1149286.8999999985</v>
      </c>
      <c r="W546" s="2">
        <v>-8517798.5874346793</v>
      </c>
      <c r="X546" s="2">
        <v>-9667085.4874346778</v>
      </c>
      <c r="Z546" t="s">
        <v>3</v>
      </c>
      <c r="AA546" s="2">
        <v>-959218.88000000082</v>
      </c>
      <c r="AB546" s="2">
        <v>-6496696.9530183561</v>
      </c>
      <c r="AC546" s="2">
        <v>-7455915.8330183569</v>
      </c>
    </row>
    <row r="547" spans="1:29" x14ac:dyDescent="0.35">
      <c r="A547" t="s">
        <v>88</v>
      </c>
      <c r="B547" s="2">
        <v>6212236.8500000006</v>
      </c>
      <c r="C547" s="2">
        <v>33645152.808158405</v>
      </c>
      <c r="D547" s="2">
        <v>39857389.658158407</v>
      </c>
      <c r="E547" s="12"/>
      <c r="F547" t="s">
        <v>88</v>
      </c>
      <c r="G547" s="2">
        <v>2262091.4299999997</v>
      </c>
      <c r="H547" s="2">
        <v>9551219.9194874633</v>
      </c>
      <c r="I547" s="2">
        <v>11813311.349487463</v>
      </c>
      <c r="K547" t="s">
        <v>88</v>
      </c>
      <c r="L547" s="2">
        <v>1633425.9700000002</v>
      </c>
      <c r="M547" s="2">
        <v>10755080.570018591</v>
      </c>
      <c r="N547" s="2">
        <v>12388506.540018592</v>
      </c>
      <c r="P547" t="s">
        <v>88</v>
      </c>
      <c r="Q547" s="2">
        <v>3895517.4</v>
      </c>
      <c r="R547" s="2">
        <v>20306300.489506055</v>
      </c>
      <c r="S547" s="2">
        <v>24201817.889506053</v>
      </c>
      <c r="U547" t="s">
        <v>88</v>
      </c>
      <c r="V547" s="2">
        <v>1561212.0800000005</v>
      </c>
      <c r="W547" s="2">
        <v>6642425.6699019372</v>
      </c>
      <c r="X547" s="2">
        <v>8203637.7499019373</v>
      </c>
      <c r="Z547" t="s">
        <v>88</v>
      </c>
      <c r="AA547" s="2">
        <v>755507.37000000011</v>
      </c>
      <c r="AB547" s="2">
        <v>6696426.6487504132</v>
      </c>
      <c r="AC547" s="2">
        <v>7451934.0187504133</v>
      </c>
    </row>
    <row r="548" spans="1:29" x14ac:dyDescent="0.35">
      <c r="A548" t="s">
        <v>13</v>
      </c>
      <c r="B548" s="2">
        <v>-486449.01999999996</v>
      </c>
      <c r="C548" s="2">
        <v>-1260536.6600000001</v>
      </c>
      <c r="D548" s="2">
        <v>-1746985.6800000002</v>
      </c>
      <c r="E548" s="12"/>
      <c r="F548" t="s">
        <v>13</v>
      </c>
      <c r="G548" s="2">
        <v>-159733.51</v>
      </c>
      <c r="H548" s="2">
        <v>-222258.1</v>
      </c>
      <c r="I548" s="2">
        <v>-381991.61</v>
      </c>
      <c r="K548" t="s">
        <v>13</v>
      </c>
      <c r="L548" s="2">
        <v>-117563.97999999998</v>
      </c>
      <c r="M548" s="2">
        <v>-265570.86</v>
      </c>
      <c r="N548" s="2">
        <v>-383134.83999999997</v>
      </c>
      <c r="P548" t="s">
        <v>13</v>
      </c>
      <c r="Q548" s="2">
        <v>-277297.49</v>
      </c>
      <c r="R548" s="2">
        <v>-487828.95999999996</v>
      </c>
      <c r="S548" s="2">
        <v>-765126.45</v>
      </c>
      <c r="U548" t="s">
        <v>13</v>
      </c>
      <c r="V548" s="2">
        <v>-80433.080000000016</v>
      </c>
      <c r="W548" s="2">
        <v>-348811.82000000007</v>
      </c>
      <c r="X548" s="2">
        <v>-429244.90000000008</v>
      </c>
      <c r="Z548" t="s">
        <v>13</v>
      </c>
      <c r="AA548" s="2">
        <v>-128718.44999999995</v>
      </c>
      <c r="AB548" s="2">
        <v>-423895.88000000012</v>
      </c>
      <c r="AC548" s="2">
        <v>-552614.33000000007</v>
      </c>
    </row>
    <row r="549" spans="1:29" x14ac:dyDescent="0.35">
      <c r="A549" s="5" t="s">
        <v>14</v>
      </c>
      <c r="B549" s="235">
        <v>9797644.9600000046</v>
      </c>
      <c r="C549" s="235">
        <v>213742156.74521831</v>
      </c>
      <c r="D549" s="235">
        <v>223539801.70521832</v>
      </c>
      <c r="E549" s="12"/>
      <c r="F549" s="5" t="s">
        <v>14</v>
      </c>
      <c r="G549" s="235">
        <v>3303387.09</v>
      </c>
      <c r="H549" s="235">
        <v>53588330.680466972</v>
      </c>
      <c r="I549" s="235">
        <v>56891717.770466976</v>
      </c>
      <c r="K549" s="5" t="s">
        <v>14</v>
      </c>
      <c r="L549" s="235">
        <v>2222332.23</v>
      </c>
      <c r="M549" s="235">
        <v>52876157.166902602</v>
      </c>
      <c r="N549" s="235">
        <v>55098489.396902606</v>
      </c>
      <c r="P549" s="5" t="s">
        <v>14</v>
      </c>
      <c r="Q549" s="235">
        <v>5525719.3200000003</v>
      </c>
      <c r="R549" s="235">
        <v>106464487.84736958</v>
      </c>
      <c r="S549" s="235">
        <v>111990207.16736957</v>
      </c>
      <c r="U549" s="5" t="s">
        <v>14</v>
      </c>
      <c r="V549" s="235">
        <v>3256248.930000002</v>
      </c>
      <c r="W549" s="235">
        <v>48189867.810800903</v>
      </c>
      <c r="X549" s="235">
        <v>51446116.740800902</v>
      </c>
      <c r="Z549" s="5" t="s">
        <v>14</v>
      </c>
      <c r="AA549" s="235">
        <v>1015676.7100000011</v>
      </c>
      <c r="AB549" s="235">
        <v>59087801.087047838</v>
      </c>
      <c r="AC549" s="235">
        <v>60103477.797047846</v>
      </c>
    </row>
    <row r="550" spans="1:29" x14ac:dyDescent="0.35">
      <c r="A550" s="6"/>
      <c r="B550" s="7"/>
      <c r="C550" s="7"/>
      <c r="D550" s="7"/>
      <c r="E550" s="12"/>
      <c r="F550" s="6"/>
      <c r="G550" s="7"/>
      <c r="H550" s="7"/>
      <c r="I550" s="7"/>
      <c r="K550" s="6"/>
      <c r="L550" s="7"/>
      <c r="M550" s="7"/>
      <c r="N550" s="7"/>
      <c r="P550" s="6"/>
      <c r="Q550" s="7"/>
      <c r="R550" s="7"/>
      <c r="S550" s="7"/>
      <c r="U550" s="6"/>
      <c r="V550" s="7"/>
      <c r="W550" s="7"/>
      <c r="X550" s="7"/>
      <c r="Z550" s="6"/>
      <c r="AA550" s="7"/>
      <c r="AB550" s="7"/>
      <c r="AC550" s="7"/>
    </row>
    <row r="551" spans="1:29" x14ac:dyDescent="0.35">
      <c r="A551" t="s">
        <v>15</v>
      </c>
      <c r="B551" s="2">
        <v>0</v>
      </c>
      <c r="C551" s="2">
        <v>23939662.095809557</v>
      </c>
      <c r="D551" s="2">
        <v>23939662.095809557</v>
      </c>
      <c r="E551" s="12"/>
      <c r="F551" t="s">
        <v>15</v>
      </c>
      <c r="G551" s="2">
        <v>0</v>
      </c>
      <c r="H551" s="2">
        <v>5246914.188404466</v>
      </c>
      <c r="I551" s="2">
        <v>5246914.188404466</v>
      </c>
      <c r="K551" t="s">
        <v>15</v>
      </c>
      <c r="L551" s="2">
        <v>0</v>
      </c>
      <c r="M551" s="2">
        <v>4232152.4872893533</v>
      </c>
      <c r="N551" s="2">
        <v>4232152.4872893533</v>
      </c>
      <c r="P551" t="s">
        <v>15</v>
      </c>
      <c r="Q551" s="2">
        <v>0</v>
      </c>
      <c r="R551" s="2">
        <v>9479066.6756938193</v>
      </c>
      <c r="S551" s="2">
        <v>9479066.6756938193</v>
      </c>
      <c r="U551" t="s">
        <v>15</v>
      </c>
      <c r="V551" s="2">
        <v>0</v>
      </c>
      <c r="W551" s="2">
        <v>6870131.3945701029</v>
      </c>
      <c r="X551" s="2">
        <v>6870131.3945701029</v>
      </c>
      <c r="Z551" t="s">
        <v>15</v>
      </c>
      <c r="AA551" s="2">
        <v>0</v>
      </c>
      <c r="AB551" s="2">
        <v>7590464.0255456343</v>
      </c>
      <c r="AC551" s="2">
        <v>7590464.0255456343</v>
      </c>
    </row>
    <row r="552" spans="1:29" x14ac:dyDescent="0.35">
      <c r="A552" t="s">
        <v>16</v>
      </c>
      <c r="B552" s="2">
        <v>0</v>
      </c>
      <c r="C552" s="2">
        <v>-6164989.2707160106</v>
      </c>
      <c r="D552" s="2">
        <v>-6164989.2707160106</v>
      </c>
      <c r="E552" s="12"/>
      <c r="F552" t="s">
        <v>16</v>
      </c>
      <c r="G552" s="2">
        <v>0</v>
      </c>
      <c r="H552" s="2">
        <v>-1057010.5209280963</v>
      </c>
      <c r="I552" s="2">
        <v>-1057010.5209280963</v>
      </c>
      <c r="K552" t="s">
        <v>16</v>
      </c>
      <c r="L552" s="2">
        <v>0</v>
      </c>
      <c r="M552" s="2">
        <v>-753089.09097825037</v>
      </c>
      <c r="N552" s="2">
        <v>-753089.09097825037</v>
      </c>
      <c r="P552" t="s">
        <v>16</v>
      </c>
      <c r="Q552" s="2">
        <v>0</v>
      </c>
      <c r="R552" s="2">
        <v>-1810099.6119063466</v>
      </c>
      <c r="S552" s="2">
        <v>-1810099.6119063466</v>
      </c>
      <c r="U552" t="s">
        <v>16</v>
      </c>
      <c r="V552" s="2">
        <v>0</v>
      </c>
      <c r="W552" s="2">
        <v>-2685663.9258923084</v>
      </c>
      <c r="X552" s="2">
        <v>-2685663.9258923084</v>
      </c>
      <c r="Z552" t="s">
        <v>16</v>
      </c>
      <c r="AA552" s="2">
        <v>0</v>
      </c>
      <c r="AB552" s="2">
        <v>-1669225.7329173554</v>
      </c>
      <c r="AC552" s="2">
        <v>-1669225.7329173554</v>
      </c>
    </row>
    <row r="553" spans="1:29" x14ac:dyDescent="0.35">
      <c r="A553" s="5" t="s">
        <v>17</v>
      </c>
      <c r="B553" s="235">
        <v>0</v>
      </c>
      <c r="C553" s="235">
        <v>17774672.825093545</v>
      </c>
      <c r="D553" s="235">
        <v>17774672.825093545</v>
      </c>
      <c r="E553" s="12"/>
      <c r="F553" s="5" t="s">
        <v>17</v>
      </c>
      <c r="G553" s="235">
        <v>0</v>
      </c>
      <c r="H553" s="235">
        <v>4189903.66747637</v>
      </c>
      <c r="I553" s="235">
        <v>4189903.66747637</v>
      </c>
      <c r="K553" s="5" t="s">
        <v>17</v>
      </c>
      <c r="L553" s="235">
        <v>0</v>
      </c>
      <c r="M553" s="235">
        <v>3479063.3963111029</v>
      </c>
      <c r="N553" s="235">
        <v>3479063.3963111029</v>
      </c>
      <c r="P553" s="5" t="s">
        <v>17</v>
      </c>
      <c r="Q553" s="235">
        <v>0</v>
      </c>
      <c r="R553" s="235">
        <v>7668967.0637874724</v>
      </c>
      <c r="S553" s="235">
        <v>7668967.0637874724</v>
      </c>
      <c r="U553" s="5" t="s">
        <v>17</v>
      </c>
      <c r="V553" s="235">
        <v>0</v>
      </c>
      <c r="W553" s="235">
        <v>4184467.4686777946</v>
      </c>
      <c r="X553" s="235">
        <v>4184467.4686777946</v>
      </c>
      <c r="Z553" s="5" t="s">
        <v>17</v>
      </c>
      <c r="AA553" s="235">
        <v>0</v>
      </c>
      <c r="AB553" s="235">
        <v>5921238.292628279</v>
      </c>
      <c r="AC553" s="235">
        <v>5921238.292628279</v>
      </c>
    </row>
    <row r="554" spans="1:29" x14ac:dyDescent="0.35">
      <c r="B554" s="2"/>
      <c r="D554"/>
      <c r="E554" s="12"/>
      <c r="AA554" s="2"/>
    </row>
    <row r="555" spans="1:29" x14ac:dyDescent="0.35">
      <c r="A555" s="16" t="s">
        <v>20</v>
      </c>
      <c r="B555" s="23">
        <v>0</v>
      </c>
      <c r="C555" s="23">
        <v>0</v>
      </c>
      <c r="D555" s="23">
        <v>0</v>
      </c>
      <c r="E555" s="12"/>
      <c r="F555" s="16" t="s">
        <v>20</v>
      </c>
      <c r="G555" s="23">
        <v>0</v>
      </c>
      <c r="H555" s="23">
        <v>0</v>
      </c>
      <c r="I555" s="23">
        <v>0</v>
      </c>
      <c r="K555" s="16" t="s">
        <v>20</v>
      </c>
      <c r="L555" s="23">
        <v>0</v>
      </c>
      <c r="M555" s="23">
        <v>0</v>
      </c>
      <c r="N555" s="23">
        <v>0</v>
      </c>
      <c r="P555" s="16" t="s">
        <v>20</v>
      </c>
      <c r="Q555" s="23">
        <v>0</v>
      </c>
      <c r="R555" s="23">
        <v>0</v>
      </c>
      <c r="S555" s="23">
        <v>0</v>
      </c>
      <c r="U555" s="16" t="s">
        <v>20</v>
      </c>
      <c r="V555" s="23">
        <v>0</v>
      </c>
      <c r="W555" s="23">
        <v>0</v>
      </c>
      <c r="X555" s="23">
        <v>0</v>
      </c>
      <c r="Z555" s="16" t="s">
        <v>20</v>
      </c>
      <c r="AA555" s="2">
        <v>0</v>
      </c>
      <c r="AB555" s="2">
        <v>0</v>
      </c>
      <c r="AC555" s="23">
        <v>0</v>
      </c>
    </row>
    <row r="556" spans="1:29" x14ac:dyDescent="0.35">
      <c r="B556" s="2"/>
      <c r="D556"/>
      <c r="E556" s="12"/>
      <c r="AA556" s="2"/>
    </row>
    <row r="557" spans="1:29" x14ac:dyDescent="0.35">
      <c r="A557" t="s">
        <v>0</v>
      </c>
      <c r="B557" s="2">
        <v>0</v>
      </c>
      <c r="C557" s="2">
        <v>28984866</v>
      </c>
      <c r="D557" s="2">
        <v>28984866</v>
      </c>
      <c r="E557" s="12"/>
      <c r="F557" t="s">
        <v>0</v>
      </c>
      <c r="G557" s="2">
        <v>0</v>
      </c>
      <c r="H557" s="2">
        <v>6386491</v>
      </c>
      <c r="I557" s="2">
        <v>6386491</v>
      </c>
      <c r="K557" t="s">
        <v>0</v>
      </c>
      <c r="L557" s="2">
        <v>0</v>
      </c>
      <c r="M557" s="2">
        <v>6415261</v>
      </c>
      <c r="N557" s="2">
        <v>6415261</v>
      </c>
      <c r="P557" t="s">
        <v>0</v>
      </c>
      <c r="Q557" s="2">
        <v>0</v>
      </c>
      <c r="R557" s="2">
        <v>12801752</v>
      </c>
      <c r="S557" s="2">
        <v>12801752</v>
      </c>
      <c r="U557" t="s">
        <v>0</v>
      </c>
      <c r="V557" s="2">
        <v>0</v>
      </c>
      <c r="W557" s="2">
        <v>7957419</v>
      </c>
      <c r="X557" s="2">
        <v>7957419</v>
      </c>
      <c r="Z557" t="s">
        <v>0</v>
      </c>
      <c r="AA557" s="2">
        <v>0</v>
      </c>
      <c r="AB557" s="2">
        <v>8225695</v>
      </c>
      <c r="AC557" s="2">
        <v>8225695</v>
      </c>
    </row>
    <row r="558" spans="1:29" x14ac:dyDescent="0.35">
      <c r="A558" t="s">
        <v>2</v>
      </c>
      <c r="B558" s="2">
        <v>0</v>
      </c>
      <c r="C558" s="2">
        <v>-17905914.445208587</v>
      </c>
      <c r="D558" s="2">
        <v>-17905914.445208587</v>
      </c>
      <c r="E558" s="12"/>
      <c r="F558" t="s">
        <v>2</v>
      </c>
      <c r="G558" s="2">
        <v>0</v>
      </c>
      <c r="H558" s="2">
        <v>-4868307.2953971699</v>
      </c>
      <c r="I558" s="2">
        <v>-4868307.2953971699</v>
      </c>
      <c r="K558" t="s">
        <v>2</v>
      </c>
      <c r="L558" s="2">
        <v>0</v>
      </c>
      <c r="M558" s="2">
        <v>-4092092.0100141391</v>
      </c>
      <c r="N558" s="2">
        <v>-4092092.0100141391</v>
      </c>
      <c r="P558" t="s">
        <v>2</v>
      </c>
      <c r="Q558" s="2">
        <v>0</v>
      </c>
      <c r="R558" s="2">
        <v>-8960399.305411309</v>
      </c>
      <c r="S558" s="2">
        <v>-8960399.305411309</v>
      </c>
      <c r="U558" t="s">
        <v>2</v>
      </c>
      <c r="V558" s="2">
        <v>0</v>
      </c>
      <c r="W558" s="2">
        <v>-4249614.3121282887</v>
      </c>
      <c r="X558" s="2">
        <v>-4249614.3121282887</v>
      </c>
      <c r="Z558" t="s">
        <v>2</v>
      </c>
      <c r="AA558" s="2">
        <v>0</v>
      </c>
      <c r="AB558" s="2">
        <v>-4695900.8276689891</v>
      </c>
      <c r="AC558" s="2">
        <v>-4695900.8276689891</v>
      </c>
    </row>
    <row r="559" spans="1:29" x14ac:dyDescent="0.35">
      <c r="A559" s="5" t="s">
        <v>21</v>
      </c>
      <c r="B559" s="235">
        <v>0</v>
      </c>
      <c r="C559" s="235">
        <v>11078951.554791413</v>
      </c>
      <c r="D559" s="235">
        <v>11078951.554791413</v>
      </c>
      <c r="E559" s="12"/>
      <c r="F559" s="5" t="s">
        <v>21</v>
      </c>
      <c r="G559" s="235">
        <v>0</v>
      </c>
      <c r="H559" s="235">
        <v>1518183.7046028301</v>
      </c>
      <c r="I559" s="235">
        <v>1518183.7046028301</v>
      </c>
      <c r="K559" s="5" t="s">
        <v>21</v>
      </c>
      <c r="L559" s="235">
        <v>0</v>
      </c>
      <c r="M559" s="235">
        <v>2323168.9899858609</v>
      </c>
      <c r="N559" s="235">
        <v>2323168.9899858609</v>
      </c>
      <c r="P559" s="5" t="s">
        <v>21</v>
      </c>
      <c r="Q559" s="235">
        <v>0</v>
      </c>
      <c r="R559" s="235">
        <v>3841352.694588691</v>
      </c>
      <c r="S559" s="235">
        <v>3841352.694588691</v>
      </c>
      <c r="U559" s="5" t="s">
        <v>21</v>
      </c>
      <c r="V559" s="235">
        <v>0</v>
      </c>
      <c r="W559" s="235">
        <v>3707804.6878717113</v>
      </c>
      <c r="X559" s="235">
        <v>3707804.6878717113</v>
      </c>
      <c r="Z559" s="5" t="s">
        <v>21</v>
      </c>
      <c r="AA559" s="235">
        <v>0</v>
      </c>
      <c r="AB559" s="235">
        <v>3529794.1723310109</v>
      </c>
      <c r="AC559" s="235">
        <v>3529794.1723310109</v>
      </c>
    </row>
    <row r="560" spans="1:29" ht="15" thickBot="1" x14ac:dyDescent="0.4">
      <c r="A560" s="236" t="s">
        <v>22</v>
      </c>
      <c r="B560" s="237">
        <v>9797645</v>
      </c>
      <c r="C560" s="237">
        <v>277160162</v>
      </c>
      <c r="D560" s="237">
        <v>286957807</v>
      </c>
      <c r="E560" s="12"/>
      <c r="F560" s="236" t="s">
        <v>22</v>
      </c>
      <c r="G560" s="237">
        <v>3303387</v>
      </c>
      <c r="H560" s="237">
        <v>61407308</v>
      </c>
      <c r="I560" s="237">
        <v>64710695</v>
      </c>
      <c r="K560" s="236" t="s">
        <v>22</v>
      </c>
      <c r="L560" s="237">
        <v>2222332</v>
      </c>
      <c r="M560" s="237">
        <v>66684630</v>
      </c>
      <c r="N560" s="237">
        <v>68906963</v>
      </c>
      <c r="P560" s="236" t="s">
        <v>22</v>
      </c>
      <c r="Q560" s="237">
        <v>5525719</v>
      </c>
      <c r="R560" s="237">
        <v>128091939</v>
      </c>
      <c r="S560" s="237">
        <v>133617658</v>
      </c>
      <c r="U560" s="236" t="s">
        <v>22</v>
      </c>
      <c r="V560" s="237">
        <v>3256249</v>
      </c>
      <c r="W560" s="237">
        <v>75711079</v>
      </c>
      <c r="X560" s="237">
        <v>78967328</v>
      </c>
      <c r="Z560" s="236" t="s">
        <v>22</v>
      </c>
      <c r="AA560" s="237">
        <v>1015677</v>
      </c>
      <c r="AB560" s="237">
        <v>73357145</v>
      </c>
      <c r="AC560" s="237">
        <v>74372821</v>
      </c>
    </row>
    <row r="561" spans="1:29" ht="15" thickTop="1" x14ac:dyDescent="0.35">
      <c r="A561" s="6"/>
      <c r="B561" s="7"/>
      <c r="C561" s="7"/>
      <c r="D561" s="7"/>
      <c r="E561" s="12"/>
      <c r="F561" s="6"/>
      <c r="G561" s="7"/>
      <c r="H561" s="7"/>
      <c r="I561" s="7"/>
      <c r="K561" s="6"/>
      <c r="L561" s="7"/>
      <c r="M561" s="7"/>
      <c r="N561" s="7"/>
      <c r="P561" s="6"/>
      <c r="Q561" s="7"/>
      <c r="R561" s="7"/>
      <c r="S561" s="7"/>
      <c r="U561" s="6"/>
      <c r="V561" s="7"/>
      <c r="W561" s="7"/>
      <c r="X561" s="7"/>
      <c r="Z561" s="6"/>
      <c r="AA561" s="7"/>
      <c r="AB561" s="7"/>
      <c r="AC561" s="7"/>
    </row>
    <row r="562" spans="1:29" x14ac:dyDescent="0.35">
      <c r="A562" s="234" t="s">
        <v>23</v>
      </c>
      <c r="B562" s="7"/>
      <c r="C562" s="7"/>
      <c r="D562" s="7"/>
      <c r="E562" s="12"/>
      <c r="F562" s="234" t="s">
        <v>23</v>
      </c>
      <c r="G562" s="7"/>
      <c r="H562" s="7"/>
      <c r="I562" s="7"/>
      <c r="K562" s="234" t="s">
        <v>23</v>
      </c>
      <c r="L562" s="7"/>
      <c r="M562" s="7"/>
      <c r="N562" s="7"/>
      <c r="P562" s="234" t="s">
        <v>23</v>
      </c>
      <c r="Q562" s="7"/>
      <c r="R562" s="7"/>
      <c r="S562" s="7"/>
      <c r="U562" s="234" t="s">
        <v>23</v>
      </c>
      <c r="V562" s="7"/>
      <c r="W562" s="7"/>
      <c r="X562" s="7"/>
      <c r="Z562" s="234" t="s">
        <v>23</v>
      </c>
      <c r="AA562" s="7"/>
      <c r="AB562" s="7"/>
      <c r="AC562" s="7"/>
    </row>
    <row r="563" spans="1:29" x14ac:dyDescent="0.35">
      <c r="A563" t="s">
        <v>241</v>
      </c>
      <c r="B563" s="2">
        <v>0</v>
      </c>
      <c r="C563" s="2">
        <v>0</v>
      </c>
      <c r="D563" s="2">
        <v>0</v>
      </c>
      <c r="E563" s="12"/>
      <c r="F563" t="s">
        <v>241</v>
      </c>
      <c r="G563" s="2">
        <v>0</v>
      </c>
      <c r="H563" s="2">
        <v>0</v>
      </c>
      <c r="I563" s="2">
        <v>0</v>
      </c>
      <c r="K563" t="s">
        <v>241</v>
      </c>
      <c r="L563" s="2">
        <v>0</v>
      </c>
      <c r="M563" s="2">
        <v>0</v>
      </c>
      <c r="N563" s="2">
        <v>0</v>
      </c>
      <c r="P563" t="s">
        <v>241</v>
      </c>
      <c r="Q563" s="2">
        <v>0</v>
      </c>
      <c r="R563" s="2">
        <v>0</v>
      </c>
      <c r="S563" s="2">
        <v>0</v>
      </c>
      <c r="U563" t="s">
        <v>241</v>
      </c>
      <c r="V563" s="2">
        <v>0</v>
      </c>
      <c r="W563" s="2">
        <v>0</v>
      </c>
      <c r="X563" s="2">
        <v>0</v>
      </c>
      <c r="Z563" t="s">
        <v>241</v>
      </c>
      <c r="AA563" s="2">
        <v>0</v>
      </c>
      <c r="AB563" s="2">
        <v>0</v>
      </c>
      <c r="AC563" s="2">
        <v>0</v>
      </c>
    </row>
    <row r="564" spans="1:29" x14ac:dyDescent="0.35">
      <c r="A564" t="s">
        <v>231</v>
      </c>
      <c r="B564" s="2">
        <v>0</v>
      </c>
      <c r="C564" s="2">
        <v>0</v>
      </c>
      <c r="D564" s="2">
        <v>0</v>
      </c>
      <c r="E564" s="12"/>
      <c r="F564" t="s">
        <v>231</v>
      </c>
      <c r="G564" s="2">
        <v>0</v>
      </c>
      <c r="H564" s="2">
        <v>0</v>
      </c>
      <c r="I564" s="2">
        <v>0</v>
      </c>
      <c r="K564" t="s">
        <v>231</v>
      </c>
      <c r="L564" s="2">
        <v>0</v>
      </c>
      <c r="M564" s="2">
        <v>0</v>
      </c>
      <c r="N564" s="2">
        <v>0</v>
      </c>
      <c r="P564" t="s">
        <v>231</v>
      </c>
      <c r="Q564" s="2">
        <v>0</v>
      </c>
      <c r="R564" s="2">
        <v>0</v>
      </c>
      <c r="S564" s="2">
        <v>0</v>
      </c>
      <c r="U564" t="s">
        <v>231</v>
      </c>
      <c r="V564" s="2">
        <v>0</v>
      </c>
      <c r="W564" s="2">
        <v>0</v>
      </c>
      <c r="X564" s="2">
        <v>0</v>
      </c>
      <c r="Z564" t="s">
        <v>231</v>
      </c>
      <c r="AA564" s="2">
        <v>0</v>
      </c>
      <c r="AB564" s="2">
        <v>0</v>
      </c>
      <c r="AC564" s="2">
        <v>0</v>
      </c>
    </row>
    <row r="565" spans="1:29" ht="15" thickBot="1" x14ac:dyDescent="0.4">
      <c r="A565" s="236" t="s">
        <v>232</v>
      </c>
      <c r="B565" s="238">
        <v>0</v>
      </c>
      <c r="C565" s="238">
        <v>0</v>
      </c>
      <c r="D565" s="238">
        <v>0</v>
      </c>
      <c r="E565" s="12"/>
      <c r="F565" s="236" t="s">
        <v>232</v>
      </c>
      <c r="G565" s="238">
        <v>0</v>
      </c>
      <c r="H565" s="238">
        <v>0</v>
      </c>
      <c r="I565" s="238">
        <v>0</v>
      </c>
      <c r="K565" s="236" t="s">
        <v>232</v>
      </c>
      <c r="L565" s="238">
        <v>0</v>
      </c>
      <c r="M565" s="238">
        <v>0</v>
      </c>
      <c r="N565" s="238">
        <v>0</v>
      </c>
      <c r="P565" s="236" t="s">
        <v>232</v>
      </c>
      <c r="Q565" s="238">
        <v>0</v>
      </c>
      <c r="R565" s="238">
        <v>0</v>
      </c>
      <c r="S565" s="238">
        <v>0</v>
      </c>
      <c r="U565" s="236" t="s">
        <v>232</v>
      </c>
      <c r="V565" s="238">
        <v>0</v>
      </c>
      <c r="W565" s="238">
        <v>0</v>
      </c>
      <c r="X565" s="238">
        <v>0</v>
      </c>
      <c r="Z565" s="236" t="s">
        <v>232</v>
      </c>
      <c r="AA565" s="238">
        <v>0</v>
      </c>
      <c r="AB565" s="238">
        <v>0</v>
      </c>
      <c r="AC565" s="238">
        <v>0</v>
      </c>
    </row>
    <row r="566" spans="1:29" ht="15" thickTop="1" x14ac:dyDescent="0.35">
      <c r="A566" t="s">
        <v>233</v>
      </c>
      <c r="B566" s="2">
        <v>0</v>
      </c>
      <c r="C566" s="2">
        <v>0</v>
      </c>
      <c r="D566" s="2">
        <v>0</v>
      </c>
      <c r="E566" s="12"/>
      <c r="F566" t="s">
        <v>233</v>
      </c>
      <c r="G566" s="2">
        <v>0</v>
      </c>
      <c r="H566" s="2">
        <v>0</v>
      </c>
      <c r="I566" s="2">
        <v>0</v>
      </c>
      <c r="K566" t="s">
        <v>233</v>
      </c>
      <c r="L566" s="2">
        <v>0</v>
      </c>
      <c r="M566" s="2">
        <v>0</v>
      </c>
      <c r="N566" s="2">
        <v>0</v>
      </c>
      <c r="P566" t="s">
        <v>233</v>
      </c>
      <c r="Q566" s="2">
        <v>0</v>
      </c>
      <c r="R566" s="2">
        <v>0</v>
      </c>
      <c r="S566" s="2">
        <v>0</v>
      </c>
      <c r="U566" t="s">
        <v>233</v>
      </c>
      <c r="V566" s="2">
        <v>0</v>
      </c>
      <c r="W566" s="2">
        <v>0</v>
      </c>
      <c r="X566" s="2">
        <v>0</v>
      </c>
      <c r="Z566" t="s">
        <v>233</v>
      </c>
      <c r="AA566" s="2">
        <v>0</v>
      </c>
      <c r="AB566" s="2">
        <v>0</v>
      </c>
      <c r="AC566" s="2">
        <v>0</v>
      </c>
    </row>
    <row r="567" spans="1:29" x14ac:dyDescent="0.35">
      <c r="A567" t="s">
        <v>234</v>
      </c>
      <c r="B567" s="2">
        <v>0</v>
      </c>
      <c r="C567" s="2">
        <v>0</v>
      </c>
      <c r="D567" s="2">
        <v>0</v>
      </c>
      <c r="E567" s="12"/>
      <c r="F567" t="s">
        <v>234</v>
      </c>
      <c r="G567" s="2">
        <v>0</v>
      </c>
      <c r="H567" s="2">
        <v>0</v>
      </c>
      <c r="I567" s="2">
        <v>0</v>
      </c>
      <c r="K567" t="s">
        <v>234</v>
      </c>
      <c r="L567" s="2">
        <v>0</v>
      </c>
      <c r="M567" s="2">
        <v>0</v>
      </c>
      <c r="N567" s="2">
        <v>0</v>
      </c>
      <c r="P567" t="s">
        <v>234</v>
      </c>
      <c r="Q567" s="2">
        <v>0</v>
      </c>
      <c r="R567" s="2">
        <v>0</v>
      </c>
      <c r="S567" s="2">
        <v>0</v>
      </c>
      <c r="U567" t="s">
        <v>234</v>
      </c>
      <c r="V567" s="2">
        <v>0</v>
      </c>
      <c r="W567" s="2">
        <v>0</v>
      </c>
      <c r="X567" s="2">
        <v>0</v>
      </c>
      <c r="Z567" t="s">
        <v>234</v>
      </c>
      <c r="AA567" s="2">
        <v>0</v>
      </c>
      <c r="AB567" s="2">
        <v>0</v>
      </c>
      <c r="AC567" s="2">
        <v>0</v>
      </c>
    </row>
    <row r="568" spans="1:29" ht="15" thickBot="1" x14ac:dyDescent="0.4">
      <c r="A568" s="236" t="s">
        <v>235</v>
      </c>
      <c r="B568" s="238">
        <v>0</v>
      </c>
      <c r="C568" s="238">
        <v>0</v>
      </c>
      <c r="D568" s="238">
        <v>0</v>
      </c>
      <c r="E568" s="12"/>
      <c r="F568" s="236" t="s">
        <v>235</v>
      </c>
      <c r="G568" s="238">
        <v>0</v>
      </c>
      <c r="H568" s="238">
        <v>0</v>
      </c>
      <c r="I568" s="238">
        <v>0</v>
      </c>
      <c r="K568" s="236" t="s">
        <v>235</v>
      </c>
      <c r="L568" s="238">
        <v>0</v>
      </c>
      <c r="M568" s="238">
        <v>0</v>
      </c>
      <c r="N568" s="238">
        <v>0</v>
      </c>
      <c r="P568" s="236" t="s">
        <v>235</v>
      </c>
      <c r="Q568" s="238">
        <v>0</v>
      </c>
      <c r="R568" s="238">
        <v>0</v>
      </c>
      <c r="S568" s="238">
        <v>0</v>
      </c>
      <c r="U568" s="236" t="s">
        <v>235</v>
      </c>
      <c r="V568" s="238">
        <v>0</v>
      </c>
      <c r="W568" s="238">
        <v>0</v>
      </c>
      <c r="X568" s="238">
        <v>0</v>
      </c>
      <c r="Z568" s="236" t="s">
        <v>235</v>
      </c>
      <c r="AA568" s="238">
        <v>0</v>
      </c>
      <c r="AB568" s="238">
        <v>0</v>
      </c>
      <c r="AC568" s="238">
        <v>0</v>
      </c>
    </row>
    <row r="569" spans="1:29" ht="15" thickTop="1" x14ac:dyDescent="0.35">
      <c r="B569" s="2"/>
      <c r="C569" s="2"/>
      <c r="E569" s="12"/>
      <c r="G569" s="2"/>
      <c r="H569" s="2"/>
      <c r="I569" s="2"/>
      <c r="L569" s="2"/>
      <c r="M569" s="2"/>
      <c r="N569" s="2"/>
      <c r="Q569" s="2"/>
      <c r="R569" s="2"/>
      <c r="S569" s="2"/>
      <c r="V569" s="2"/>
      <c r="W569" s="2"/>
      <c r="X569" s="2"/>
      <c r="AA569" s="2"/>
      <c r="AB569" s="2"/>
      <c r="AC569" s="2"/>
    </row>
    <row r="570" spans="1:29" x14ac:dyDescent="0.35">
      <c r="A570" t="s">
        <v>236</v>
      </c>
      <c r="B570" s="2">
        <v>0</v>
      </c>
      <c r="C570" s="2">
        <v>0</v>
      </c>
      <c r="D570" s="2">
        <v>0</v>
      </c>
      <c r="E570" s="12"/>
      <c r="F570" t="s">
        <v>236</v>
      </c>
      <c r="G570" s="2">
        <v>0</v>
      </c>
      <c r="H570" s="2">
        <v>0</v>
      </c>
      <c r="I570" s="2">
        <v>0</v>
      </c>
      <c r="K570" t="s">
        <v>236</v>
      </c>
      <c r="L570" s="2">
        <v>0</v>
      </c>
      <c r="M570" s="2">
        <v>0</v>
      </c>
      <c r="N570" s="2">
        <v>0</v>
      </c>
      <c r="P570" t="s">
        <v>236</v>
      </c>
      <c r="Q570" s="2">
        <v>0</v>
      </c>
      <c r="R570" s="2">
        <v>0</v>
      </c>
      <c r="S570" s="2">
        <v>0</v>
      </c>
      <c r="U570" t="s">
        <v>236</v>
      </c>
      <c r="V570" s="2">
        <v>0</v>
      </c>
      <c r="W570" s="2">
        <v>0</v>
      </c>
      <c r="X570" s="2">
        <v>0</v>
      </c>
      <c r="Z570" t="s">
        <v>236</v>
      </c>
      <c r="AA570" s="2">
        <v>0</v>
      </c>
      <c r="AB570" s="2">
        <v>0</v>
      </c>
      <c r="AC570" s="2">
        <v>0</v>
      </c>
    </row>
    <row r="571" spans="1:29" x14ac:dyDescent="0.35">
      <c r="A571" t="s">
        <v>237</v>
      </c>
      <c r="B571" s="2">
        <v>0</v>
      </c>
      <c r="C571" s="2">
        <v>0</v>
      </c>
      <c r="D571" s="2">
        <v>0</v>
      </c>
      <c r="E571" s="12"/>
      <c r="F571" t="s">
        <v>237</v>
      </c>
      <c r="G571" s="2">
        <v>0</v>
      </c>
      <c r="H571" s="2">
        <v>0</v>
      </c>
      <c r="I571" s="2">
        <v>0</v>
      </c>
      <c r="K571" t="s">
        <v>237</v>
      </c>
      <c r="L571" s="2">
        <v>0</v>
      </c>
      <c r="M571" s="2">
        <v>0</v>
      </c>
      <c r="N571" s="2">
        <v>0</v>
      </c>
      <c r="P571" t="s">
        <v>237</v>
      </c>
      <c r="Q571" s="2">
        <v>0</v>
      </c>
      <c r="R571" s="2">
        <v>0</v>
      </c>
      <c r="S571" s="2">
        <v>0</v>
      </c>
      <c r="U571" t="s">
        <v>237</v>
      </c>
      <c r="V571" s="2">
        <v>0</v>
      </c>
      <c r="W571" s="2">
        <v>0</v>
      </c>
      <c r="X571" s="2">
        <v>0</v>
      </c>
      <c r="Z571" t="s">
        <v>237</v>
      </c>
      <c r="AA571" s="2">
        <v>0</v>
      </c>
      <c r="AB571" s="2">
        <v>0</v>
      </c>
      <c r="AC571" s="2">
        <v>0</v>
      </c>
    </row>
    <row r="572" spans="1:29" x14ac:dyDescent="0.35">
      <c r="A572" s="5" t="s">
        <v>90</v>
      </c>
      <c r="B572" s="235">
        <v>0</v>
      </c>
      <c r="C572" s="235">
        <v>0</v>
      </c>
      <c r="D572" s="235">
        <v>0</v>
      </c>
      <c r="E572" s="12"/>
      <c r="F572" s="5" t="s">
        <v>90</v>
      </c>
      <c r="G572" s="235">
        <v>0</v>
      </c>
      <c r="H572" s="235">
        <v>0</v>
      </c>
      <c r="I572" s="235">
        <v>0</v>
      </c>
      <c r="K572" s="5" t="s">
        <v>90</v>
      </c>
      <c r="L572" s="235">
        <v>0</v>
      </c>
      <c r="M572" s="235">
        <v>0</v>
      </c>
      <c r="N572" s="235">
        <v>0</v>
      </c>
      <c r="P572" s="5" t="s">
        <v>90</v>
      </c>
      <c r="Q572" s="235">
        <v>0</v>
      </c>
      <c r="R572" s="235">
        <v>0</v>
      </c>
      <c r="S572" s="235">
        <v>0</v>
      </c>
      <c r="U572" s="5" t="s">
        <v>90</v>
      </c>
      <c r="V572" s="235">
        <v>0</v>
      </c>
      <c r="W572" s="235">
        <v>0</v>
      </c>
      <c r="X572" s="235">
        <v>0</v>
      </c>
      <c r="Z572" s="5" t="s">
        <v>90</v>
      </c>
      <c r="AA572" s="235">
        <v>0</v>
      </c>
      <c r="AB572" s="235">
        <v>0</v>
      </c>
      <c r="AC572" s="235">
        <v>0</v>
      </c>
    </row>
    <row r="573" spans="1:29" x14ac:dyDescent="0.35">
      <c r="A573" s="6"/>
      <c r="B573" s="7"/>
      <c r="C573" s="7"/>
      <c r="D573" s="7"/>
      <c r="E573" s="12"/>
      <c r="F573" s="6"/>
      <c r="G573" s="7"/>
      <c r="H573" s="7"/>
      <c r="I573" s="7"/>
      <c r="K573" s="6"/>
      <c r="L573" s="7"/>
      <c r="M573" s="7"/>
      <c r="N573" s="7"/>
      <c r="P573" s="6"/>
      <c r="Q573" s="7"/>
      <c r="R573" s="7"/>
      <c r="S573" s="7"/>
      <c r="U573" s="6"/>
      <c r="V573" s="7"/>
      <c r="W573" s="7"/>
      <c r="X573" s="7"/>
      <c r="Z573" s="6"/>
      <c r="AA573" s="7"/>
      <c r="AB573" s="7"/>
      <c r="AC573" s="7"/>
    </row>
    <row r="574" spans="1:29" x14ac:dyDescent="0.35">
      <c r="A574" s="16" t="s">
        <v>89</v>
      </c>
      <c r="B574" s="23">
        <v>0</v>
      </c>
      <c r="C574" s="23">
        <v>0</v>
      </c>
      <c r="D574" s="23">
        <v>0</v>
      </c>
      <c r="E574" s="12"/>
      <c r="F574" s="16" t="s">
        <v>89</v>
      </c>
      <c r="G574" s="23">
        <v>0</v>
      </c>
      <c r="H574" s="23">
        <v>0</v>
      </c>
      <c r="I574" s="23">
        <v>0</v>
      </c>
      <c r="K574" s="16" t="s">
        <v>89</v>
      </c>
      <c r="L574" s="23">
        <v>0</v>
      </c>
      <c r="M574" s="23">
        <v>0</v>
      </c>
      <c r="N574" s="23">
        <v>0</v>
      </c>
      <c r="P574" s="16" t="s">
        <v>89</v>
      </c>
      <c r="Q574" s="23">
        <v>0</v>
      </c>
      <c r="R574" s="23">
        <v>0</v>
      </c>
      <c r="S574" s="23">
        <v>0</v>
      </c>
      <c r="U574" s="16" t="s">
        <v>89</v>
      </c>
      <c r="V574" s="23">
        <v>0</v>
      </c>
      <c r="W574" s="23">
        <v>0</v>
      </c>
      <c r="X574" s="23">
        <v>0</v>
      </c>
      <c r="Z574" s="16" t="s">
        <v>89</v>
      </c>
      <c r="AA574" s="2">
        <v>0</v>
      </c>
      <c r="AB574" s="2">
        <v>0</v>
      </c>
      <c r="AC574" s="23">
        <v>0</v>
      </c>
    </row>
    <row r="575" spans="1:29" x14ac:dyDescent="0.35">
      <c r="B575" s="2"/>
      <c r="C575" s="2"/>
      <c r="E575" s="12"/>
      <c r="G575" s="2"/>
      <c r="H575" s="2"/>
      <c r="I575" s="2"/>
      <c r="L575" s="2"/>
      <c r="M575" s="2"/>
      <c r="N575" s="2"/>
      <c r="Q575" s="2"/>
      <c r="R575" s="2"/>
      <c r="S575" s="2"/>
      <c r="V575" s="2"/>
      <c r="W575" s="2"/>
      <c r="X575" s="2"/>
      <c r="AA575" s="2"/>
      <c r="AB575" s="2"/>
      <c r="AC575" s="2"/>
    </row>
    <row r="576" spans="1:29" x14ac:dyDescent="0.35">
      <c r="A576" t="s">
        <v>31</v>
      </c>
      <c r="B576" s="2">
        <v>0</v>
      </c>
      <c r="C576" s="2">
        <v>0</v>
      </c>
      <c r="D576" s="2">
        <v>0</v>
      </c>
      <c r="E576" s="12"/>
      <c r="F576" t="s">
        <v>31</v>
      </c>
      <c r="G576" s="2">
        <v>0</v>
      </c>
      <c r="H576" s="2">
        <v>0</v>
      </c>
      <c r="I576" s="2">
        <v>0</v>
      </c>
      <c r="K576" t="s">
        <v>31</v>
      </c>
      <c r="L576" s="2">
        <v>0</v>
      </c>
      <c r="M576" s="2">
        <v>0</v>
      </c>
      <c r="N576" s="2">
        <v>0</v>
      </c>
      <c r="P576" t="s">
        <v>31</v>
      </c>
      <c r="Q576" s="2">
        <v>0</v>
      </c>
      <c r="R576" s="2">
        <v>0</v>
      </c>
      <c r="S576" s="2">
        <v>0</v>
      </c>
      <c r="U576" t="s">
        <v>31</v>
      </c>
      <c r="V576" s="2">
        <v>0</v>
      </c>
      <c r="W576" s="2">
        <v>0</v>
      </c>
      <c r="X576" s="2">
        <v>0</v>
      </c>
      <c r="Z576" t="s">
        <v>31</v>
      </c>
      <c r="AA576" s="2">
        <v>0</v>
      </c>
      <c r="AB576" s="2">
        <v>0</v>
      </c>
      <c r="AC576" s="2">
        <v>0</v>
      </c>
    </row>
    <row r="577" spans="1:29" x14ac:dyDescent="0.35">
      <c r="A577" t="s">
        <v>32</v>
      </c>
      <c r="B577" s="2">
        <v>0</v>
      </c>
      <c r="C577" s="2">
        <v>0</v>
      </c>
      <c r="D577" s="2">
        <v>0</v>
      </c>
      <c r="E577" s="12"/>
      <c r="F577" t="s">
        <v>32</v>
      </c>
      <c r="G577" s="2">
        <v>0</v>
      </c>
      <c r="H577" s="2">
        <v>0</v>
      </c>
      <c r="I577" s="2">
        <v>0</v>
      </c>
      <c r="K577" t="s">
        <v>32</v>
      </c>
      <c r="L577" s="2">
        <v>0</v>
      </c>
      <c r="M577" s="2">
        <v>0</v>
      </c>
      <c r="N577" s="2">
        <v>0</v>
      </c>
      <c r="P577" t="s">
        <v>32</v>
      </c>
      <c r="Q577" s="2">
        <v>0</v>
      </c>
      <c r="R577" s="2">
        <v>0</v>
      </c>
      <c r="S577" s="2">
        <v>0</v>
      </c>
      <c r="U577" t="s">
        <v>32</v>
      </c>
      <c r="V577" s="2">
        <v>0</v>
      </c>
      <c r="W577" s="2">
        <v>0</v>
      </c>
      <c r="X577" s="2">
        <v>0</v>
      </c>
      <c r="Z577" t="s">
        <v>32</v>
      </c>
      <c r="AA577" s="2">
        <v>0</v>
      </c>
      <c r="AB577" s="2">
        <v>0</v>
      </c>
      <c r="AC577" s="2">
        <v>0</v>
      </c>
    </row>
    <row r="578" spans="1:29" x14ac:dyDescent="0.35">
      <c r="A578" s="239" t="s">
        <v>33</v>
      </c>
      <c r="B578" s="235">
        <v>0</v>
      </c>
      <c r="C578" s="235">
        <v>0</v>
      </c>
      <c r="D578" s="235">
        <v>0</v>
      </c>
      <c r="E578" s="12"/>
      <c r="F578" s="239" t="s">
        <v>33</v>
      </c>
      <c r="G578" s="235">
        <v>0</v>
      </c>
      <c r="H578" s="235">
        <v>0</v>
      </c>
      <c r="I578" s="235">
        <v>0</v>
      </c>
      <c r="K578" s="239" t="s">
        <v>33</v>
      </c>
      <c r="L578" s="235">
        <v>0</v>
      </c>
      <c r="M578" s="235">
        <v>0</v>
      </c>
      <c r="N578" s="235">
        <v>0</v>
      </c>
      <c r="P578" s="239" t="s">
        <v>33</v>
      </c>
      <c r="Q578" s="235">
        <v>0</v>
      </c>
      <c r="R578" s="235">
        <v>0</v>
      </c>
      <c r="S578" s="235">
        <v>0</v>
      </c>
      <c r="U578" s="239" t="s">
        <v>33</v>
      </c>
      <c r="V578" s="235">
        <v>0</v>
      </c>
      <c r="W578" s="235">
        <v>0</v>
      </c>
      <c r="X578" s="235">
        <v>0</v>
      </c>
      <c r="Z578" s="239" t="s">
        <v>33</v>
      </c>
      <c r="AA578" s="235">
        <v>0</v>
      </c>
      <c r="AB578" s="235">
        <v>0</v>
      </c>
      <c r="AC578" s="235">
        <v>0</v>
      </c>
    </row>
    <row r="579" spans="1:29" ht="15" thickBot="1" x14ac:dyDescent="0.4">
      <c r="A579" s="236" t="s">
        <v>34</v>
      </c>
      <c r="B579" s="237">
        <v>0</v>
      </c>
      <c r="C579" s="237">
        <v>0</v>
      </c>
      <c r="D579" s="237">
        <v>0</v>
      </c>
      <c r="E579" s="12"/>
      <c r="F579" s="236" t="s">
        <v>34</v>
      </c>
      <c r="G579" s="237">
        <v>0</v>
      </c>
      <c r="H579" s="237">
        <v>0</v>
      </c>
      <c r="I579" s="237">
        <v>0</v>
      </c>
      <c r="K579" s="236" t="s">
        <v>34</v>
      </c>
      <c r="L579" s="237">
        <v>0</v>
      </c>
      <c r="M579" s="237">
        <v>0</v>
      </c>
      <c r="N579" s="237">
        <v>0</v>
      </c>
      <c r="P579" s="236" t="s">
        <v>34</v>
      </c>
      <c r="Q579" s="237">
        <v>0</v>
      </c>
      <c r="R579" s="237">
        <v>0</v>
      </c>
      <c r="S579" s="237">
        <v>0</v>
      </c>
      <c r="U579" s="236" t="s">
        <v>34</v>
      </c>
      <c r="V579" s="237">
        <v>0</v>
      </c>
      <c r="W579" s="237">
        <v>0</v>
      </c>
      <c r="X579" s="237">
        <v>0</v>
      </c>
      <c r="Z579" s="236" t="s">
        <v>34</v>
      </c>
      <c r="AA579" s="237">
        <v>0</v>
      </c>
      <c r="AB579" s="237">
        <v>0</v>
      </c>
      <c r="AC579" s="237">
        <v>0</v>
      </c>
    </row>
    <row r="580" spans="1:29" ht="15" thickTop="1" x14ac:dyDescent="0.35">
      <c r="A580" t="s">
        <v>224</v>
      </c>
      <c r="B580" s="2">
        <v>0</v>
      </c>
      <c r="C580" s="2">
        <v>0</v>
      </c>
      <c r="E580" s="12"/>
      <c r="F580" t="s">
        <v>224</v>
      </c>
      <c r="G580" s="2"/>
      <c r="H580" s="2"/>
      <c r="I580" s="2"/>
      <c r="K580" t="s">
        <v>224</v>
      </c>
      <c r="L580" s="2">
        <v>0</v>
      </c>
      <c r="M580" s="2">
        <v>0</v>
      </c>
      <c r="N580" s="2"/>
      <c r="P580" t="s">
        <v>224</v>
      </c>
      <c r="Q580" s="2">
        <v>0</v>
      </c>
      <c r="R580" s="2">
        <v>0</v>
      </c>
      <c r="S580" s="2"/>
      <c r="U580" t="s">
        <v>224</v>
      </c>
      <c r="V580" s="2"/>
      <c r="W580" s="2"/>
      <c r="X580" s="2"/>
      <c r="Z580" t="s">
        <v>224</v>
      </c>
      <c r="AA580" s="2">
        <v>0</v>
      </c>
      <c r="AB580" s="2">
        <v>0</v>
      </c>
      <c r="AC580" s="2"/>
    </row>
    <row r="581" spans="1:29" x14ac:dyDescent="0.35">
      <c r="A581" t="s">
        <v>35</v>
      </c>
      <c r="B581" s="2">
        <v>0</v>
      </c>
      <c r="C581" s="2">
        <v>124575064.77</v>
      </c>
      <c r="D581" s="2">
        <v>124575064.77</v>
      </c>
      <c r="E581" s="12"/>
      <c r="F581" t="s">
        <v>35</v>
      </c>
      <c r="G581" s="2">
        <v>0</v>
      </c>
      <c r="H581" s="2">
        <v>32335904.969999999</v>
      </c>
      <c r="I581" s="2">
        <v>32335904.969999999</v>
      </c>
      <c r="K581" t="s">
        <v>35</v>
      </c>
      <c r="L581" s="2">
        <v>0</v>
      </c>
      <c r="M581" s="2">
        <v>36771397.920000002</v>
      </c>
      <c r="N581" s="2">
        <v>36771397.920000002</v>
      </c>
      <c r="P581" t="s">
        <v>35</v>
      </c>
      <c r="Q581" s="2">
        <v>0</v>
      </c>
      <c r="R581" s="2">
        <v>69107302.890000001</v>
      </c>
      <c r="S581" s="2">
        <v>69107302.890000001</v>
      </c>
      <c r="U581" t="s">
        <v>35</v>
      </c>
      <c r="V581" s="2">
        <v>0</v>
      </c>
      <c r="W581" s="2">
        <v>39183263.349999994</v>
      </c>
      <c r="X581" s="2">
        <v>39183263.349999994</v>
      </c>
      <c r="Z581" t="s">
        <v>35</v>
      </c>
      <c r="AA581" s="2">
        <v>0</v>
      </c>
      <c r="AB581" s="2">
        <v>16284498.530000001</v>
      </c>
      <c r="AC581" s="2">
        <v>16284498.530000001</v>
      </c>
    </row>
    <row r="582" spans="1:29" x14ac:dyDescent="0.35">
      <c r="A582" t="s">
        <v>36</v>
      </c>
      <c r="B582" s="2">
        <v>-104438.3</v>
      </c>
      <c r="C582" s="2">
        <v>-115553652.58</v>
      </c>
      <c r="D582" s="2">
        <v>-115658090.88</v>
      </c>
      <c r="E582" s="12"/>
      <c r="F582" t="s">
        <v>36</v>
      </c>
      <c r="G582" s="2">
        <v>-64438.3</v>
      </c>
      <c r="H582" s="2">
        <v>-30099898.009999998</v>
      </c>
      <c r="I582" s="2">
        <v>-30164336.309999999</v>
      </c>
      <c r="K582" t="s">
        <v>36</v>
      </c>
      <c r="L582" s="2">
        <v>-15000</v>
      </c>
      <c r="M582" s="2">
        <v>-34191260</v>
      </c>
      <c r="N582" s="2">
        <v>-34206260</v>
      </c>
      <c r="P582" t="s">
        <v>36</v>
      </c>
      <c r="Q582" s="2">
        <v>-79438.3</v>
      </c>
      <c r="R582" s="2">
        <v>-64291158.009999998</v>
      </c>
      <c r="S582" s="2">
        <v>-64370596.309999995</v>
      </c>
      <c r="U582" t="s">
        <v>36</v>
      </c>
      <c r="V582" s="2">
        <v>-15000</v>
      </c>
      <c r="W582" s="2">
        <v>-35599978.130000003</v>
      </c>
      <c r="X582" s="2">
        <v>-35614978.130000003</v>
      </c>
      <c r="Z582" t="s">
        <v>36</v>
      </c>
      <c r="AA582" s="2">
        <v>-10000</v>
      </c>
      <c r="AB582" s="2">
        <v>-15662516.439999998</v>
      </c>
      <c r="AC582" s="2">
        <v>-15672516.439999998</v>
      </c>
    </row>
    <row r="583" spans="1:29" ht="15" thickBot="1" x14ac:dyDescent="0.4">
      <c r="A583" s="236" t="s">
        <v>37</v>
      </c>
      <c r="B583" s="237">
        <v>-104438.3</v>
      </c>
      <c r="C583" s="237">
        <v>9021412.1899999976</v>
      </c>
      <c r="D583" s="237">
        <v>8916973.8900000006</v>
      </c>
      <c r="E583" s="12"/>
      <c r="F583" s="236" t="s">
        <v>37</v>
      </c>
      <c r="G583" s="237">
        <v>-64438.3</v>
      </c>
      <c r="H583" s="237">
        <v>2236006.9600000009</v>
      </c>
      <c r="I583" s="237">
        <v>2171568.66</v>
      </c>
      <c r="K583" s="236" t="s">
        <v>37</v>
      </c>
      <c r="L583" s="237">
        <v>-15000</v>
      </c>
      <c r="M583" s="237">
        <v>2580137.9200000018</v>
      </c>
      <c r="N583" s="237">
        <v>2565137.9200000018</v>
      </c>
      <c r="P583" s="236" t="s">
        <v>37</v>
      </c>
      <c r="Q583" s="237">
        <v>-79438.3</v>
      </c>
      <c r="R583" s="237">
        <v>4816144.8800000027</v>
      </c>
      <c r="S583" s="237">
        <v>4736706.5800000057</v>
      </c>
      <c r="U583" s="236" t="s">
        <v>37</v>
      </c>
      <c r="V583" s="237">
        <v>-15000</v>
      </c>
      <c r="W583" s="237">
        <v>3583285.2199999914</v>
      </c>
      <c r="X583" s="237">
        <v>3568285.2199999914</v>
      </c>
      <c r="Z583" s="236" t="s">
        <v>37</v>
      </c>
      <c r="AA583" s="237">
        <v>-10000</v>
      </c>
      <c r="AB583" s="237">
        <v>621982.09000000358</v>
      </c>
      <c r="AC583" s="237">
        <v>611982.09000000358</v>
      </c>
    </row>
    <row r="584" spans="1:29" ht="15" thickTop="1" x14ac:dyDescent="0.35">
      <c r="A584" s="6"/>
      <c r="B584" s="7"/>
      <c r="C584" s="7"/>
      <c r="D584" s="7"/>
      <c r="E584" s="12"/>
      <c r="F584" s="6"/>
      <c r="G584" s="7"/>
      <c r="H584" s="7"/>
      <c r="I584" s="7"/>
      <c r="K584" s="6"/>
      <c r="L584" s="7"/>
      <c r="M584" s="7"/>
      <c r="N584" s="7"/>
      <c r="P584" s="6"/>
      <c r="Q584" s="7"/>
      <c r="R584" s="7"/>
      <c r="S584" s="7"/>
      <c r="U584" s="6"/>
      <c r="V584" s="7"/>
      <c r="W584" s="7"/>
      <c r="X584" s="7"/>
      <c r="Z584" s="6"/>
      <c r="AA584" s="7"/>
      <c r="AB584" s="7"/>
      <c r="AC584" s="7"/>
    </row>
    <row r="585" spans="1:29" x14ac:dyDescent="0.35">
      <c r="A585" t="s">
        <v>212</v>
      </c>
      <c r="B585" s="2">
        <v>0</v>
      </c>
      <c r="C585" s="2">
        <v>0</v>
      </c>
      <c r="D585" s="2">
        <v>0</v>
      </c>
      <c r="E585" s="12"/>
      <c r="F585" t="s">
        <v>212</v>
      </c>
      <c r="G585" s="2">
        <v>0</v>
      </c>
      <c r="H585" s="2">
        <v>0</v>
      </c>
      <c r="I585" s="2">
        <v>0</v>
      </c>
      <c r="K585" t="s">
        <v>212</v>
      </c>
      <c r="L585" s="2">
        <v>0</v>
      </c>
      <c r="M585" s="2">
        <v>0</v>
      </c>
      <c r="N585" s="2">
        <v>0</v>
      </c>
      <c r="P585" t="s">
        <v>212</v>
      </c>
      <c r="Q585" s="2">
        <v>0</v>
      </c>
      <c r="R585" s="2">
        <v>0</v>
      </c>
      <c r="S585" s="2">
        <v>0</v>
      </c>
      <c r="U585" t="s">
        <v>212</v>
      </c>
      <c r="V585" s="2">
        <v>0</v>
      </c>
      <c r="W585" s="2">
        <v>0</v>
      </c>
      <c r="X585" s="2">
        <v>0</v>
      </c>
      <c r="Z585" t="s">
        <v>212</v>
      </c>
      <c r="AA585" s="2">
        <v>0</v>
      </c>
      <c r="AB585" s="2">
        <v>0</v>
      </c>
      <c r="AC585" s="2">
        <v>0</v>
      </c>
    </row>
    <row r="586" spans="1:29" x14ac:dyDescent="0.35">
      <c r="A586" t="s">
        <v>38</v>
      </c>
      <c r="B586" s="2">
        <v>0</v>
      </c>
      <c r="C586" s="2">
        <v>-6395303.1711770454</v>
      </c>
      <c r="D586" s="2">
        <v>-6395303.1711770454</v>
      </c>
      <c r="E586" s="12"/>
      <c r="F586" t="s">
        <v>38</v>
      </c>
      <c r="G586" s="2">
        <v>0</v>
      </c>
      <c r="H586" s="2">
        <v>-1590392.4927405713</v>
      </c>
      <c r="I586" s="2">
        <v>-1590392.4927405713</v>
      </c>
      <c r="K586" t="s">
        <v>38</v>
      </c>
      <c r="L586" s="2">
        <v>0</v>
      </c>
      <c r="M586" s="2">
        <v>-1601099.4920439699</v>
      </c>
      <c r="N586" s="2">
        <v>-1601099.4920439699</v>
      </c>
      <c r="P586" t="s">
        <v>38</v>
      </c>
      <c r="Q586" s="2">
        <v>0</v>
      </c>
      <c r="R586" s="2">
        <v>-3191491.9847845412</v>
      </c>
      <c r="S586" s="2">
        <v>-3191491.9847845412</v>
      </c>
      <c r="U586" t="s">
        <v>38</v>
      </c>
      <c r="V586" s="2">
        <v>0</v>
      </c>
      <c r="W586" s="2">
        <v>-1530648.5337083633</v>
      </c>
      <c r="X586" s="2">
        <v>-1530648.5337083633</v>
      </c>
      <c r="Z586" t="s">
        <v>38</v>
      </c>
      <c r="AA586" s="2">
        <v>0</v>
      </c>
      <c r="AB586" s="2">
        <v>-1673162.652684141</v>
      </c>
      <c r="AC586" s="2">
        <v>-1673162.652684141</v>
      </c>
    </row>
    <row r="587" spans="1:29" x14ac:dyDescent="0.35">
      <c r="A587" t="s">
        <v>78</v>
      </c>
      <c r="B587" s="2">
        <v>0</v>
      </c>
      <c r="C587" s="2">
        <v>-62277934.309779517</v>
      </c>
      <c r="D587" s="2">
        <v>-62277934.309779517</v>
      </c>
      <c r="E587" s="12"/>
      <c r="F587" t="s">
        <v>78</v>
      </c>
      <c r="G587" s="2">
        <v>0</v>
      </c>
      <c r="H587" s="2">
        <v>-14500447.04130242</v>
      </c>
      <c r="I587" s="2">
        <v>-14500447.04130242</v>
      </c>
      <c r="K587" t="s">
        <v>78</v>
      </c>
      <c r="L587" s="2">
        <v>0</v>
      </c>
      <c r="M587" s="2">
        <v>-16171749.566476092</v>
      </c>
      <c r="N587" s="2">
        <v>-16171749.566476092</v>
      </c>
      <c r="P587" t="s">
        <v>78</v>
      </c>
      <c r="Q587" s="2">
        <v>0</v>
      </c>
      <c r="R587" s="2">
        <v>-30672196.607778512</v>
      </c>
      <c r="S587" s="2">
        <v>-30672196.607778512</v>
      </c>
      <c r="U587" t="s">
        <v>78</v>
      </c>
      <c r="V587" s="2">
        <v>0</v>
      </c>
      <c r="W587" s="2">
        <v>-16519338.161293082</v>
      </c>
      <c r="X587" s="2">
        <v>-16519338.161293082</v>
      </c>
      <c r="Z587" t="s">
        <v>78</v>
      </c>
      <c r="AA587" s="2">
        <v>0</v>
      </c>
      <c r="AB587" s="2">
        <v>-15086399.540707923</v>
      </c>
      <c r="AC587" s="2">
        <v>-15086399.540707923</v>
      </c>
    </row>
    <row r="588" spans="1:29" x14ac:dyDescent="0.35">
      <c r="A588" t="s">
        <v>39</v>
      </c>
      <c r="B588" s="2">
        <v>0</v>
      </c>
      <c r="C588" s="2">
        <v>-150015096.96056002</v>
      </c>
      <c r="D588" s="2">
        <v>-150015096.96056002</v>
      </c>
      <c r="E588" s="12"/>
      <c r="F588" t="s">
        <v>39</v>
      </c>
      <c r="G588" s="2">
        <v>0</v>
      </c>
      <c r="H588" s="2">
        <v>-39594987.471248299</v>
      </c>
      <c r="I588" s="2">
        <v>-39594987.471248299</v>
      </c>
      <c r="K588" t="s">
        <v>39</v>
      </c>
      <c r="L588" s="2">
        <v>0</v>
      </c>
      <c r="M588" s="2">
        <v>-37568869.967065349</v>
      </c>
      <c r="N588" s="2">
        <v>-37568869.967065349</v>
      </c>
      <c r="P588" t="s">
        <v>39</v>
      </c>
      <c r="Q588" s="2">
        <v>0</v>
      </c>
      <c r="R588" s="2">
        <v>-77163857.438313648</v>
      </c>
      <c r="S588" s="2">
        <v>-77163857.438313648</v>
      </c>
      <c r="U588" t="s">
        <v>39</v>
      </c>
      <c r="V588" s="2">
        <v>0</v>
      </c>
      <c r="W588" s="2">
        <v>-36722663.378892794</v>
      </c>
      <c r="X588" s="2">
        <v>-36722663.378892794</v>
      </c>
      <c r="Z588" t="s">
        <v>39</v>
      </c>
      <c r="AA588" s="2">
        <v>0</v>
      </c>
      <c r="AB588" s="2">
        <v>-36128576.143353581</v>
      </c>
      <c r="AC588" s="2">
        <v>-36128576.143353581</v>
      </c>
    </row>
    <row r="589" spans="1:29" x14ac:dyDescent="0.35">
      <c r="A589" t="s">
        <v>40</v>
      </c>
      <c r="B589" s="2">
        <v>0</v>
      </c>
      <c r="C589" s="2">
        <v>-1369280.5299999998</v>
      </c>
      <c r="D589" s="2">
        <v>-1369280.5299999998</v>
      </c>
      <c r="E589" s="12"/>
      <c r="F589" t="s">
        <v>40</v>
      </c>
      <c r="G589" s="2">
        <v>0</v>
      </c>
      <c r="H589" s="2">
        <v>-702880.2</v>
      </c>
      <c r="I589" s="2">
        <v>-702880.2</v>
      </c>
      <c r="K589" t="s">
        <v>40</v>
      </c>
      <c r="L589" s="2">
        <v>0</v>
      </c>
      <c r="M589" s="2">
        <v>-162133.26</v>
      </c>
      <c r="N589" s="2">
        <v>-162133.26</v>
      </c>
      <c r="P589" t="s">
        <v>40</v>
      </c>
      <c r="Q589" s="2">
        <v>0</v>
      </c>
      <c r="R589" s="2">
        <v>-865013.46</v>
      </c>
      <c r="S589" s="2">
        <v>-865013.46</v>
      </c>
      <c r="U589" t="s">
        <v>40</v>
      </c>
      <c r="V589" s="2">
        <v>0</v>
      </c>
      <c r="W589" s="2">
        <v>-339827.10000000009</v>
      </c>
      <c r="X589" s="2">
        <v>-339827.10000000009</v>
      </c>
      <c r="Z589" t="s">
        <v>40</v>
      </c>
      <c r="AA589" s="2">
        <v>0</v>
      </c>
      <c r="AB589" s="2">
        <v>-164439.96999999974</v>
      </c>
      <c r="AC589" s="2">
        <v>-164439.96999999974</v>
      </c>
    </row>
    <row r="590" spans="1:29" x14ac:dyDescent="0.35">
      <c r="A590" t="s">
        <v>41</v>
      </c>
      <c r="B590" s="2">
        <v>0</v>
      </c>
      <c r="C590" s="2">
        <v>-87694.09</v>
      </c>
      <c r="D590" s="2">
        <v>-87694.09</v>
      </c>
      <c r="E590" s="12"/>
      <c r="F590" t="s">
        <v>41</v>
      </c>
      <c r="G590" s="2">
        <v>0</v>
      </c>
      <c r="H590" s="2">
        <v>-486.9</v>
      </c>
      <c r="I590" s="2">
        <v>-486.9</v>
      </c>
      <c r="K590" t="s">
        <v>41</v>
      </c>
      <c r="L590" s="2">
        <v>0</v>
      </c>
      <c r="M590" s="2">
        <v>-200.19000000000005</v>
      </c>
      <c r="N590" s="2">
        <v>-200.19000000000005</v>
      </c>
      <c r="P590" t="s">
        <v>41</v>
      </c>
      <c r="Q590" s="2">
        <v>0</v>
      </c>
      <c r="R590" s="2">
        <v>-687.09</v>
      </c>
      <c r="S590" s="2">
        <v>-687.09</v>
      </c>
      <c r="U590" t="s">
        <v>41</v>
      </c>
      <c r="V590" s="2">
        <v>0</v>
      </c>
      <c r="W590" s="2">
        <v>-1326</v>
      </c>
      <c r="X590" s="2">
        <v>-1326</v>
      </c>
      <c r="Z590" t="s">
        <v>41</v>
      </c>
      <c r="AA590" s="2">
        <v>0</v>
      </c>
      <c r="AB590" s="2">
        <v>-85681</v>
      </c>
      <c r="AC590" s="2">
        <v>-85681</v>
      </c>
    </row>
    <row r="591" spans="1:29" x14ac:dyDescent="0.35">
      <c r="A591" t="s">
        <v>42</v>
      </c>
      <c r="B591" s="2">
        <v>0</v>
      </c>
      <c r="C591" s="2">
        <v>-1199006.4811503282</v>
      </c>
      <c r="D591" s="2">
        <v>-1199006.4811503282</v>
      </c>
      <c r="E591" s="12"/>
      <c r="F591" t="s">
        <v>42</v>
      </c>
      <c r="G591" s="2">
        <v>0</v>
      </c>
      <c r="H591" s="2">
        <v>-326859.45484791027</v>
      </c>
      <c r="I591" s="2">
        <v>-326859.45484791027</v>
      </c>
      <c r="K591" t="s">
        <v>42</v>
      </c>
      <c r="L591" s="2">
        <v>0</v>
      </c>
      <c r="M591" s="2">
        <v>-314886.83815448469</v>
      </c>
      <c r="N591" s="2">
        <v>-314886.83815448469</v>
      </c>
      <c r="P591" t="s">
        <v>42</v>
      </c>
      <c r="Q591" s="2">
        <v>0</v>
      </c>
      <c r="R591" s="2">
        <v>-641746.29300239496</v>
      </c>
      <c r="S591" s="2">
        <v>-641746.29300239496</v>
      </c>
      <c r="U591" t="s">
        <v>42</v>
      </c>
      <c r="V591" s="2">
        <v>0</v>
      </c>
      <c r="W591" s="2">
        <v>-291463.62345903052</v>
      </c>
      <c r="X591" s="2">
        <v>-291463.62345903052</v>
      </c>
      <c r="Z591" t="s">
        <v>42</v>
      </c>
      <c r="AA591" s="2">
        <v>0</v>
      </c>
      <c r="AB591" s="2">
        <v>-265796.5646889027</v>
      </c>
      <c r="AC591" s="2">
        <v>-265796.5646889027</v>
      </c>
    </row>
    <row r="592" spans="1:29" x14ac:dyDescent="0.35">
      <c r="A592" t="s">
        <v>4</v>
      </c>
      <c r="B592" s="2">
        <v>0</v>
      </c>
      <c r="C592" s="2">
        <v>882965.46075971809</v>
      </c>
      <c r="D592" s="2">
        <v>882965.46075971809</v>
      </c>
      <c r="E592" s="12"/>
      <c r="F592" t="s">
        <v>4</v>
      </c>
      <c r="G592" s="2">
        <v>0</v>
      </c>
      <c r="H592" s="2">
        <v>16474.189154887077</v>
      </c>
      <c r="I592" s="2">
        <v>16474.189154887077</v>
      </c>
      <c r="K592" t="s">
        <v>4</v>
      </c>
      <c r="L592" s="2">
        <v>0</v>
      </c>
      <c r="M592" s="2">
        <v>102905.70067205002</v>
      </c>
      <c r="N592" s="2">
        <v>102905.70067205002</v>
      </c>
      <c r="P592" t="s">
        <v>4</v>
      </c>
      <c r="Q592" s="2">
        <v>0</v>
      </c>
      <c r="R592" s="2">
        <v>119379.8898269371</v>
      </c>
      <c r="S592" s="2">
        <v>119379.8898269371</v>
      </c>
      <c r="U592" t="s">
        <v>4</v>
      </c>
      <c r="V592" s="2">
        <v>0</v>
      </c>
      <c r="W592" s="2">
        <v>109390.29794369008</v>
      </c>
      <c r="X592" s="2">
        <v>109390.29794369008</v>
      </c>
      <c r="Z592" t="s">
        <v>4</v>
      </c>
      <c r="AA592" s="2">
        <v>0</v>
      </c>
      <c r="AB592" s="2">
        <v>654195.27298909088</v>
      </c>
      <c r="AC592" s="2">
        <v>654195.27298909088</v>
      </c>
    </row>
    <row r="593" spans="1:29" x14ac:dyDescent="0.35">
      <c r="A593" t="s">
        <v>5</v>
      </c>
      <c r="B593" s="2">
        <v>0</v>
      </c>
      <c r="C593" s="2">
        <v>-1970225.0864197544</v>
      </c>
      <c r="D593" s="2">
        <v>-1970225.0864197544</v>
      </c>
      <c r="E593" s="12"/>
      <c r="F593" t="s">
        <v>5</v>
      </c>
      <c r="G593" s="2">
        <v>0</v>
      </c>
      <c r="H593" s="2">
        <v>0</v>
      </c>
      <c r="I593" s="2">
        <v>0</v>
      </c>
      <c r="K593" t="s">
        <v>5</v>
      </c>
      <c r="L593" s="2">
        <v>0</v>
      </c>
      <c r="M593" s="2">
        <v>0</v>
      </c>
      <c r="N593" s="2">
        <v>0</v>
      </c>
      <c r="P593" t="s">
        <v>5</v>
      </c>
      <c r="Q593" s="2">
        <v>0</v>
      </c>
      <c r="R593" s="2">
        <v>0</v>
      </c>
      <c r="S593" s="2">
        <v>0</v>
      </c>
      <c r="U593" t="s">
        <v>5</v>
      </c>
      <c r="V593" s="2">
        <v>0</v>
      </c>
      <c r="W593" s="2">
        <v>-3989848.6292134845</v>
      </c>
      <c r="X593" s="2">
        <v>-3989848.6292134845</v>
      </c>
      <c r="Z593" t="s">
        <v>5</v>
      </c>
      <c r="AA593" s="2">
        <v>0</v>
      </c>
      <c r="AB593" s="2">
        <v>2019623.54279373</v>
      </c>
      <c r="AC593" s="2">
        <v>2019623.54279373</v>
      </c>
    </row>
    <row r="594" spans="1:29" x14ac:dyDescent="0.35">
      <c r="A594" t="s">
        <v>182</v>
      </c>
      <c r="B594" s="2">
        <v>0</v>
      </c>
      <c r="C594" s="2">
        <v>-32672860.965488058</v>
      </c>
      <c r="D594" s="2">
        <v>-32672860.965488058</v>
      </c>
      <c r="E594" s="12"/>
      <c r="F594" t="s">
        <v>182</v>
      </c>
      <c r="G594" s="2">
        <v>0</v>
      </c>
      <c r="H594" s="2">
        <v>-9574496.1012488157</v>
      </c>
      <c r="I594" s="2">
        <v>-9574496.1012488157</v>
      </c>
      <c r="K594" t="s">
        <v>182</v>
      </c>
      <c r="L594" s="2">
        <v>0</v>
      </c>
      <c r="M594" s="2">
        <v>-8062855.0046512559</v>
      </c>
      <c r="N594" s="2">
        <v>-8062855.0046512559</v>
      </c>
      <c r="P594" t="s">
        <v>182</v>
      </c>
      <c r="Q594" s="2">
        <v>0</v>
      </c>
      <c r="R594" s="2">
        <v>-17637351.105900072</v>
      </c>
      <c r="S594" s="2">
        <v>-17637351.105900072</v>
      </c>
      <c r="U594" t="s">
        <v>182</v>
      </c>
      <c r="V594" s="2">
        <v>0</v>
      </c>
      <c r="W594" s="2">
        <v>-7969883.093076665</v>
      </c>
      <c r="X594" s="2">
        <v>-7969883.093076665</v>
      </c>
      <c r="Z594" t="s">
        <v>182</v>
      </c>
      <c r="AA594" s="2">
        <v>0</v>
      </c>
      <c r="AB594" s="2">
        <v>-7065626.7665113211</v>
      </c>
      <c r="AC594" s="2">
        <v>-7065626.7665113211</v>
      </c>
    </row>
    <row r="595" spans="1:29" x14ac:dyDescent="0.35">
      <c r="A595" s="5" t="s">
        <v>11</v>
      </c>
      <c r="B595" s="235">
        <v>0</v>
      </c>
      <c r="C595" s="235">
        <v>-255104436.13381499</v>
      </c>
      <c r="D595" s="235">
        <v>-255104436.13381499</v>
      </c>
      <c r="E595" s="12"/>
      <c r="F595" s="5" t="s">
        <v>11</v>
      </c>
      <c r="G595" s="235">
        <v>0</v>
      </c>
      <c r="H595" s="235">
        <v>-66274075.472233132</v>
      </c>
      <c r="I595" s="235">
        <v>-66274075.472233132</v>
      </c>
      <c r="K595" s="5" t="s">
        <v>11</v>
      </c>
      <c r="L595" s="235">
        <v>0</v>
      </c>
      <c r="M595" s="235">
        <v>-63778888.617719099</v>
      </c>
      <c r="N595" s="235">
        <v>-63778888.617719099</v>
      </c>
      <c r="P595" s="5" t="s">
        <v>11</v>
      </c>
      <c r="Q595" s="235">
        <v>0</v>
      </c>
      <c r="R595" s="235">
        <v>-130052964.08995223</v>
      </c>
      <c r="S595" s="235">
        <v>-130052964.08995223</v>
      </c>
      <c r="U595" s="5" t="s">
        <v>11</v>
      </c>
      <c r="V595" s="235">
        <v>0</v>
      </c>
      <c r="W595" s="235">
        <v>-67255608.22169973</v>
      </c>
      <c r="X595" s="235">
        <v>-67255608.22169973</v>
      </c>
      <c r="Z595" s="5" t="s">
        <v>11</v>
      </c>
      <c r="AA595" s="235">
        <v>0</v>
      </c>
      <c r="AB595" s="235">
        <v>-57795863.822163053</v>
      </c>
      <c r="AC595" s="235">
        <v>-57795863.822163053</v>
      </c>
    </row>
    <row r="596" spans="1:29" x14ac:dyDescent="0.35">
      <c r="A596" s="240" t="s">
        <v>43</v>
      </c>
      <c r="B596" s="241">
        <v>9693206.6999999993</v>
      </c>
      <c r="C596" s="241">
        <v>31077138.056185007</v>
      </c>
      <c r="D596" s="241">
        <v>40770344.75618501</v>
      </c>
      <c r="E596" s="12"/>
      <c r="F596" s="240" t="s">
        <v>43</v>
      </c>
      <c r="G596" s="241">
        <v>3238948.7</v>
      </c>
      <c r="H596" s="241">
        <v>-2630760.5122331306</v>
      </c>
      <c r="I596" s="241">
        <v>608188.18776686862</v>
      </c>
      <c r="K596" s="240" t="s">
        <v>43</v>
      </c>
      <c r="L596" s="241">
        <v>2207332</v>
      </c>
      <c r="M596" s="241">
        <v>5485879.3022809029</v>
      </c>
      <c r="N596" s="241">
        <v>7693212.3022809029</v>
      </c>
      <c r="P596" s="240" t="s">
        <v>43</v>
      </c>
      <c r="Q596" s="241">
        <v>5446280.7000000002</v>
      </c>
      <c r="R596" s="241">
        <v>2855119.7900477722</v>
      </c>
      <c r="S596" s="241">
        <v>8301400.4900477752</v>
      </c>
      <c r="U596" s="240" t="s">
        <v>43</v>
      </c>
      <c r="V596" s="241">
        <v>3241249</v>
      </c>
      <c r="W596" s="241">
        <v>12038755.998300262</v>
      </c>
      <c r="X596" s="241">
        <v>15280004.998300262</v>
      </c>
      <c r="Z596" s="240" t="s">
        <v>43</v>
      </c>
      <c r="AA596" s="241">
        <v>1005677</v>
      </c>
      <c r="AB596" s="241">
        <v>16183263.267836951</v>
      </c>
      <c r="AC596" s="241">
        <v>17188939.267836951</v>
      </c>
    </row>
    <row r="597" spans="1:29" x14ac:dyDescent="0.35">
      <c r="A597" t="s">
        <v>6</v>
      </c>
      <c r="B597" s="2">
        <v>0</v>
      </c>
      <c r="C597" s="2">
        <v>-10862856</v>
      </c>
      <c r="D597" s="2">
        <v>-10862856</v>
      </c>
      <c r="E597" s="12"/>
      <c r="F597" t="s">
        <v>6</v>
      </c>
      <c r="G597" s="2">
        <v>0</v>
      </c>
      <c r="H597" s="2">
        <v>-1363833</v>
      </c>
      <c r="I597" s="2">
        <v>-1363833</v>
      </c>
      <c r="K597" t="s">
        <v>6</v>
      </c>
      <c r="L597" s="2">
        <v>0</v>
      </c>
      <c r="M597" s="2">
        <v>-2980838</v>
      </c>
      <c r="N597" s="2">
        <v>-2980838</v>
      </c>
      <c r="P597" t="s">
        <v>6</v>
      </c>
      <c r="Q597" s="2">
        <v>0</v>
      </c>
      <c r="R597" s="2">
        <v>-4344671</v>
      </c>
      <c r="S597" s="2">
        <v>-4344671</v>
      </c>
      <c r="U597" t="s">
        <v>6</v>
      </c>
      <c r="V597" s="2">
        <v>0</v>
      </c>
      <c r="W597" s="2">
        <v>-4970644</v>
      </c>
      <c r="X597" s="2">
        <v>-4970644</v>
      </c>
      <c r="Z597" t="s">
        <v>6</v>
      </c>
      <c r="AA597" s="2">
        <v>0</v>
      </c>
      <c r="AB597" s="2">
        <v>-1547541</v>
      </c>
      <c r="AC597" s="2">
        <v>-1547541</v>
      </c>
    </row>
    <row r="598" spans="1:29" x14ac:dyDescent="0.35">
      <c r="A598" s="242" t="s">
        <v>7</v>
      </c>
      <c r="B598" s="243">
        <v>9693206.6999999993</v>
      </c>
      <c r="C598" s="243">
        <v>20214282.056185007</v>
      </c>
      <c r="D598" s="243">
        <v>29907488.75618501</v>
      </c>
      <c r="E598" s="12"/>
      <c r="F598" s="242" t="s">
        <v>7</v>
      </c>
      <c r="G598" s="243">
        <v>3238948.7</v>
      </c>
      <c r="H598" s="243">
        <v>-3994593.5122331306</v>
      </c>
      <c r="I598" s="243">
        <v>-755644.81223313138</v>
      </c>
      <c r="K598" s="242" t="s">
        <v>7</v>
      </c>
      <c r="L598" s="243">
        <v>2207332</v>
      </c>
      <c r="M598" s="243">
        <v>2505041.3022809029</v>
      </c>
      <c r="N598" s="243">
        <v>4712374.3022809029</v>
      </c>
      <c r="P598" s="242" t="s">
        <v>7</v>
      </c>
      <c r="Q598" s="243">
        <v>5446280.7000000002</v>
      </c>
      <c r="R598" s="243">
        <v>-1489551.2099522278</v>
      </c>
      <c r="S598" s="243">
        <v>3956729.4900477752</v>
      </c>
      <c r="U598" s="242" t="s">
        <v>7</v>
      </c>
      <c r="V598" s="243">
        <v>3241249</v>
      </c>
      <c r="W598" s="243">
        <v>7068111.9983002618</v>
      </c>
      <c r="X598" s="243">
        <v>10309360.998300262</v>
      </c>
      <c r="Z598" s="242" t="s">
        <v>7</v>
      </c>
      <c r="AA598" s="243">
        <v>1005677</v>
      </c>
      <c r="AB598" s="243">
        <v>14635722.267836951</v>
      </c>
      <c r="AC598" s="243">
        <v>15641398.267836951</v>
      </c>
    </row>
    <row r="599" spans="1:29" x14ac:dyDescent="0.35">
      <c r="A599" t="s">
        <v>8</v>
      </c>
      <c r="B599" s="2">
        <v>0</v>
      </c>
      <c r="C599" s="2">
        <v>-15541517.15912077</v>
      </c>
      <c r="D599" s="2">
        <v>-15541517.15912077</v>
      </c>
      <c r="E599" s="12"/>
      <c r="F599" t="s">
        <v>8</v>
      </c>
      <c r="G599" s="2">
        <v>0</v>
      </c>
      <c r="H599" s="2">
        <v>813330.17689302762</v>
      </c>
      <c r="I599" s="2">
        <v>813330.17689302762</v>
      </c>
      <c r="K599" t="s">
        <v>8</v>
      </c>
      <c r="L599" s="2">
        <v>0</v>
      </c>
      <c r="M599" s="2">
        <v>-2288992.7007385502</v>
      </c>
      <c r="N599" s="2">
        <v>-2288992.7007385502</v>
      </c>
      <c r="P599" t="s">
        <v>8</v>
      </c>
      <c r="Q599" s="2">
        <v>0</v>
      </c>
      <c r="R599" s="2">
        <v>-1475662.5238455227</v>
      </c>
      <c r="S599" s="2">
        <v>-1475662.5238455227</v>
      </c>
      <c r="U599" t="s">
        <v>8</v>
      </c>
      <c r="V599" s="2">
        <v>0</v>
      </c>
      <c r="W599" s="2">
        <v>-4252567.4452135265</v>
      </c>
      <c r="X599" s="2">
        <v>-4252567.4452135265</v>
      </c>
      <c r="Z599" t="s">
        <v>8</v>
      </c>
      <c r="AA599" s="2">
        <v>0</v>
      </c>
      <c r="AB599" s="2">
        <v>-9813287.190061722</v>
      </c>
      <c r="AC599" s="2">
        <v>-9813287.190061722</v>
      </c>
    </row>
    <row r="600" spans="1:29" x14ac:dyDescent="0.35">
      <c r="A600" s="242" t="s">
        <v>9</v>
      </c>
      <c r="B600" s="244">
        <v>9693206.6999999993</v>
      </c>
      <c r="C600" s="244">
        <v>4672764.8970642369</v>
      </c>
      <c r="D600" s="244">
        <v>14365971.59706424</v>
      </c>
      <c r="E600" s="12"/>
      <c r="F600" s="242" t="s">
        <v>9</v>
      </c>
      <c r="G600" s="244">
        <v>3238948.7</v>
      </c>
      <c r="H600" s="244">
        <v>-3181263.3353401031</v>
      </c>
      <c r="I600" s="244">
        <v>57685.364659896237</v>
      </c>
      <c r="K600" s="242" t="s">
        <v>9</v>
      </c>
      <c r="L600" s="244">
        <v>2207332</v>
      </c>
      <c r="M600" s="244">
        <v>216048.6015423527</v>
      </c>
      <c r="N600" s="244">
        <v>2423381.6015423527</v>
      </c>
      <c r="P600" s="242" t="s">
        <v>9</v>
      </c>
      <c r="Q600" s="244">
        <v>5446280.7000000002</v>
      </c>
      <c r="R600" s="244">
        <v>-2965213.7337977504</v>
      </c>
      <c r="S600" s="244">
        <v>2481066.9662022525</v>
      </c>
      <c r="U600" s="242" t="s">
        <v>9</v>
      </c>
      <c r="V600" s="244">
        <v>3241249</v>
      </c>
      <c r="W600" s="244">
        <v>2815544.5530867353</v>
      </c>
      <c r="X600" s="244">
        <v>6056793.5530867353</v>
      </c>
      <c r="Z600" s="242" t="s">
        <v>9</v>
      </c>
      <c r="AA600" s="244">
        <v>1005677</v>
      </c>
      <c r="AB600" s="244">
        <v>4822435.0777752288</v>
      </c>
      <c r="AC600" s="244">
        <v>5828111.0777752288</v>
      </c>
    </row>
    <row r="601" spans="1:29" x14ac:dyDescent="0.35">
      <c r="B601" s="2">
        <v>3.999999538064003E-2</v>
      </c>
      <c r="C601" s="2">
        <v>-0.30510323122143745</v>
      </c>
      <c r="E601" s="12"/>
      <c r="F601" s="234"/>
      <c r="G601" s="251"/>
      <c r="H601" s="251"/>
      <c r="I601" s="251"/>
      <c r="AA601" s="2">
        <v>0</v>
      </c>
      <c r="AB601" s="2">
        <v>-0.99999997671693563</v>
      </c>
      <c r="AC601" s="2"/>
    </row>
    <row r="602" spans="1:29" x14ac:dyDescent="0.35">
      <c r="B602" s="2"/>
      <c r="G602" s="233"/>
      <c r="H602" s="233"/>
      <c r="I602" s="12"/>
      <c r="L602" s="3"/>
      <c r="M602" s="3"/>
      <c r="AA602" s="2"/>
      <c r="AB602" s="15"/>
      <c r="AC602" s="2"/>
    </row>
    <row r="603" spans="1:29" x14ac:dyDescent="0.35">
      <c r="B603" s="2"/>
      <c r="C603" s="12"/>
      <c r="G603" s="233"/>
      <c r="H603" s="233"/>
      <c r="I603" s="12"/>
      <c r="AA603" s="2"/>
      <c r="AB603" s="15"/>
      <c r="AC603" s="2"/>
    </row>
    <row r="604" spans="1:29" x14ac:dyDescent="0.35">
      <c r="AA604" s="12"/>
      <c r="AB604" s="12"/>
      <c r="AC604" s="12"/>
    </row>
  </sheetData>
  <mergeCells count="28">
    <mergeCell ref="U304:X304"/>
    <mergeCell ref="A1:D1"/>
    <mergeCell ref="A76:D76"/>
    <mergeCell ref="A151:D151"/>
    <mergeCell ref="A228:D228"/>
    <mergeCell ref="F228:I228"/>
    <mergeCell ref="K228:N228"/>
    <mergeCell ref="P228:S228"/>
    <mergeCell ref="A304:D304"/>
    <mergeCell ref="F304:I304"/>
    <mergeCell ref="K304:N304"/>
    <mergeCell ref="P304:S304"/>
    <mergeCell ref="Z535:AC535"/>
    <mergeCell ref="U535:X535"/>
    <mergeCell ref="F535:I535"/>
    <mergeCell ref="A381:D381"/>
    <mergeCell ref="F381:I381"/>
    <mergeCell ref="K381:N381"/>
    <mergeCell ref="P381:S381"/>
    <mergeCell ref="K535:N535"/>
    <mergeCell ref="P535:S535"/>
    <mergeCell ref="U381:X381"/>
    <mergeCell ref="A458:D458"/>
    <mergeCell ref="F458:I458"/>
    <mergeCell ref="K458:N458"/>
    <mergeCell ref="P458:S458"/>
    <mergeCell ref="U458:X458"/>
    <mergeCell ref="A535:D53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50814-374E-467E-A5F4-98FFBDC58E3B}">
  <sheetPr>
    <tabColor theme="4" tint="-0.249977111117893"/>
  </sheetPr>
  <dimension ref="B2:AQ608"/>
  <sheetViews>
    <sheetView showGridLines="0" zoomScaleNormal="100" workbookViewId="0">
      <pane xSplit="2" ySplit="3" topLeftCell="C471" activePane="bottomRight" state="frozen"/>
      <selection activeCell="D11" sqref="A1:XFD1048576"/>
      <selection pane="topRight" activeCell="D11" sqref="A1:XFD1048576"/>
      <selection pane="bottomLeft" activeCell="D11" sqref="A1:XFD1048576"/>
      <selection pane="bottomRight" activeCell="D11" sqref="A1:XFD1048576"/>
    </sheetView>
  </sheetViews>
  <sheetFormatPr defaultRowHeight="14.5" x14ac:dyDescent="0.35"/>
  <cols>
    <col min="2" max="2" width="42.7265625" bestFit="1" customWidth="1"/>
    <col min="3" max="3" width="16.54296875" bestFit="1" customWidth="1"/>
    <col min="4" max="4" width="20.26953125" bestFit="1" customWidth="1"/>
    <col min="5" max="5" width="20.81640625" bestFit="1" customWidth="1"/>
    <col min="6" max="6" width="12.26953125" bestFit="1" customWidth="1"/>
    <col min="7" max="7" width="15" bestFit="1" customWidth="1"/>
    <col min="9" max="9" width="42.7265625" bestFit="1" customWidth="1"/>
    <col min="10" max="10" width="16.54296875" bestFit="1" customWidth="1"/>
    <col min="11" max="11" width="20.26953125" bestFit="1" customWidth="1"/>
    <col min="12" max="12" width="20.81640625" bestFit="1" customWidth="1"/>
    <col min="13" max="13" width="12.26953125" bestFit="1" customWidth="1"/>
    <col min="14" max="14" width="13.453125" bestFit="1" customWidth="1"/>
    <col min="16" max="16" width="42.7265625" bestFit="1" customWidth="1"/>
    <col min="17" max="17" width="16.54296875" bestFit="1" customWidth="1"/>
    <col min="18" max="18" width="20.26953125" bestFit="1" customWidth="1"/>
    <col min="19" max="19" width="20.81640625" bestFit="1" customWidth="1"/>
    <col min="20" max="20" width="11.26953125" bestFit="1" customWidth="1"/>
    <col min="21" max="21" width="13.453125" bestFit="1" customWidth="1"/>
    <col min="23" max="23" width="42.7265625" bestFit="1" customWidth="1"/>
    <col min="24" max="24" width="16.54296875" bestFit="1" customWidth="1"/>
    <col min="25" max="25" width="20.26953125" bestFit="1" customWidth="1"/>
    <col min="26" max="26" width="20.81640625" bestFit="1" customWidth="1"/>
    <col min="27" max="27" width="12.26953125" bestFit="1" customWidth="1"/>
    <col min="28" max="28" width="15" bestFit="1" customWidth="1"/>
    <col min="30" max="30" width="42.7265625" bestFit="1" customWidth="1"/>
    <col min="31" max="31" width="16.54296875" bestFit="1" customWidth="1"/>
    <col min="32" max="32" width="20.26953125" bestFit="1" customWidth="1"/>
    <col min="33" max="33" width="20.81640625" bestFit="1" customWidth="1"/>
    <col min="34" max="34" width="11.26953125" bestFit="1" customWidth="1"/>
    <col min="35" max="36" width="13.453125" bestFit="1" customWidth="1"/>
    <col min="37" max="37" width="42.7265625" bestFit="1" customWidth="1"/>
    <col min="38" max="38" width="16.54296875" bestFit="1" customWidth="1"/>
    <col min="39" max="39" width="20.26953125" bestFit="1" customWidth="1"/>
    <col min="40" max="40" width="20.81640625" bestFit="1" customWidth="1"/>
    <col min="41" max="41" width="12.26953125" bestFit="1" customWidth="1"/>
    <col min="42" max="42" width="15" bestFit="1" customWidth="1"/>
    <col min="43" max="43" width="12.54296875" bestFit="1" customWidth="1"/>
  </cols>
  <sheetData>
    <row r="2" spans="2:42" x14ac:dyDescent="0.35">
      <c r="B2" t="s">
        <v>147</v>
      </c>
      <c r="AD2" t="s">
        <v>153</v>
      </c>
      <c r="AK2" t="s">
        <v>155</v>
      </c>
    </row>
    <row r="3" spans="2:42" s="138" customFormat="1" x14ac:dyDescent="0.35">
      <c r="C3" s="138" t="s">
        <v>10</v>
      </c>
      <c r="D3" s="138" t="s">
        <v>69</v>
      </c>
      <c r="E3" s="138" t="s">
        <v>70</v>
      </c>
      <c r="F3" s="138" t="s">
        <v>44</v>
      </c>
      <c r="G3" s="138" t="s">
        <v>45</v>
      </c>
      <c r="AE3" s="138" t="s">
        <v>10</v>
      </c>
      <c r="AF3" s="138" t="s">
        <v>69</v>
      </c>
      <c r="AG3" s="138" t="s">
        <v>70</v>
      </c>
      <c r="AH3" s="138" t="s">
        <v>44</v>
      </c>
      <c r="AI3" s="138" t="s">
        <v>45</v>
      </c>
      <c r="AJ3"/>
      <c r="AL3" s="138" t="s">
        <v>10</v>
      </c>
      <c r="AM3" s="138" t="s">
        <v>69</v>
      </c>
      <c r="AN3" s="138" t="s">
        <v>70</v>
      </c>
      <c r="AO3" s="138" t="s">
        <v>44</v>
      </c>
      <c r="AP3" s="138" t="s">
        <v>45</v>
      </c>
    </row>
    <row r="4" spans="2:42" x14ac:dyDescent="0.35">
      <c r="B4" t="s">
        <v>85</v>
      </c>
      <c r="C4">
        <v>20112456.34</v>
      </c>
      <c r="D4">
        <v>0</v>
      </c>
      <c r="E4">
        <v>0</v>
      </c>
      <c r="F4">
        <v>0</v>
      </c>
      <c r="G4">
        <v>20112456.34</v>
      </c>
    </row>
    <row r="5" spans="2:42" x14ac:dyDescent="0.35">
      <c r="B5" t="s">
        <v>19</v>
      </c>
      <c r="C5">
        <v>172546362.48295999</v>
      </c>
      <c r="D5">
        <v>0</v>
      </c>
      <c r="E5">
        <v>0</v>
      </c>
      <c r="F5">
        <v>0</v>
      </c>
      <c r="G5">
        <v>172546362.48295999</v>
      </c>
    </row>
    <row r="6" spans="2:42" x14ac:dyDescent="0.35">
      <c r="B6" t="s">
        <v>86</v>
      </c>
      <c r="C6">
        <v>132136988.63999984</v>
      </c>
      <c r="D6">
        <v>0</v>
      </c>
      <c r="E6">
        <v>0</v>
      </c>
      <c r="F6">
        <v>0</v>
      </c>
      <c r="G6">
        <v>132136988.63999984</v>
      </c>
    </row>
    <row r="7" spans="2:42" x14ac:dyDescent="0.35">
      <c r="B7" t="s">
        <v>87</v>
      </c>
      <c r="C7">
        <v>-280274.79000000004</v>
      </c>
      <c r="D7">
        <v>0</v>
      </c>
      <c r="E7">
        <v>0</v>
      </c>
      <c r="F7">
        <v>0</v>
      </c>
      <c r="G7">
        <v>-280274.79000000004</v>
      </c>
    </row>
    <row r="8" spans="2:42" x14ac:dyDescent="0.35">
      <c r="B8" t="s">
        <v>18</v>
      </c>
      <c r="C8">
        <v>324515532.6729598</v>
      </c>
      <c r="D8">
        <v>0</v>
      </c>
      <c r="E8">
        <v>0</v>
      </c>
      <c r="F8">
        <v>0</v>
      </c>
      <c r="G8">
        <v>324515532.6729598</v>
      </c>
    </row>
    <row r="11" spans="2:42" x14ac:dyDescent="0.35">
      <c r="B11" t="s">
        <v>12</v>
      </c>
      <c r="C11">
        <v>394995956.07999998</v>
      </c>
      <c r="D11">
        <v>0</v>
      </c>
      <c r="E11">
        <v>0</v>
      </c>
      <c r="F11">
        <v>0</v>
      </c>
      <c r="G11">
        <v>394995956.07999998</v>
      </c>
    </row>
    <row r="12" spans="2:42" x14ac:dyDescent="0.35">
      <c r="B12" t="s">
        <v>3</v>
      </c>
      <c r="C12">
        <v>-280150992.66000003</v>
      </c>
      <c r="D12">
        <v>0</v>
      </c>
      <c r="E12">
        <v>0</v>
      </c>
      <c r="F12">
        <v>0</v>
      </c>
      <c r="G12">
        <v>-280150992.66000003</v>
      </c>
    </row>
    <row r="13" spans="2:42" x14ac:dyDescent="0.35">
      <c r="B13" t="s">
        <v>88</v>
      </c>
      <c r="C13">
        <v>58547587.309999995</v>
      </c>
      <c r="D13">
        <v>0</v>
      </c>
      <c r="E13">
        <v>0</v>
      </c>
      <c r="F13">
        <v>0</v>
      </c>
      <c r="G13">
        <v>58547587.309999995</v>
      </c>
    </row>
    <row r="14" spans="2:42" x14ac:dyDescent="0.35">
      <c r="B14" t="s">
        <v>13</v>
      </c>
      <c r="C14">
        <v>-18636346.579999998</v>
      </c>
      <c r="D14">
        <v>0</v>
      </c>
      <c r="E14">
        <v>0</v>
      </c>
      <c r="F14">
        <v>0</v>
      </c>
      <c r="G14">
        <v>-18636346.579999998</v>
      </c>
    </row>
    <row r="15" spans="2:42" x14ac:dyDescent="0.35">
      <c r="B15" t="s">
        <v>14</v>
      </c>
      <c r="C15">
        <v>154756204.14999998</v>
      </c>
      <c r="D15">
        <v>0</v>
      </c>
      <c r="E15">
        <v>0</v>
      </c>
      <c r="F15">
        <v>0</v>
      </c>
      <c r="G15">
        <v>154756204.14999998</v>
      </c>
    </row>
    <row r="18" spans="2:7" x14ac:dyDescent="0.35">
      <c r="B18" t="s">
        <v>15</v>
      </c>
      <c r="C18">
        <v>59725768.449999996</v>
      </c>
      <c r="D18">
        <v>0</v>
      </c>
      <c r="E18">
        <v>0</v>
      </c>
      <c r="F18">
        <v>0</v>
      </c>
      <c r="G18">
        <v>59725768.449999996</v>
      </c>
    </row>
    <row r="19" spans="2:7" x14ac:dyDescent="0.35">
      <c r="B19" t="s">
        <v>16</v>
      </c>
      <c r="C19">
        <v>-37584866.149999991</v>
      </c>
      <c r="D19">
        <v>0</v>
      </c>
      <c r="E19">
        <v>0</v>
      </c>
      <c r="F19">
        <v>0</v>
      </c>
      <c r="G19">
        <v>-37584866.149999991</v>
      </c>
    </row>
    <row r="20" spans="2:7" x14ac:dyDescent="0.35">
      <c r="B20" t="s">
        <v>17</v>
      </c>
      <c r="C20">
        <v>22140902.300000004</v>
      </c>
      <c r="D20">
        <v>0</v>
      </c>
      <c r="E20">
        <v>0</v>
      </c>
      <c r="F20">
        <v>0</v>
      </c>
      <c r="G20">
        <v>22140902.300000004</v>
      </c>
    </row>
    <row r="23" spans="2:7" x14ac:dyDescent="0.35">
      <c r="B23" t="s">
        <v>20</v>
      </c>
      <c r="C23">
        <v>51526217.909040004</v>
      </c>
      <c r="D23">
        <v>0</v>
      </c>
      <c r="E23">
        <v>0</v>
      </c>
      <c r="F23">
        <v>0</v>
      </c>
      <c r="G23">
        <v>51526217.909040004</v>
      </c>
    </row>
    <row r="25" spans="2:7" x14ac:dyDescent="0.35">
      <c r="B25" t="s">
        <v>0</v>
      </c>
      <c r="C25">
        <v>2369588123.8599997</v>
      </c>
      <c r="D25">
        <v>0</v>
      </c>
      <c r="E25">
        <v>0</v>
      </c>
      <c r="F25">
        <v>0</v>
      </c>
      <c r="G25">
        <v>2369588123.8599997</v>
      </c>
    </row>
    <row r="26" spans="2:7" x14ac:dyDescent="0.35">
      <c r="B26" t="s">
        <v>2</v>
      </c>
      <c r="C26">
        <v>-2369587038.0099998</v>
      </c>
      <c r="D26">
        <v>0</v>
      </c>
      <c r="E26">
        <v>0</v>
      </c>
      <c r="F26">
        <v>0</v>
      </c>
      <c r="G26">
        <v>-2369587038.0099998</v>
      </c>
    </row>
    <row r="27" spans="2:7" x14ac:dyDescent="0.35">
      <c r="B27" t="s">
        <v>21</v>
      </c>
      <c r="C27">
        <v>1085.8499999046326</v>
      </c>
      <c r="D27">
        <v>0</v>
      </c>
      <c r="E27">
        <v>0</v>
      </c>
      <c r="F27">
        <v>0</v>
      </c>
      <c r="G27">
        <v>1085.8499999046326</v>
      </c>
    </row>
    <row r="30" spans="2:7" x14ac:dyDescent="0.35">
      <c r="B30" t="s">
        <v>24</v>
      </c>
      <c r="C30">
        <v>0</v>
      </c>
      <c r="D30">
        <v>0</v>
      </c>
      <c r="E30">
        <v>0</v>
      </c>
      <c r="F30">
        <v>0</v>
      </c>
      <c r="G30">
        <v>0</v>
      </c>
    </row>
    <row r="31" spans="2:7" x14ac:dyDescent="0.35">
      <c r="B31" t="s">
        <v>25</v>
      </c>
      <c r="C31">
        <v>0</v>
      </c>
      <c r="D31">
        <v>0</v>
      </c>
      <c r="E31">
        <v>0</v>
      </c>
      <c r="F31">
        <v>0</v>
      </c>
      <c r="G31">
        <v>0</v>
      </c>
    </row>
    <row r="32" spans="2:7" x14ac:dyDescent="0.35">
      <c r="B32" t="s">
        <v>26</v>
      </c>
      <c r="C32">
        <v>0</v>
      </c>
      <c r="D32">
        <v>0</v>
      </c>
      <c r="E32">
        <v>0</v>
      </c>
      <c r="F32">
        <v>0</v>
      </c>
      <c r="G32">
        <v>0</v>
      </c>
    </row>
    <row r="33" spans="2:7" x14ac:dyDescent="0.35">
      <c r="B33" t="s">
        <v>101</v>
      </c>
      <c r="C33">
        <v>0</v>
      </c>
      <c r="D33">
        <v>0</v>
      </c>
      <c r="E33">
        <v>0</v>
      </c>
      <c r="F33">
        <v>0</v>
      </c>
      <c r="G33">
        <v>0</v>
      </c>
    </row>
    <row r="36" spans="2:7" x14ac:dyDescent="0.35">
      <c r="B36" t="s">
        <v>27</v>
      </c>
      <c r="C36">
        <v>0</v>
      </c>
      <c r="D36">
        <v>0</v>
      </c>
      <c r="E36">
        <v>0</v>
      </c>
      <c r="F36">
        <v>0</v>
      </c>
      <c r="G36">
        <v>0</v>
      </c>
    </row>
    <row r="37" spans="2:7" x14ac:dyDescent="0.35">
      <c r="B37" t="s">
        <v>28</v>
      </c>
      <c r="C37">
        <v>0</v>
      </c>
      <c r="D37">
        <v>0</v>
      </c>
      <c r="E37">
        <v>0</v>
      </c>
      <c r="F37">
        <v>0</v>
      </c>
      <c r="G37">
        <v>0</v>
      </c>
    </row>
    <row r="38" spans="2:7" x14ac:dyDescent="0.35">
      <c r="B38" t="s">
        <v>29</v>
      </c>
      <c r="C38">
        <v>0</v>
      </c>
      <c r="D38">
        <v>0</v>
      </c>
      <c r="E38">
        <v>0</v>
      </c>
      <c r="F38">
        <v>0</v>
      </c>
      <c r="G38">
        <v>0</v>
      </c>
    </row>
    <row r="39" spans="2:7" x14ac:dyDescent="0.35">
      <c r="B39" t="s">
        <v>30</v>
      </c>
      <c r="C39">
        <v>0</v>
      </c>
      <c r="D39">
        <v>0</v>
      </c>
      <c r="E39">
        <v>0</v>
      </c>
      <c r="F39">
        <v>0</v>
      </c>
      <c r="G39">
        <v>0</v>
      </c>
    </row>
    <row r="40" spans="2:7" x14ac:dyDescent="0.35">
      <c r="B40" t="s">
        <v>90</v>
      </c>
      <c r="C40">
        <v>0</v>
      </c>
      <c r="D40">
        <v>0</v>
      </c>
      <c r="E40">
        <v>0</v>
      </c>
      <c r="F40">
        <v>0</v>
      </c>
      <c r="G40">
        <v>0</v>
      </c>
    </row>
    <row r="43" spans="2:7" x14ac:dyDescent="0.35">
      <c r="B43" t="s">
        <v>89</v>
      </c>
      <c r="C43">
        <v>0</v>
      </c>
      <c r="D43">
        <v>9130879</v>
      </c>
      <c r="E43">
        <v>2210373</v>
      </c>
      <c r="F43">
        <v>0</v>
      </c>
      <c r="G43">
        <v>11341252</v>
      </c>
    </row>
    <row r="45" spans="2:7" x14ac:dyDescent="0.35">
      <c r="B45" t="s">
        <v>31</v>
      </c>
      <c r="C45">
        <v>0</v>
      </c>
      <c r="D45">
        <v>0</v>
      </c>
      <c r="E45">
        <v>30718939</v>
      </c>
      <c r="F45">
        <v>0</v>
      </c>
      <c r="G45">
        <v>30718939</v>
      </c>
    </row>
    <row r="46" spans="2:7" x14ac:dyDescent="0.35">
      <c r="B46" t="s">
        <v>32</v>
      </c>
      <c r="C46">
        <v>0</v>
      </c>
      <c r="D46">
        <v>0</v>
      </c>
      <c r="E46">
        <v>-5057580</v>
      </c>
      <c r="F46">
        <v>0</v>
      </c>
      <c r="G46">
        <v>-5057580</v>
      </c>
    </row>
    <row r="47" spans="2:7" x14ac:dyDescent="0.35">
      <c r="B47" t="s">
        <v>33</v>
      </c>
      <c r="C47">
        <v>0</v>
      </c>
      <c r="D47">
        <v>0</v>
      </c>
      <c r="E47">
        <v>25661359</v>
      </c>
      <c r="F47">
        <v>0</v>
      </c>
      <c r="G47">
        <v>25661359</v>
      </c>
    </row>
    <row r="50" spans="2:7" x14ac:dyDescent="0.35">
      <c r="B50" t="s">
        <v>35</v>
      </c>
      <c r="C50">
        <v>3109359.13</v>
      </c>
      <c r="D50">
        <v>0</v>
      </c>
      <c r="E50">
        <v>0</v>
      </c>
      <c r="F50">
        <v>0</v>
      </c>
      <c r="G50">
        <v>3109359.13</v>
      </c>
    </row>
    <row r="51" spans="2:7" x14ac:dyDescent="0.35">
      <c r="B51" t="s">
        <v>36</v>
      </c>
      <c r="C51">
        <v>-7192249.0699999994</v>
      </c>
      <c r="D51">
        <v>0</v>
      </c>
      <c r="E51">
        <v>0</v>
      </c>
      <c r="F51">
        <v>0</v>
      </c>
      <c r="G51">
        <v>-7192249.0699999994</v>
      </c>
    </row>
    <row r="52" spans="2:7" x14ac:dyDescent="0.35">
      <c r="B52" t="s">
        <v>37</v>
      </c>
      <c r="C52">
        <v>-4082889.9399999995</v>
      </c>
      <c r="D52">
        <v>0</v>
      </c>
      <c r="E52">
        <v>0</v>
      </c>
      <c r="F52">
        <v>0</v>
      </c>
      <c r="G52">
        <v>-4082889.9399999995</v>
      </c>
    </row>
    <row r="55" spans="2:7" x14ac:dyDescent="0.35">
      <c r="B55" t="s">
        <v>38</v>
      </c>
      <c r="C55">
        <v>-10680642.940000001</v>
      </c>
      <c r="D55">
        <v>-33044</v>
      </c>
      <c r="E55">
        <v>-584193</v>
      </c>
      <c r="F55">
        <v>0</v>
      </c>
      <c r="G55">
        <v>-11297879.940000001</v>
      </c>
    </row>
    <row r="56" spans="2:7" x14ac:dyDescent="0.35">
      <c r="B56" t="s">
        <v>78</v>
      </c>
      <c r="C56">
        <v>-111402473.96999997</v>
      </c>
      <c r="D56">
        <v>-4084496</v>
      </c>
      <c r="E56">
        <v>-4935696</v>
      </c>
      <c r="F56">
        <v>0</v>
      </c>
      <c r="G56">
        <v>-120422665.96999997</v>
      </c>
    </row>
    <row r="57" spans="2:7" x14ac:dyDescent="0.35">
      <c r="B57" t="s">
        <v>39</v>
      </c>
      <c r="C57">
        <v>-73387235.290000021</v>
      </c>
      <c r="D57">
        <v>-685522</v>
      </c>
      <c r="E57">
        <v>-1583176</v>
      </c>
      <c r="F57">
        <v>0</v>
      </c>
      <c r="G57">
        <v>-75655933.290000021</v>
      </c>
    </row>
    <row r="58" spans="2:7" x14ac:dyDescent="0.35">
      <c r="B58" t="s">
        <v>40</v>
      </c>
      <c r="C58">
        <v>-3203274.9</v>
      </c>
      <c r="D58">
        <v>0</v>
      </c>
      <c r="E58">
        <v>0</v>
      </c>
      <c r="F58">
        <v>0</v>
      </c>
      <c r="G58">
        <v>-3203274.9</v>
      </c>
    </row>
    <row r="59" spans="2:7" x14ac:dyDescent="0.35">
      <c r="B59" t="s">
        <v>41</v>
      </c>
      <c r="C59">
        <v>-152521.15</v>
      </c>
      <c r="D59">
        <v>0</v>
      </c>
      <c r="E59">
        <v>0</v>
      </c>
      <c r="F59">
        <v>0</v>
      </c>
      <c r="G59">
        <v>-152521.15</v>
      </c>
    </row>
    <row r="60" spans="2:7" x14ac:dyDescent="0.35">
      <c r="B60" t="s">
        <v>42</v>
      </c>
      <c r="C60">
        <v>0</v>
      </c>
      <c r="D60">
        <v>0</v>
      </c>
      <c r="E60">
        <v>0</v>
      </c>
      <c r="F60">
        <v>0</v>
      </c>
      <c r="G60">
        <v>0</v>
      </c>
    </row>
    <row r="61" spans="2:7" x14ac:dyDescent="0.35">
      <c r="B61" t="s">
        <v>4</v>
      </c>
      <c r="C61">
        <v>66898</v>
      </c>
      <c r="D61">
        <v>0</v>
      </c>
      <c r="E61">
        <v>0</v>
      </c>
      <c r="F61">
        <v>0</v>
      </c>
      <c r="G61">
        <v>66898</v>
      </c>
    </row>
    <row r="62" spans="2:7" x14ac:dyDescent="0.35">
      <c r="B62" t="s">
        <v>5</v>
      </c>
      <c r="C62">
        <v>-80000</v>
      </c>
      <c r="D62">
        <v>0</v>
      </c>
      <c r="E62">
        <v>0</v>
      </c>
      <c r="F62">
        <v>0</v>
      </c>
      <c r="G62">
        <v>-80000</v>
      </c>
    </row>
    <row r="63" spans="2:7" x14ac:dyDescent="0.35">
      <c r="B63" t="s">
        <v>182</v>
      </c>
      <c r="C63">
        <v>-14330365.689999999</v>
      </c>
      <c r="D63">
        <v>0</v>
      </c>
      <c r="E63">
        <v>0</v>
      </c>
      <c r="F63">
        <v>0</v>
      </c>
      <c r="G63">
        <v>-14330365.689999999</v>
      </c>
    </row>
    <row r="64" spans="2:7" x14ac:dyDescent="0.35">
      <c r="B64" t="s">
        <v>11</v>
      </c>
      <c r="C64">
        <v>-213169615.94</v>
      </c>
      <c r="D64">
        <v>-4803062</v>
      </c>
      <c r="E64">
        <v>-7103065</v>
      </c>
      <c r="F64">
        <v>0</v>
      </c>
      <c r="G64">
        <v>-225075742.94</v>
      </c>
    </row>
    <row r="67" spans="2:7" x14ac:dyDescent="0.35">
      <c r="B67" t="s">
        <v>43</v>
      </c>
      <c r="C67">
        <v>335687437.00199968</v>
      </c>
      <c r="D67">
        <v>4327817</v>
      </c>
      <c r="E67">
        <v>20768667</v>
      </c>
      <c r="F67">
        <v>0</v>
      </c>
      <c r="G67">
        <v>360783921.00199968</v>
      </c>
    </row>
    <row r="68" spans="2:7" x14ac:dyDescent="0.35">
      <c r="B68" t="s">
        <v>6</v>
      </c>
      <c r="C68">
        <v>-57332397.770000003</v>
      </c>
      <c r="D68">
        <v>-978684</v>
      </c>
      <c r="E68">
        <v>-4658202</v>
      </c>
      <c r="F68">
        <v>0</v>
      </c>
      <c r="G68">
        <v>-62969283.770000003</v>
      </c>
    </row>
    <row r="69" spans="2:7" x14ac:dyDescent="0.35">
      <c r="B69" t="s">
        <v>7</v>
      </c>
      <c r="C69">
        <v>278355039.2319997</v>
      </c>
      <c r="D69">
        <v>3349133</v>
      </c>
      <c r="E69">
        <v>16110465</v>
      </c>
      <c r="F69">
        <v>0</v>
      </c>
      <c r="G69">
        <v>297814637.2319997</v>
      </c>
    </row>
    <row r="70" spans="2:7" x14ac:dyDescent="0.35">
      <c r="B70" t="s">
        <v>8</v>
      </c>
      <c r="C70">
        <v>-11278319.571465198</v>
      </c>
      <c r="D70">
        <v>-584722.23429999989</v>
      </c>
      <c r="E70">
        <v>-3199891.7999999993</v>
      </c>
      <c r="F70">
        <v>0</v>
      </c>
      <c r="G70">
        <v>-15062933.605765197</v>
      </c>
    </row>
    <row r="71" spans="2:7" x14ac:dyDescent="0.35">
      <c r="B71" t="s">
        <v>143</v>
      </c>
      <c r="C71">
        <v>267076719.6605345</v>
      </c>
      <c r="D71">
        <v>2764410.7657000003</v>
      </c>
      <c r="E71">
        <v>12910573.200000001</v>
      </c>
      <c r="F71">
        <v>0</v>
      </c>
      <c r="G71">
        <v>282751703.62623447</v>
      </c>
    </row>
    <row r="72" spans="2:7" x14ac:dyDescent="0.35">
      <c r="C72">
        <v>0</v>
      </c>
      <c r="D72">
        <v>0</v>
      </c>
      <c r="E72">
        <v>0</v>
      </c>
      <c r="F72">
        <v>0</v>
      </c>
      <c r="G72">
        <v>0</v>
      </c>
    </row>
    <row r="75" spans="2:7" x14ac:dyDescent="0.35">
      <c r="B75" t="s">
        <v>144</v>
      </c>
    </row>
    <row r="76" spans="2:7" x14ac:dyDescent="0.35">
      <c r="C76" t="s">
        <v>10</v>
      </c>
      <c r="D76" t="s">
        <v>69</v>
      </c>
      <c r="E76" t="s">
        <v>70</v>
      </c>
      <c r="F76" t="s">
        <v>44</v>
      </c>
      <c r="G76" t="s">
        <v>45</v>
      </c>
    </row>
    <row r="77" spans="2:7" x14ac:dyDescent="0.35">
      <c r="B77" t="s">
        <v>85</v>
      </c>
      <c r="C77">
        <v>213712406</v>
      </c>
      <c r="D77">
        <v>0</v>
      </c>
      <c r="E77">
        <v>0</v>
      </c>
      <c r="F77">
        <v>0</v>
      </c>
      <c r="G77">
        <v>213712406</v>
      </c>
    </row>
    <row r="78" spans="2:7" x14ac:dyDescent="0.35">
      <c r="B78" t="s">
        <v>19</v>
      </c>
      <c r="C78">
        <v>107127052.02599999</v>
      </c>
      <c r="D78">
        <v>0</v>
      </c>
      <c r="E78">
        <v>0</v>
      </c>
      <c r="F78">
        <v>0</v>
      </c>
      <c r="G78">
        <v>107127052.02599999</v>
      </c>
    </row>
    <row r="79" spans="2:7" x14ac:dyDescent="0.35">
      <c r="B79" t="s">
        <v>86</v>
      </c>
      <c r="C79">
        <v>85219998</v>
      </c>
      <c r="D79">
        <v>0</v>
      </c>
      <c r="E79">
        <v>0</v>
      </c>
      <c r="F79">
        <v>0</v>
      </c>
      <c r="G79">
        <v>85219998</v>
      </c>
    </row>
    <row r="80" spans="2:7" x14ac:dyDescent="0.35">
      <c r="B80" t="s">
        <v>87</v>
      </c>
      <c r="C80">
        <v>-74318</v>
      </c>
      <c r="D80">
        <v>0</v>
      </c>
      <c r="E80">
        <v>0</v>
      </c>
      <c r="F80">
        <v>0</v>
      </c>
      <c r="G80">
        <v>-74318</v>
      </c>
    </row>
    <row r="81" spans="2:7" x14ac:dyDescent="0.35">
      <c r="B81" t="s">
        <v>18</v>
      </c>
      <c r="C81">
        <v>405985138.02600002</v>
      </c>
      <c r="D81">
        <v>0</v>
      </c>
      <c r="E81">
        <v>0</v>
      </c>
      <c r="F81">
        <v>0</v>
      </c>
      <c r="G81">
        <v>405985138.02600002</v>
      </c>
    </row>
    <row r="84" spans="2:7" x14ac:dyDescent="0.35">
      <c r="B84" t="s">
        <v>12</v>
      </c>
      <c r="C84">
        <v>373115635</v>
      </c>
      <c r="D84">
        <v>0</v>
      </c>
      <c r="E84">
        <v>0</v>
      </c>
      <c r="F84">
        <v>0</v>
      </c>
      <c r="G84">
        <v>373115635</v>
      </c>
    </row>
    <row r="85" spans="2:7" x14ac:dyDescent="0.35">
      <c r="B85" t="s">
        <v>88</v>
      </c>
      <c r="C85">
        <v>120578481.54000001</v>
      </c>
      <c r="D85">
        <v>0</v>
      </c>
      <c r="E85">
        <v>0</v>
      </c>
      <c r="F85">
        <v>0</v>
      </c>
      <c r="G85">
        <v>120578481.54000001</v>
      </c>
    </row>
    <row r="86" spans="2:7" x14ac:dyDescent="0.35">
      <c r="B86" t="s">
        <v>3</v>
      </c>
      <c r="C86">
        <v>-212985528.32000002</v>
      </c>
      <c r="D86">
        <v>0</v>
      </c>
      <c r="E86">
        <v>0</v>
      </c>
      <c r="F86">
        <v>0</v>
      </c>
      <c r="G86">
        <v>-212985528.32000002</v>
      </c>
    </row>
    <row r="87" spans="2:7" x14ac:dyDescent="0.35">
      <c r="B87" t="s">
        <v>13</v>
      </c>
      <c r="C87">
        <v>-3112054</v>
      </c>
      <c r="D87">
        <v>0</v>
      </c>
      <c r="E87">
        <v>0</v>
      </c>
      <c r="F87">
        <v>0</v>
      </c>
      <c r="G87">
        <v>-3112054</v>
      </c>
    </row>
    <row r="88" spans="2:7" x14ac:dyDescent="0.35">
      <c r="B88" t="s">
        <v>14</v>
      </c>
      <c r="C88">
        <v>277596534.22000003</v>
      </c>
      <c r="D88">
        <v>0</v>
      </c>
      <c r="E88">
        <v>0</v>
      </c>
      <c r="F88">
        <v>0</v>
      </c>
      <c r="G88">
        <v>277596534.22000003</v>
      </c>
    </row>
    <row r="91" spans="2:7" x14ac:dyDescent="0.35">
      <c r="B91" t="s">
        <v>15</v>
      </c>
      <c r="C91">
        <v>80069782.75</v>
      </c>
      <c r="D91">
        <v>0</v>
      </c>
      <c r="E91">
        <v>0</v>
      </c>
      <c r="F91">
        <v>0</v>
      </c>
      <c r="G91">
        <v>80069782.75</v>
      </c>
    </row>
    <row r="92" spans="2:7" x14ac:dyDescent="0.35">
      <c r="B92" t="s">
        <v>16</v>
      </c>
      <c r="C92">
        <v>-32776744</v>
      </c>
      <c r="D92">
        <v>0</v>
      </c>
      <c r="E92">
        <v>0</v>
      </c>
      <c r="F92">
        <v>0</v>
      </c>
      <c r="G92">
        <v>-32776744</v>
      </c>
    </row>
    <row r="93" spans="2:7" x14ac:dyDescent="0.35">
      <c r="B93" t="s">
        <v>17</v>
      </c>
      <c r="C93">
        <v>47293038.75</v>
      </c>
      <c r="D93">
        <v>0</v>
      </c>
      <c r="E93">
        <v>0</v>
      </c>
      <c r="F93">
        <v>0</v>
      </c>
      <c r="G93">
        <v>47293038.75</v>
      </c>
    </row>
    <row r="96" spans="2:7" x14ac:dyDescent="0.35">
      <c r="B96" t="s">
        <v>20</v>
      </c>
      <c r="C96">
        <v>53683307.986999996</v>
      </c>
      <c r="D96">
        <v>0</v>
      </c>
      <c r="E96">
        <v>0</v>
      </c>
      <c r="F96">
        <v>0</v>
      </c>
      <c r="G96">
        <v>53683307.986999996</v>
      </c>
    </row>
    <row r="98" spans="2:7" x14ac:dyDescent="0.35">
      <c r="B98" t="s">
        <v>0</v>
      </c>
      <c r="C98">
        <v>2867065775</v>
      </c>
      <c r="D98">
        <v>0</v>
      </c>
      <c r="E98">
        <v>0</v>
      </c>
      <c r="F98">
        <v>0</v>
      </c>
      <c r="G98">
        <v>2867065775</v>
      </c>
    </row>
    <row r="99" spans="2:7" x14ac:dyDescent="0.35">
      <c r="B99" t="s">
        <v>2</v>
      </c>
      <c r="C99">
        <v>-2867065775</v>
      </c>
      <c r="D99">
        <v>0</v>
      </c>
      <c r="E99">
        <v>0</v>
      </c>
      <c r="F99">
        <v>0</v>
      </c>
      <c r="G99">
        <v>-2867065775</v>
      </c>
    </row>
    <row r="100" spans="2:7" x14ac:dyDescent="0.35">
      <c r="B100" t="s">
        <v>21</v>
      </c>
      <c r="C100">
        <v>0</v>
      </c>
      <c r="D100">
        <v>0</v>
      </c>
      <c r="E100">
        <v>0</v>
      </c>
      <c r="F100">
        <v>0</v>
      </c>
      <c r="G100">
        <v>0</v>
      </c>
    </row>
    <row r="103" spans="2:7" x14ac:dyDescent="0.35">
      <c r="B103" t="s">
        <v>24</v>
      </c>
      <c r="C103">
        <v>0</v>
      </c>
      <c r="D103">
        <v>109227579</v>
      </c>
      <c r="E103">
        <v>0</v>
      </c>
      <c r="F103">
        <v>0</v>
      </c>
      <c r="G103">
        <v>109227579</v>
      </c>
    </row>
    <row r="104" spans="2:7" x14ac:dyDescent="0.35">
      <c r="B104" t="s">
        <v>25</v>
      </c>
      <c r="C104">
        <v>0</v>
      </c>
      <c r="D104">
        <v>-49136896</v>
      </c>
      <c r="E104">
        <v>0</v>
      </c>
      <c r="F104">
        <v>0</v>
      </c>
      <c r="G104">
        <v>-49136896</v>
      </c>
    </row>
    <row r="105" spans="2:7" x14ac:dyDescent="0.35">
      <c r="B105" t="s">
        <v>26</v>
      </c>
      <c r="C105">
        <v>0</v>
      </c>
      <c r="D105">
        <v>-20847331</v>
      </c>
      <c r="E105">
        <v>0</v>
      </c>
      <c r="F105">
        <v>0</v>
      </c>
      <c r="G105">
        <v>-20847331</v>
      </c>
    </row>
    <row r="106" spans="2:7" x14ac:dyDescent="0.35">
      <c r="B106" t="s">
        <v>101</v>
      </c>
      <c r="C106">
        <v>0</v>
      </c>
      <c r="D106">
        <v>39243352</v>
      </c>
      <c r="E106">
        <v>0</v>
      </c>
      <c r="F106">
        <v>0</v>
      </c>
      <c r="G106">
        <v>39243352</v>
      </c>
    </row>
    <row r="109" spans="2:7" x14ac:dyDescent="0.35">
      <c r="B109" t="s">
        <v>27</v>
      </c>
      <c r="C109">
        <v>0</v>
      </c>
      <c r="D109">
        <v>-20563815</v>
      </c>
      <c r="E109">
        <v>0</v>
      </c>
      <c r="F109">
        <v>0</v>
      </c>
      <c r="G109">
        <v>-20563815</v>
      </c>
    </row>
    <row r="110" spans="2:7" x14ac:dyDescent="0.35">
      <c r="B110" t="s">
        <v>28</v>
      </c>
      <c r="C110">
        <v>0</v>
      </c>
      <c r="D110">
        <v>-18448684</v>
      </c>
      <c r="E110">
        <v>0</v>
      </c>
      <c r="F110">
        <v>0</v>
      </c>
      <c r="G110">
        <v>-18448684</v>
      </c>
    </row>
    <row r="111" spans="2:7" x14ac:dyDescent="0.35">
      <c r="B111" t="s">
        <v>29</v>
      </c>
      <c r="C111">
        <v>0</v>
      </c>
      <c r="D111">
        <v>2377747</v>
      </c>
      <c r="E111">
        <v>0</v>
      </c>
      <c r="F111">
        <v>0</v>
      </c>
      <c r="G111">
        <v>2377747</v>
      </c>
    </row>
    <row r="112" spans="2:7" x14ac:dyDescent="0.35">
      <c r="B112" t="s">
        <v>30</v>
      </c>
      <c r="C112">
        <v>0</v>
      </c>
      <c r="D112">
        <v>0</v>
      </c>
      <c r="E112">
        <v>0</v>
      </c>
      <c r="F112">
        <v>0</v>
      </c>
      <c r="G112">
        <v>0</v>
      </c>
    </row>
    <row r="113" spans="2:7" x14ac:dyDescent="0.35">
      <c r="B113" t="s">
        <v>90</v>
      </c>
      <c r="C113">
        <v>0</v>
      </c>
      <c r="D113">
        <v>-36634752</v>
      </c>
      <c r="E113">
        <v>0</v>
      </c>
      <c r="F113">
        <v>0</v>
      </c>
      <c r="G113">
        <v>-36634752</v>
      </c>
    </row>
    <row r="116" spans="2:7" x14ac:dyDescent="0.35">
      <c r="B116" t="s">
        <v>89</v>
      </c>
      <c r="C116">
        <v>0</v>
      </c>
      <c r="D116">
        <v>24176135</v>
      </c>
      <c r="E116">
        <v>2299145</v>
      </c>
      <c r="F116">
        <v>0</v>
      </c>
      <c r="G116">
        <v>26475280</v>
      </c>
    </row>
    <row r="120" spans="2:7" x14ac:dyDescent="0.35">
      <c r="B120" t="s">
        <v>31</v>
      </c>
      <c r="C120">
        <v>0</v>
      </c>
      <c r="D120">
        <v>0</v>
      </c>
      <c r="E120">
        <v>36464087</v>
      </c>
      <c r="F120">
        <v>0</v>
      </c>
      <c r="G120">
        <v>36464087</v>
      </c>
    </row>
    <row r="121" spans="2:7" x14ac:dyDescent="0.35">
      <c r="B121" t="s">
        <v>32</v>
      </c>
      <c r="C121">
        <v>0</v>
      </c>
      <c r="D121">
        <v>0</v>
      </c>
      <c r="E121">
        <v>-4648736</v>
      </c>
      <c r="F121">
        <v>0</v>
      </c>
      <c r="G121">
        <v>-4648736</v>
      </c>
    </row>
    <row r="122" spans="2:7" x14ac:dyDescent="0.35">
      <c r="B122" t="s">
        <v>33</v>
      </c>
      <c r="C122">
        <v>0</v>
      </c>
      <c r="D122">
        <v>0</v>
      </c>
      <c r="E122">
        <v>31815351</v>
      </c>
      <c r="F122">
        <v>0</v>
      </c>
      <c r="G122">
        <v>31815351</v>
      </c>
    </row>
    <row r="125" spans="2:7" x14ac:dyDescent="0.35">
      <c r="B125" t="s">
        <v>35</v>
      </c>
      <c r="C125">
        <v>5443713</v>
      </c>
      <c r="D125">
        <v>0</v>
      </c>
      <c r="E125">
        <v>0</v>
      </c>
      <c r="F125">
        <v>0</v>
      </c>
      <c r="G125">
        <v>5443713</v>
      </c>
    </row>
    <row r="126" spans="2:7" x14ac:dyDescent="0.35">
      <c r="B126" t="s">
        <v>36</v>
      </c>
      <c r="C126">
        <v>-7932880</v>
      </c>
      <c r="D126">
        <v>0</v>
      </c>
      <c r="E126">
        <v>0</v>
      </c>
      <c r="F126">
        <v>0</v>
      </c>
      <c r="G126">
        <v>-7932880</v>
      </c>
    </row>
    <row r="127" spans="2:7" x14ac:dyDescent="0.35">
      <c r="B127" t="s">
        <v>37</v>
      </c>
      <c r="C127">
        <v>-2489167</v>
      </c>
      <c r="D127">
        <v>0</v>
      </c>
      <c r="E127">
        <v>0</v>
      </c>
      <c r="F127">
        <v>0</v>
      </c>
      <c r="G127">
        <v>-2489167</v>
      </c>
    </row>
    <row r="130" spans="2:36" x14ac:dyDescent="0.35">
      <c r="B130" t="s">
        <v>47</v>
      </c>
      <c r="C130">
        <v>-20890281.940000001</v>
      </c>
      <c r="D130">
        <v>-703578</v>
      </c>
      <c r="E130">
        <v>-550943</v>
      </c>
      <c r="F130">
        <v>0</v>
      </c>
      <c r="G130">
        <v>-22144802.940000001</v>
      </c>
    </row>
    <row r="131" spans="2:36" x14ac:dyDescent="0.35">
      <c r="B131" t="s">
        <v>78</v>
      </c>
      <c r="C131">
        <v>-145735887.22999999</v>
      </c>
      <c r="D131">
        <v>-14185820</v>
      </c>
      <c r="E131">
        <v>-5967248</v>
      </c>
      <c r="F131">
        <v>0</v>
      </c>
      <c r="G131">
        <v>-165888955.22999999</v>
      </c>
    </row>
    <row r="132" spans="2:36" x14ac:dyDescent="0.35">
      <c r="B132" t="s">
        <v>39</v>
      </c>
      <c r="C132">
        <v>-73206470.209999993</v>
      </c>
      <c r="D132">
        <v>-9226015</v>
      </c>
      <c r="E132">
        <v>-1912766</v>
      </c>
      <c r="F132">
        <v>0</v>
      </c>
      <c r="G132">
        <v>-84345251.209999993</v>
      </c>
    </row>
    <row r="133" spans="2:36" x14ac:dyDescent="0.35">
      <c r="B133" t="s">
        <v>40</v>
      </c>
      <c r="C133">
        <v>-4094466</v>
      </c>
      <c r="D133">
        <v>-531375</v>
      </c>
      <c r="E133">
        <v>-12010</v>
      </c>
      <c r="F133">
        <v>0</v>
      </c>
      <c r="G133">
        <v>-4637851</v>
      </c>
    </row>
    <row r="134" spans="2:36" x14ac:dyDescent="0.35">
      <c r="B134" t="s">
        <v>41</v>
      </c>
      <c r="C134">
        <v>-24132295</v>
      </c>
      <c r="D134">
        <v>0</v>
      </c>
      <c r="E134">
        <v>0</v>
      </c>
      <c r="F134">
        <v>0</v>
      </c>
      <c r="G134">
        <v>-24132295</v>
      </c>
    </row>
    <row r="135" spans="2:36" x14ac:dyDescent="0.35">
      <c r="B135" t="s">
        <v>42</v>
      </c>
      <c r="C135">
        <v>0</v>
      </c>
      <c r="D135">
        <v>0</v>
      </c>
      <c r="E135">
        <v>0</v>
      </c>
      <c r="F135">
        <v>0</v>
      </c>
      <c r="G135">
        <v>0</v>
      </c>
    </row>
    <row r="136" spans="2:36" x14ac:dyDescent="0.35">
      <c r="B136" t="s">
        <v>4</v>
      </c>
      <c r="C136">
        <v>-640534</v>
      </c>
      <c r="D136">
        <v>34085</v>
      </c>
      <c r="E136">
        <v>0</v>
      </c>
      <c r="F136">
        <v>0</v>
      </c>
      <c r="G136">
        <v>-606449</v>
      </c>
    </row>
    <row r="137" spans="2:36" x14ac:dyDescent="0.35">
      <c r="B137" t="s">
        <v>5</v>
      </c>
      <c r="C137">
        <v>-61000</v>
      </c>
      <c r="D137">
        <v>0</v>
      </c>
      <c r="E137">
        <v>0</v>
      </c>
      <c r="F137">
        <v>0</v>
      </c>
      <c r="G137">
        <v>-61000</v>
      </c>
    </row>
    <row r="138" spans="2:36" x14ac:dyDescent="0.35">
      <c r="B138" t="s">
        <v>182</v>
      </c>
      <c r="C138">
        <v>-6354954</v>
      </c>
      <c r="D138">
        <v>-281293.12328000006</v>
      </c>
      <c r="E138">
        <v>0</v>
      </c>
      <c r="F138">
        <v>0</v>
      </c>
      <c r="G138">
        <v>-6636247.1232799999</v>
      </c>
    </row>
    <row r="139" spans="2:36" x14ac:dyDescent="0.35">
      <c r="B139" t="s">
        <v>11</v>
      </c>
      <c r="C139">
        <v>-275115888.38</v>
      </c>
      <c r="D139">
        <v>-24893996.12328</v>
      </c>
      <c r="E139">
        <v>-8442967</v>
      </c>
      <c r="F139">
        <v>0</v>
      </c>
      <c r="G139">
        <v>-308452851.50327998</v>
      </c>
    </row>
    <row r="142" spans="2:36" x14ac:dyDescent="0.35">
      <c r="B142" t="s">
        <v>43</v>
      </c>
      <c r="C142">
        <v>506952963.60300004</v>
      </c>
      <c r="D142">
        <v>1890738.8767200001</v>
      </c>
      <c r="E142">
        <v>25671529</v>
      </c>
      <c r="F142">
        <v>0</v>
      </c>
      <c r="G142">
        <v>534515231.47972006</v>
      </c>
    </row>
    <row r="143" spans="2:36" x14ac:dyDescent="0.35">
      <c r="B143" t="s">
        <v>6</v>
      </c>
      <c r="C143">
        <v>-116210721.00999999</v>
      </c>
      <c r="D143">
        <v>-5973743</v>
      </c>
      <c r="E143">
        <v>-5817682</v>
      </c>
      <c r="F143">
        <v>0</v>
      </c>
      <c r="G143">
        <v>-128002146.00999999</v>
      </c>
    </row>
    <row r="144" spans="2:36" x14ac:dyDescent="0.35">
      <c r="B144" t="s">
        <v>7</v>
      </c>
      <c r="C144">
        <v>390742242.59300005</v>
      </c>
      <c r="D144">
        <v>-4083004.1232799999</v>
      </c>
      <c r="E144">
        <v>19853847</v>
      </c>
      <c r="F144">
        <v>0</v>
      </c>
      <c r="G144">
        <v>406513085.46972007</v>
      </c>
      <c r="AJ144" s="3"/>
    </row>
    <row r="145" spans="2:42" x14ac:dyDescent="0.35">
      <c r="B145" t="s">
        <v>8</v>
      </c>
      <c r="C145">
        <v>-14521304.261981372</v>
      </c>
      <c r="D145">
        <v>678768.35810000007</v>
      </c>
      <c r="E145">
        <v>-3958500.399999999</v>
      </c>
      <c r="F145">
        <v>0</v>
      </c>
      <c r="G145">
        <v>-17801036.30388137</v>
      </c>
      <c r="AJ145" s="3"/>
    </row>
    <row r="146" spans="2:42" x14ac:dyDescent="0.35">
      <c r="B146" t="s">
        <v>143</v>
      </c>
      <c r="C146">
        <v>376220938.33101869</v>
      </c>
      <c r="D146">
        <v>-3404235.7651800001</v>
      </c>
      <c r="E146">
        <v>15895346.600000001</v>
      </c>
      <c r="F146">
        <v>0</v>
      </c>
      <c r="G146">
        <v>388712049.16583872</v>
      </c>
      <c r="AJ146" s="3"/>
    </row>
    <row r="147" spans="2:42" x14ac:dyDescent="0.35">
      <c r="C147">
        <v>0</v>
      </c>
      <c r="D147">
        <v>0</v>
      </c>
      <c r="E147">
        <v>0</v>
      </c>
      <c r="F147">
        <v>0</v>
      </c>
      <c r="G147">
        <v>0</v>
      </c>
      <c r="AJ147" s="3"/>
    </row>
    <row r="148" spans="2:42" x14ac:dyDescent="0.35">
      <c r="AJ148" s="3"/>
    </row>
    <row r="150" spans="2:42" x14ac:dyDescent="0.35">
      <c r="B150" t="s">
        <v>145</v>
      </c>
      <c r="AD150" t="s">
        <v>153</v>
      </c>
      <c r="AK150" t="s">
        <v>155</v>
      </c>
    </row>
    <row r="151" spans="2:42" x14ac:dyDescent="0.35">
      <c r="C151" t="s">
        <v>10</v>
      </c>
      <c r="D151" t="s">
        <v>69</v>
      </c>
      <c r="E151" t="s">
        <v>70</v>
      </c>
      <c r="F151" t="s">
        <v>44</v>
      </c>
      <c r="G151" t="s">
        <v>45</v>
      </c>
      <c r="AE151" t="s">
        <v>10</v>
      </c>
      <c r="AF151" t="s">
        <v>69</v>
      </c>
      <c r="AG151" t="s">
        <v>70</v>
      </c>
      <c r="AH151" t="s">
        <v>44</v>
      </c>
      <c r="AI151" t="s">
        <v>45</v>
      </c>
      <c r="AL151" t="s">
        <v>10</v>
      </c>
      <c r="AM151" t="s">
        <v>69</v>
      </c>
      <c r="AN151" t="s">
        <v>70</v>
      </c>
      <c r="AO151" t="s">
        <v>44</v>
      </c>
      <c r="AP151" t="s">
        <v>45</v>
      </c>
    </row>
    <row r="152" spans="2:42" x14ac:dyDescent="0.35">
      <c r="B152" t="s">
        <v>85</v>
      </c>
      <c r="C152">
        <v>320398207.24000001</v>
      </c>
      <c r="D152">
        <v>0</v>
      </c>
      <c r="E152">
        <v>0</v>
      </c>
      <c r="F152">
        <v>0</v>
      </c>
      <c r="G152">
        <v>320398207.24000001</v>
      </c>
      <c r="AD152" t="s">
        <v>85</v>
      </c>
      <c r="AE152">
        <v>192337163</v>
      </c>
      <c r="AF152">
        <v>0</v>
      </c>
      <c r="AG152">
        <v>0</v>
      </c>
      <c r="AH152">
        <v>0</v>
      </c>
      <c r="AI152">
        <v>192337163</v>
      </c>
      <c r="AK152" t="s">
        <v>85</v>
      </c>
      <c r="AL152">
        <v>128061044.24000001</v>
      </c>
      <c r="AM152">
        <v>0</v>
      </c>
      <c r="AN152">
        <v>0</v>
      </c>
      <c r="AO152">
        <v>0</v>
      </c>
      <c r="AP152">
        <v>128061044.24000001</v>
      </c>
    </row>
    <row r="153" spans="2:42" x14ac:dyDescent="0.35">
      <c r="B153" t="s">
        <v>19</v>
      </c>
      <c r="C153">
        <v>103794947.55599999</v>
      </c>
      <c r="D153">
        <v>0</v>
      </c>
      <c r="E153">
        <v>0</v>
      </c>
      <c r="F153">
        <v>0</v>
      </c>
      <c r="G153">
        <v>103794947.55599999</v>
      </c>
      <c r="AD153" t="s">
        <v>19</v>
      </c>
      <c r="AE153">
        <v>77412773.038000003</v>
      </c>
      <c r="AF153">
        <v>0</v>
      </c>
      <c r="AG153">
        <v>0</v>
      </c>
      <c r="AH153">
        <v>0</v>
      </c>
      <c r="AI153">
        <v>77412773.038000003</v>
      </c>
      <c r="AK153" t="s">
        <v>19</v>
      </c>
      <c r="AL153">
        <v>26382174.517999992</v>
      </c>
      <c r="AM153">
        <v>0</v>
      </c>
      <c r="AN153">
        <v>0</v>
      </c>
      <c r="AO153">
        <v>0</v>
      </c>
      <c r="AP153">
        <v>26382174.517999992</v>
      </c>
    </row>
    <row r="154" spans="2:42" x14ac:dyDescent="0.35">
      <c r="B154" t="s">
        <v>86</v>
      </c>
      <c r="C154">
        <v>-9278718.4399998933</v>
      </c>
      <c r="D154">
        <v>0</v>
      </c>
      <c r="E154">
        <v>0</v>
      </c>
      <c r="F154">
        <v>0</v>
      </c>
      <c r="G154">
        <v>-9278718.4399998933</v>
      </c>
      <c r="AD154" t="s">
        <v>86</v>
      </c>
      <c r="AE154">
        <v>-26710740</v>
      </c>
      <c r="AF154">
        <v>0</v>
      </c>
      <c r="AG154">
        <v>0</v>
      </c>
      <c r="AH154">
        <v>0</v>
      </c>
      <c r="AI154">
        <v>-26710740</v>
      </c>
      <c r="AK154" t="s">
        <v>86</v>
      </c>
      <c r="AL154">
        <v>17432021.560000107</v>
      </c>
      <c r="AM154">
        <v>0</v>
      </c>
      <c r="AN154">
        <v>0</v>
      </c>
      <c r="AO154">
        <v>0</v>
      </c>
      <c r="AP154">
        <v>17432021.560000107</v>
      </c>
    </row>
    <row r="155" spans="2:42" x14ac:dyDescent="0.35">
      <c r="B155" t="s">
        <v>87</v>
      </c>
      <c r="C155">
        <v>-51753</v>
      </c>
      <c r="D155">
        <v>0</v>
      </c>
      <c r="E155">
        <v>0</v>
      </c>
      <c r="F155">
        <v>0</v>
      </c>
      <c r="G155">
        <v>-51753</v>
      </c>
      <c r="AD155" t="s">
        <v>87</v>
      </c>
      <c r="AE155">
        <v>-51753</v>
      </c>
      <c r="AF155">
        <v>0</v>
      </c>
      <c r="AG155">
        <v>0</v>
      </c>
      <c r="AH155">
        <v>0</v>
      </c>
      <c r="AI155">
        <v>-51753</v>
      </c>
      <c r="AK155" t="s">
        <v>87</v>
      </c>
      <c r="AL155">
        <v>0</v>
      </c>
      <c r="AM155">
        <v>0</v>
      </c>
      <c r="AN155">
        <v>0</v>
      </c>
      <c r="AO155">
        <v>0</v>
      </c>
      <c r="AP155">
        <v>0</v>
      </c>
    </row>
    <row r="156" spans="2:42" x14ac:dyDescent="0.35">
      <c r="B156" t="s">
        <v>18</v>
      </c>
      <c r="C156">
        <v>414862683.35600013</v>
      </c>
      <c r="D156">
        <v>0</v>
      </c>
      <c r="E156">
        <v>0</v>
      </c>
      <c r="F156">
        <v>0</v>
      </c>
      <c r="G156">
        <v>414862683.35600013</v>
      </c>
      <c r="AD156" t="s">
        <v>18</v>
      </c>
      <c r="AE156">
        <v>242987443.03799999</v>
      </c>
      <c r="AF156">
        <v>0</v>
      </c>
      <c r="AG156">
        <v>0</v>
      </c>
      <c r="AH156">
        <v>0</v>
      </c>
      <c r="AI156">
        <v>242987443.03799999</v>
      </c>
      <c r="AK156" t="s">
        <v>18</v>
      </c>
      <c r="AL156">
        <v>171875240.31800014</v>
      </c>
      <c r="AM156">
        <v>0</v>
      </c>
      <c r="AN156">
        <v>0</v>
      </c>
      <c r="AO156">
        <v>0</v>
      </c>
      <c r="AP156">
        <v>171875240.31800014</v>
      </c>
    </row>
    <row r="159" spans="2:42" x14ac:dyDescent="0.35">
      <c r="B159" t="s">
        <v>12</v>
      </c>
      <c r="C159">
        <v>475836301.60000002</v>
      </c>
      <c r="D159">
        <v>0</v>
      </c>
      <c r="E159">
        <v>0</v>
      </c>
      <c r="F159">
        <v>0</v>
      </c>
      <c r="G159">
        <v>475836301.60000002</v>
      </c>
      <c r="AD159" t="s">
        <v>12</v>
      </c>
      <c r="AE159">
        <v>346450570.24000001</v>
      </c>
      <c r="AF159">
        <v>0</v>
      </c>
      <c r="AG159">
        <v>0</v>
      </c>
      <c r="AH159">
        <v>0</v>
      </c>
      <c r="AI159">
        <v>346450570.24000001</v>
      </c>
      <c r="AK159" t="s">
        <v>12</v>
      </c>
      <c r="AL159">
        <v>129385731.36000001</v>
      </c>
      <c r="AM159">
        <v>0</v>
      </c>
      <c r="AN159">
        <v>0</v>
      </c>
      <c r="AO159">
        <v>0</v>
      </c>
      <c r="AP159">
        <v>129385731.36000001</v>
      </c>
    </row>
    <row r="160" spans="2:42" x14ac:dyDescent="0.35">
      <c r="B160" t="s">
        <v>3</v>
      </c>
      <c r="C160">
        <v>-201022239.71000004</v>
      </c>
      <c r="D160">
        <v>0</v>
      </c>
      <c r="E160">
        <v>0</v>
      </c>
      <c r="F160">
        <v>0</v>
      </c>
      <c r="G160">
        <v>-201022239.71000004</v>
      </c>
      <c r="AD160" t="s">
        <v>3</v>
      </c>
      <c r="AE160">
        <v>-154135267.88</v>
      </c>
      <c r="AF160">
        <v>0</v>
      </c>
      <c r="AG160">
        <v>0</v>
      </c>
      <c r="AH160">
        <v>0</v>
      </c>
      <c r="AI160">
        <v>-154135267.88</v>
      </c>
      <c r="AK160" t="s">
        <v>3</v>
      </c>
      <c r="AL160">
        <v>-46886971.830000043</v>
      </c>
      <c r="AM160">
        <v>0</v>
      </c>
      <c r="AN160">
        <v>0</v>
      </c>
      <c r="AO160">
        <v>0</v>
      </c>
      <c r="AP160">
        <v>-46886971.830000043</v>
      </c>
    </row>
    <row r="161" spans="2:42" x14ac:dyDescent="0.35">
      <c r="B161" t="s">
        <v>88</v>
      </c>
      <c r="C161">
        <v>96463867.040000007</v>
      </c>
      <c r="D161">
        <v>0</v>
      </c>
      <c r="E161">
        <v>0</v>
      </c>
      <c r="F161">
        <v>0</v>
      </c>
      <c r="G161">
        <v>96463867.040000007</v>
      </c>
      <c r="AD161" t="s">
        <v>88</v>
      </c>
      <c r="AE161">
        <v>77620896.431428567</v>
      </c>
      <c r="AF161">
        <v>0</v>
      </c>
      <c r="AG161">
        <v>0</v>
      </c>
      <c r="AH161">
        <v>0</v>
      </c>
      <c r="AI161">
        <v>77620896.431428567</v>
      </c>
      <c r="AK161" t="s">
        <v>88</v>
      </c>
      <c r="AL161">
        <v>18842970.60857144</v>
      </c>
      <c r="AM161">
        <v>0</v>
      </c>
      <c r="AN161">
        <v>0</v>
      </c>
      <c r="AO161">
        <v>0</v>
      </c>
      <c r="AP161">
        <v>18842970.60857144</v>
      </c>
    </row>
    <row r="162" spans="2:42" x14ac:dyDescent="0.35">
      <c r="B162" t="s">
        <v>13</v>
      </c>
      <c r="C162">
        <v>-5676931.6099999994</v>
      </c>
      <c r="D162">
        <v>0</v>
      </c>
      <c r="E162">
        <v>0</v>
      </c>
      <c r="F162">
        <v>0</v>
      </c>
      <c r="G162">
        <v>-5676931.6099999994</v>
      </c>
      <c r="AD162" t="s">
        <v>13</v>
      </c>
      <c r="AE162">
        <v>-3661048.69</v>
      </c>
      <c r="AF162">
        <v>0</v>
      </c>
      <c r="AG162">
        <v>0</v>
      </c>
      <c r="AH162">
        <v>0</v>
      </c>
      <c r="AI162">
        <v>-3661048.69</v>
      </c>
      <c r="AK162" t="s">
        <v>13</v>
      </c>
      <c r="AL162">
        <v>-2015882.9199999995</v>
      </c>
      <c r="AM162">
        <v>0</v>
      </c>
      <c r="AN162">
        <v>0</v>
      </c>
      <c r="AO162">
        <v>0</v>
      </c>
      <c r="AP162">
        <v>-2015882.9199999995</v>
      </c>
    </row>
    <row r="163" spans="2:42" x14ac:dyDescent="0.35">
      <c r="B163" t="s">
        <v>14</v>
      </c>
      <c r="C163">
        <v>365600997.31999999</v>
      </c>
      <c r="D163">
        <v>0</v>
      </c>
      <c r="E163">
        <v>0</v>
      </c>
      <c r="F163">
        <v>0</v>
      </c>
      <c r="G163">
        <v>365600997.31999999</v>
      </c>
      <c r="AD163" t="s">
        <v>14</v>
      </c>
      <c r="AE163">
        <v>266275150.10142857</v>
      </c>
      <c r="AF163">
        <v>0</v>
      </c>
      <c r="AG163">
        <v>0</v>
      </c>
      <c r="AH163">
        <v>0</v>
      </c>
      <c r="AI163">
        <v>266275150.10142857</v>
      </c>
      <c r="AK163" t="s">
        <v>14</v>
      </c>
      <c r="AL163">
        <v>99325847.21857141</v>
      </c>
      <c r="AM163">
        <v>0</v>
      </c>
      <c r="AN163">
        <v>0</v>
      </c>
      <c r="AO163">
        <v>0</v>
      </c>
      <c r="AP163">
        <v>99325847.21857141</v>
      </c>
    </row>
    <row r="166" spans="2:42" x14ac:dyDescent="0.35">
      <c r="B166" t="s">
        <v>15</v>
      </c>
      <c r="C166">
        <v>108182993.97</v>
      </c>
      <c r="D166">
        <v>0</v>
      </c>
      <c r="E166">
        <v>0</v>
      </c>
      <c r="F166">
        <v>0</v>
      </c>
      <c r="G166">
        <v>108182993.97</v>
      </c>
      <c r="AD166" t="s">
        <v>15</v>
      </c>
      <c r="AE166">
        <v>57533665.049999997</v>
      </c>
      <c r="AF166">
        <v>0</v>
      </c>
      <c r="AG166">
        <v>0</v>
      </c>
      <c r="AH166">
        <v>0</v>
      </c>
      <c r="AI166">
        <v>57533665.049999997</v>
      </c>
      <c r="AK166" t="s">
        <v>15</v>
      </c>
      <c r="AL166">
        <v>50649328.920000002</v>
      </c>
      <c r="AM166">
        <v>0</v>
      </c>
      <c r="AN166">
        <v>0</v>
      </c>
      <c r="AO166">
        <v>0</v>
      </c>
      <c r="AP166">
        <v>50649328.920000002</v>
      </c>
    </row>
    <row r="167" spans="2:42" x14ac:dyDescent="0.35">
      <c r="B167" t="s">
        <v>16</v>
      </c>
      <c r="C167">
        <v>-46137948.710000001</v>
      </c>
      <c r="D167">
        <v>0</v>
      </c>
      <c r="E167">
        <v>0</v>
      </c>
      <c r="F167">
        <v>0</v>
      </c>
      <c r="G167">
        <v>-46137948.710000001</v>
      </c>
      <c r="AD167" t="s">
        <v>16</v>
      </c>
      <c r="AE167">
        <v>-25491638</v>
      </c>
      <c r="AF167">
        <v>0</v>
      </c>
      <c r="AG167">
        <v>0</v>
      </c>
      <c r="AH167">
        <v>0</v>
      </c>
      <c r="AI167">
        <v>-25491638</v>
      </c>
      <c r="AK167" t="s">
        <v>16</v>
      </c>
      <c r="AL167">
        <v>-20646310.710000001</v>
      </c>
      <c r="AM167">
        <v>0</v>
      </c>
      <c r="AN167">
        <v>0</v>
      </c>
      <c r="AO167">
        <v>0</v>
      </c>
      <c r="AP167">
        <v>-20646310.710000001</v>
      </c>
    </row>
    <row r="168" spans="2:42" x14ac:dyDescent="0.35">
      <c r="B168" t="s">
        <v>17</v>
      </c>
      <c r="C168">
        <v>62045045.259999998</v>
      </c>
      <c r="D168">
        <v>0</v>
      </c>
      <c r="E168">
        <v>0</v>
      </c>
      <c r="F168">
        <v>0</v>
      </c>
      <c r="G168">
        <v>62045045.259999998</v>
      </c>
      <c r="AD168" t="s">
        <v>17</v>
      </c>
      <c r="AE168">
        <v>32042027.049999997</v>
      </c>
      <c r="AF168">
        <v>0</v>
      </c>
      <c r="AG168">
        <v>0</v>
      </c>
      <c r="AH168">
        <v>0</v>
      </c>
      <c r="AI168">
        <v>32042027.049999997</v>
      </c>
      <c r="AK168" t="s">
        <v>17</v>
      </c>
      <c r="AL168">
        <v>30003018.210000001</v>
      </c>
      <c r="AM168">
        <v>0</v>
      </c>
      <c r="AN168">
        <v>0</v>
      </c>
      <c r="AO168">
        <v>0</v>
      </c>
      <c r="AP168">
        <v>30003018.210000001</v>
      </c>
    </row>
    <row r="171" spans="2:42" x14ac:dyDescent="0.35">
      <c r="B171" t="s">
        <v>20</v>
      </c>
      <c r="C171">
        <v>29041025.26070004</v>
      </c>
      <c r="D171">
        <v>0</v>
      </c>
      <c r="E171">
        <v>0</v>
      </c>
      <c r="F171">
        <v>0</v>
      </c>
      <c r="G171">
        <v>29041025.26070004</v>
      </c>
      <c r="AD171" t="s">
        <v>20</v>
      </c>
      <c r="AE171">
        <v>18453934.990899999</v>
      </c>
      <c r="AF171">
        <v>0</v>
      </c>
      <c r="AG171">
        <v>0</v>
      </c>
      <c r="AH171">
        <v>0</v>
      </c>
      <c r="AI171">
        <v>18453934.990899999</v>
      </c>
      <c r="AK171" t="s">
        <v>20</v>
      </c>
      <c r="AL171">
        <v>10587090.269800041</v>
      </c>
      <c r="AM171">
        <v>0</v>
      </c>
      <c r="AN171">
        <v>0</v>
      </c>
      <c r="AO171">
        <v>0</v>
      </c>
      <c r="AP171">
        <v>10587090.269800041</v>
      </c>
    </row>
    <row r="175" spans="2:42" x14ac:dyDescent="0.35">
      <c r="B175" t="s">
        <v>0</v>
      </c>
      <c r="C175">
        <v>2102289979.9100001</v>
      </c>
      <c r="D175">
        <v>0</v>
      </c>
      <c r="E175">
        <v>0</v>
      </c>
      <c r="F175">
        <v>0</v>
      </c>
      <c r="G175">
        <v>2102289979.9100001</v>
      </c>
      <c r="AD175" t="s">
        <v>0</v>
      </c>
      <c r="AE175">
        <v>1896732148</v>
      </c>
      <c r="AF175">
        <v>0</v>
      </c>
      <c r="AG175">
        <v>0</v>
      </c>
      <c r="AH175">
        <v>0</v>
      </c>
      <c r="AI175">
        <v>1896732148</v>
      </c>
      <c r="AK175" t="s">
        <v>0</v>
      </c>
      <c r="AL175">
        <v>205557831.91000009</v>
      </c>
      <c r="AM175">
        <v>0</v>
      </c>
      <c r="AN175">
        <v>0</v>
      </c>
      <c r="AO175">
        <v>0</v>
      </c>
      <c r="AP175">
        <v>205557831.91000009</v>
      </c>
    </row>
    <row r="176" spans="2:42" x14ac:dyDescent="0.35">
      <c r="B176" t="s">
        <v>2</v>
      </c>
      <c r="C176">
        <v>-2102289979.9100001</v>
      </c>
      <c r="D176">
        <v>0</v>
      </c>
      <c r="E176">
        <v>0</v>
      </c>
      <c r="F176">
        <v>0</v>
      </c>
      <c r="G176">
        <v>-2102289979.9100001</v>
      </c>
      <c r="AD176" t="s">
        <v>2</v>
      </c>
      <c r="AE176">
        <v>-1896889953</v>
      </c>
      <c r="AF176">
        <v>0</v>
      </c>
      <c r="AG176">
        <v>0</v>
      </c>
      <c r="AH176">
        <v>0</v>
      </c>
      <c r="AI176">
        <v>-1896889953</v>
      </c>
      <c r="AK176" t="s">
        <v>2</v>
      </c>
      <c r="AL176">
        <v>-205400026.91000009</v>
      </c>
      <c r="AM176">
        <v>0</v>
      </c>
      <c r="AN176">
        <v>0</v>
      </c>
      <c r="AO176">
        <v>0</v>
      </c>
      <c r="AP176">
        <v>-205400026.91000009</v>
      </c>
    </row>
    <row r="177" spans="2:42" x14ac:dyDescent="0.35">
      <c r="B177" t="s">
        <v>21</v>
      </c>
      <c r="C177">
        <v>0</v>
      </c>
      <c r="D177">
        <v>0</v>
      </c>
      <c r="E177">
        <v>0</v>
      </c>
      <c r="F177">
        <v>0</v>
      </c>
      <c r="G177">
        <v>0</v>
      </c>
      <c r="AD177" t="s">
        <v>21</v>
      </c>
      <c r="AE177">
        <v>-157805</v>
      </c>
      <c r="AF177">
        <v>0</v>
      </c>
      <c r="AG177">
        <v>0</v>
      </c>
      <c r="AH177">
        <v>0</v>
      </c>
      <c r="AI177">
        <v>-157805</v>
      </c>
      <c r="AK177" t="s">
        <v>21</v>
      </c>
      <c r="AL177">
        <v>157805</v>
      </c>
      <c r="AM177">
        <v>0</v>
      </c>
      <c r="AN177">
        <v>0</v>
      </c>
      <c r="AO177">
        <v>0</v>
      </c>
      <c r="AP177">
        <v>157805</v>
      </c>
    </row>
    <row r="180" spans="2:42" x14ac:dyDescent="0.35">
      <c r="B180" t="s">
        <v>24</v>
      </c>
      <c r="C180">
        <v>0</v>
      </c>
      <c r="D180">
        <v>283856094</v>
      </c>
      <c r="E180">
        <v>0</v>
      </c>
      <c r="F180">
        <v>0</v>
      </c>
      <c r="G180">
        <v>283856094</v>
      </c>
      <c r="AD180" t="s">
        <v>24</v>
      </c>
      <c r="AE180">
        <v>0</v>
      </c>
      <c r="AF180">
        <v>202916573</v>
      </c>
      <c r="AG180">
        <v>0</v>
      </c>
      <c r="AH180">
        <v>0</v>
      </c>
      <c r="AI180">
        <v>202916573</v>
      </c>
      <c r="AK180" t="s">
        <v>24</v>
      </c>
      <c r="AL180">
        <v>0</v>
      </c>
      <c r="AM180">
        <v>80939521</v>
      </c>
      <c r="AN180">
        <v>0</v>
      </c>
      <c r="AO180">
        <v>0</v>
      </c>
      <c r="AP180">
        <v>80939521</v>
      </c>
    </row>
    <row r="181" spans="2:42" x14ac:dyDescent="0.35">
      <c r="B181" t="s">
        <v>25</v>
      </c>
      <c r="C181">
        <v>0</v>
      </c>
      <c r="D181">
        <v>-49818883</v>
      </c>
      <c r="E181">
        <v>0</v>
      </c>
      <c r="F181">
        <v>0</v>
      </c>
      <c r="G181">
        <v>-49818883</v>
      </c>
      <c r="AD181" t="s">
        <v>25</v>
      </c>
      <c r="AE181">
        <v>0</v>
      </c>
      <c r="AF181">
        <v>-36143060</v>
      </c>
      <c r="AG181">
        <v>0</v>
      </c>
      <c r="AH181">
        <v>0</v>
      </c>
      <c r="AI181">
        <v>-36143060</v>
      </c>
      <c r="AK181" t="s">
        <v>25</v>
      </c>
      <c r="AL181">
        <v>0</v>
      </c>
      <c r="AM181">
        <v>-13675823</v>
      </c>
      <c r="AN181">
        <v>0</v>
      </c>
      <c r="AO181">
        <v>0</v>
      </c>
      <c r="AP181">
        <v>-13675823</v>
      </c>
    </row>
    <row r="182" spans="2:42" x14ac:dyDescent="0.35">
      <c r="B182" t="s">
        <v>26</v>
      </c>
      <c r="C182">
        <v>0</v>
      </c>
      <c r="D182">
        <v>-73108785</v>
      </c>
      <c r="E182">
        <v>0</v>
      </c>
      <c r="F182">
        <v>0</v>
      </c>
      <c r="G182">
        <v>-73108785</v>
      </c>
      <c r="AD182" t="s">
        <v>26</v>
      </c>
      <c r="AE182">
        <v>0</v>
      </c>
      <c r="AF182">
        <v>-52937000</v>
      </c>
      <c r="AG182">
        <v>0</v>
      </c>
      <c r="AH182">
        <v>0</v>
      </c>
      <c r="AI182">
        <v>-52937000</v>
      </c>
      <c r="AK182" t="s">
        <v>26</v>
      </c>
      <c r="AL182">
        <v>0</v>
      </c>
      <c r="AM182">
        <v>-20171785</v>
      </c>
      <c r="AN182">
        <v>0</v>
      </c>
      <c r="AO182">
        <v>0</v>
      </c>
      <c r="AP182">
        <v>-20171785</v>
      </c>
    </row>
    <row r="183" spans="2:42" x14ac:dyDescent="0.35">
      <c r="B183" t="s">
        <v>101</v>
      </c>
      <c r="C183">
        <v>0</v>
      </c>
      <c r="D183">
        <v>160928426</v>
      </c>
      <c r="E183">
        <v>0</v>
      </c>
      <c r="F183">
        <v>0</v>
      </c>
      <c r="G183">
        <v>160928426</v>
      </c>
      <c r="AD183" t="s">
        <v>152</v>
      </c>
      <c r="AE183">
        <v>0</v>
      </c>
      <c r="AF183">
        <v>113836513</v>
      </c>
      <c r="AG183">
        <v>0</v>
      </c>
      <c r="AH183">
        <v>0</v>
      </c>
      <c r="AI183">
        <v>113836513</v>
      </c>
      <c r="AK183" t="s">
        <v>152</v>
      </c>
      <c r="AL183">
        <v>0</v>
      </c>
      <c r="AM183">
        <v>47091913</v>
      </c>
      <c r="AN183">
        <v>0</v>
      </c>
      <c r="AO183">
        <v>0</v>
      </c>
      <c r="AP183">
        <v>47091913</v>
      </c>
    </row>
    <row r="186" spans="2:42" x14ac:dyDescent="0.35">
      <c r="B186" t="s">
        <v>27</v>
      </c>
      <c r="C186">
        <v>0</v>
      </c>
      <c r="D186">
        <v>-90519443</v>
      </c>
      <c r="E186">
        <v>0</v>
      </c>
      <c r="F186">
        <v>0</v>
      </c>
      <c r="G186">
        <v>-90519443</v>
      </c>
      <c r="AD186" t="s">
        <v>27</v>
      </c>
      <c r="AE186">
        <v>0</v>
      </c>
      <c r="AF186">
        <v>-55355783</v>
      </c>
      <c r="AG186">
        <v>0</v>
      </c>
      <c r="AH186">
        <v>0</v>
      </c>
      <c r="AI186">
        <v>-55355783</v>
      </c>
      <c r="AK186" t="s">
        <v>27</v>
      </c>
      <c r="AL186">
        <v>0</v>
      </c>
      <c r="AM186">
        <v>-35163660</v>
      </c>
      <c r="AN186">
        <v>0</v>
      </c>
      <c r="AO186">
        <v>0</v>
      </c>
      <c r="AP186">
        <v>-35163660</v>
      </c>
    </row>
    <row r="187" spans="2:42" x14ac:dyDescent="0.35">
      <c r="B187" t="s">
        <v>28</v>
      </c>
      <c r="C187">
        <v>0</v>
      </c>
      <c r="D187">
        <v>-61773299</v>
      </c>
      <c r="E187">
        <v>0</v>
      </c>
      <c r="F187">
        <v>0</v>
      </c>
      <c r="G187">
        <v>-61773299</v>
      </c>
      <c r="AD187" t="s">
        <v>28</v>
      </c>
      <c r="AE187">
        <v>0</v>
      </c>
      <c r="AF187">
        <v>-44073599</v>
      </c>
      <c r="AG187">
        <v>0</v>
      </c>
      <c r="AH187">
        <v>0</v>
      </c>
      <c r="AI187">
        <v>-44073599</v>
      </c>
      <c r="AK187" t="s">
        <v>28</v>
      </c>
      <c r="AL187">
        <v>0</v>
      </c>
      <c r="AM187">
        <v>-17699700</v>
      </c>
      <c r="AN187">
        <v>0</v>
      </c>
      <c r="AO187">
        <v>0</v>
      </c>
      <c r="AP187">
        <v>-17699700</v>
      </c>
    </row>
    <row r="188" spans="2:42" x14ac:dyDescent="0.35">
      <c r="B188" t="s">
        <v>29</v>
      </c>
      <c r="C188">
        <v>0</v>
      </c>
      <c r="D188">
        <v>4617952</v>
      </c>
      <c r="E188">
        <v>0</v>
      </c>
      <c r="F188">
        <v>0</v>
      </c>
      <c r="G188">
        <v>4617952</v>
      </c>
      <c r="AD188" t="s">
        <v>29</v>
      </c>
      <c r="AE188">
        <v>0</v>
      </c>
      <c r="AF188">
        <v>3191380</v>
      </c>
      <c r="AG188">
        <v>0</v>
      </c>
      <c r="AH188">
        <v>0</v>
      </c>
      <c r="AI188">
        <v>3191380</v>
      </c>
      <c r="AK188" t="s">
        <v>29</v>
      </c>
      <c r="AL188">
        <v>0</v>
      </c>
      <c r="AM188">
        <v>1426572</v>
      </c>
      <c r="AN188">
        <v>0</v>
      </c>
      <c r="AO188">
        <v>0</v>
      </c>
      <c r="AP188">
        <v>1426572</v>
      </c>
    </row>
    <row r="189" spans="2:42" x14ac:dyDescent="0.35">
      <c r="B189" t="s">
        <v>30</v>
      </c>
      <c r="C189">
        <v>0</v>
      </c>
      <c r="D189">
        <v>-1639695</v>
      </c>
      <c r="E189">
        <v>0</v>
      </c>
      <c r="F189">
        <v>0</v>
      </c>
      <c r="G189">
        <v>-1639695</v>
      </c>
      <c r="AD189" t="s">
        <v>30</v>
      </c>
      <c r="AE189">
        <v>0</v>
      </c>
      <c r="AF189">
        <v>-1201335</v>
      </c>
      <c r="AG189">
        <v>0</v>
      </c>
      <c r="AH189">
        <v>0</v>
      </c>
      <c r="AI189">
        <v>-1201335</v>
      </c>
      <c r="AK189" t="s">
        <v>30</v>
      </c>
      <c r="AL189">
        <v>0</v>
      </c>
      <c r="AM189">
        <v>-438360</v>
      </c>
      <c r="AN189">
        <v>0</v>
      </c>
      <c r="AO189">
        <v>0</v>
      </c>
      <c r="AP189">
        <v>-438360</v>
      </c>
    </row>
    <row r="190" spans="2:42" x14ac:dyDescent="0.35">
      <c r="B190" t="s">
        <v>90</v>
      </c>
      <c r="C190">
        <v>0</v>
      </c>
      <c r="D190">
        <v>-149314485</v>
      </c>
      <c r="E190">
        <v>0</v>
      </c>
      <c r="F190">
        <v>0</v>
      </c>
      <c r="G190">
        <v>-149314485</v>
      </c>
      <c r="AD190" t="s">
        <v>90</v>
      </c>
      <c r="AE190">
        <v>0</v>
      </c>
      <c r="AF190">
        <v>-97439337</v>
      </c>
      <c r="AG190">
        <v>0</v>
      </c>
      <c r="AH190">
        <v>0</v>
      </c>
      <c r="AI190">
        <v>-97439337</v>
      </c>
      <c r="AK190" t="s">
        <v>90</v>
      </c>
      <c r="AL190">
        <v>0</v>
      </c>
      <c r="AM190">
        <v>-51875148</v>
      </c>
      <c r="AN190">
        <v>0</v>
      </c>
      <c r="AO190">
        <v>0</v>
      </c>
      <c r="AP190">
        <v>-51875148</v>
      </c>
    </row>
    <row r="193" spans="2:42" x14ac:dyDescent="0.35">
      <c r="B193" t="s">
        <v>89</v>
      </c>
      <c r="C193">
        <v>0</v>
      </c>
      <c r="D193">
        <v>34172341</v>
      </c>
      <c r="E193">
        <v>2094778</v>
      </c>
      <c r="F193">
        <v>0</v>
      </c>
      <c r="G193">
        <v>36267119</v>
      </c>
      <c r="AD193" t="s">
        <v>89</v>
      </c>
      <c r="AE193">
        <v>0</v>
      </c>
      <c r="AF193">
        <v>24230861</v>
      </c>
      <c r="AG193">
        <v>1553680</v>
      </c>
      <c r="AH193">
        <v>0</v>
      </c>
      <c r="AI193">
        <v>25784541</v>
      </c>
      <c r="AK193" t="s">
        <v>89</v>
      </c>
      <c r="AL193">
        <v>0</v>
      </c>
      <c r="AM193">
        <v>9941480</v>
      </c>
      <c r="AN193">
        <v>541098</v>
      </c>
      <c r="AO193">
        <v>0</v>
      </c>
      <c r="AP193">
        <v>10482578</v>
      </c>
    </row>
    <row r="197" spans="2:42" x14ac:dyDescent="0.35">
      <c r="B197" t="s">
        <v>31</v>
      </c>
      <c r="C197">
        <v>0</v>
      </c>
      <c r="D197">
        <v>486739</v>
      </c>
      <c r="E197">
        <v>29406806</v>
      </c>
      <c r="F197">
        <v>0</v>
      </c>
      <c r="G197">
        <v>29893545</v>
      </c>
      <c r="AD197" t="s">
        <v>31</v>
      </c>
      <c r="AE197">
        <v>0</v>
      </c>
      <c r="AF197">
        <v>-118565</v>
      </c>
      <c r="AG197">
        <v>22227966</v>
      </c>
      <c r="AH197">
        <v>0</v>
      </c>
      <c r="AI197">
        <v>22109401</v>
      </c>
      <c r="AK197" t="s">
        <v>31</v>
      </c>
      <c r="AL197">
        <v>0</v>
      </c>
      <c r="AM197">
        <v>605304</v>
      </c>
      <c r="AN197">
        <v>7178840</v>
      </c>
      <c r="AO197">
        <v>0</v>
      </c>
      <c r="AP197">
        <v>7784144</v>
      </c>
    </row>
    <row r="198" spans="2:42" x14ac:dyDescent="0.35">
      <c r="B198" t="s">
        <v>32</v>
      </c>
      <c r="C198">
        <v>0</v>
      </c>
      <c r="D198">
        <v>0</v>
      </c>
      <c r="E198">
        <v>-2792294</v>
      </c>
      <c r="F198">
        <v>0</v>
      </c>
      <c r="G198">
        <v>-2792294</v>
      </c>
      <c r="AD198" t="s">
        <v>32</v>
      </c>
      <c r="AE198">
        <v>0</v>
      </c>
      <c r="AF198">
        <v>0</v>
      </c>
      <c r="AG198">
        <v>-2301498</v>
      </c>
      <c r="AH198">
        <v>0</v>
      </c>
      <c r="AI198">
        <v>-2301498</v>
      </c>
      <c r="AK198" t="s">
        <v>32</v>
      </c>
      <c r="AL198">
        <v>0</v>
      </c>
      <c r="AM198">
        <v>0</v>
      </c>
      <c r="AN198">
        <v>-490796</v>
      </c>
      <c r="AO198">
        <v>0</v>
      </c>
      <c r="AP198">
        <v>-490796</v>
      </c>
    </row>
    <row r="199" spans="2:42" x14ac:dyDescent="0.35">
      <c r="B199" t="s">
        <v>33</v>
      </c>
      <c r="C199">
        <v>0</v>
      </c>
      <c r="D199">
        <v>486739</v>
      </c>
      <c r="E199">
        <v>26614512</v>
      </c>
      <c r="F199">
        <v>0</v>
      </c>
      <c r="G199">
        <v>27101251</v>
      </c>
      <c r="AD199" t="s">
        <v>33</v>
      </c>
      <c r="AE199">
        <v>0</v>
      </c>
      <c r="AF199">
        <v>-118565</v>
      </c>
      <c r="AG199">
        <v>19926468</v>
      </c>
      <c r="AH199">
        <v>0</v>
      </c>
      <c r="AI199">
        <v>19807903</v>
      </c>
      <c r="AK199" t="s">
        <v>33</v>
      </c>
      <c r="AL199">
        <v>0</v>
      </c>
      <c r="AM199">
        <v>605304</v>
      </c>
      <c r="AN199">
        <v>6688044</v>
      </c>
      <c r="AO199">
        <v>0</v>
      </c>
      <c r="AP199">
        <v>7293348</v>
      </c>
    </row>
    <row r="202" spans="2:42" x14ac:dyDescent="0.35">
      <c r="B202" t="s">
        <v>35</v>
      </c>
      <c r="C202">
        <v>1403574.76</v>
      </c>
      <c r="D202">
        <v>0</v>
      </c>
      <c r="E202">
        <v>0</v>
      </c>
      <c r="F202">
        <v>0</v>
      </c>
      <c r="G202">
        <v>1403574.76</v>
      </c>
      <c r="AD202" t="s">
        <v>35</v>
      </c>
      <c r="AE202">
        <v>1093614.6499999999</v>
      </c>
      <c r="AF202">
        <v>0</v>
      </c>
      <c r="AG202">
        <v>0</v>
      </c>
      <c r="AH202">
        <v>0</v>
      </c>
      <c r="AI202">
        <v>1093614.6499999999</v>
      </c>
      <c r="AK202" t="s">
        <v>35</v>
      </c>
      <c r="AL202">
        <v>309960.1100000001</v>
      </c>
      <c r="AM202">
        <v>0</v>
      </c>
      <c r="AN202">
        <v>0</v>
      </c>
      <c r="AO202">
        <v>0</v>
      </c>
      <c r="AP202">
        <v>309960.1100000001</v>
      </c>
    </row>
    <row r="203" spans="2:42" x14ac:dyDescent="0.35">
      <c r="B203" t="s">
        <v>36</v>
      </c>
      <c r="C203">
        <v>-8195480.4500000002</v>
      </c>
      <c r="D203">
        <v>0</v>
      </c>
      <c r="E203">
        <v>0</v>
      </c>
      <c r="F203">
        <v>0</v>
      </c>
      <c r="G203">
        <v>-8195480.4500000002</v>
      </c>
      <c r="AD203" t="s">
        <v>36</v>
      </c>
      <c r="AE203">
        <v>-6422689</v>
      </c>
      <c r="AF203">
        <v>0</v>
      </c>
      <c r="AG203">
        <v>0</v>
      </c>
      <c r="AH203">
        <v>0</v>
      </c>
      <c r="AI203">
        <v>-6422689</v>
      </c>
      <c r="AK203" t="s">
        <v>36</v>
      </c>
      <c r="AL203">
        <v>-1772791.4500000002</v>
      </c>
      <c r="AM203">
        <v>0</v>
      </c>
      <c r="AN203">
        <v>0</v>
      </c>
      <c r="AO203">
        <v>0</v>
      </c>
      <c r="AP203">
        <v>-1772791.4500000002</v>
      </c>
    </row>
    <row r="204" spans="2:42" x14ac:dyDescent="0.35">
      <c r="B204" t="s">
        <v>37</v>
      </c>
      <c r="C204">
        <v>-6791905.6900000004</v>
      </c>
      <c r="D204">
        <v>0</v>
      </c>
      <c r="E204">
        <v>0</v>
      </c>
      <c r="F204">
        <v>0</v>
      </c>
      <c r="G204">
        <v>-6791905.6900000004</v>
      </c>
      <c r="AD204" t="s">
        <v>37</v>
      </c>
      <c r="AE204">
        <v>-5329074.3499999996</v>
      </c>
      <c r="AF204">
        <v>0</v>
      </c>
      <c r="AG204">
        <v>0</v>
      </c>
      <c r="AH204">
        <v>0</v>
      </c>
      <c r="AI204">
        <v>-5329074.3499999996</v>
      </c>
      <c r="AK204" t="s">
        <v>37</v>
      </c>
      <c r="AL204">
        <v>-1462831.34</v>
      </c>
      <c r="AM204">
        <v>0</v>
      </c>
      <c r="AN204">
        <v>0</v>
      </c>
      <c r="AO204">
        <v>0</v>
      </c>
      <c r="AP204">
        <v>-1462831.34</v>
      </c>
    </row>
    <row r="207" spans="2:42" x14ac:dyDescent="0.35">
      <c r="B207" t="s">
        <v>47</v>
      </c>
      <c r="C207">
        <v>-20370246</v>
      </c>
      <c r="D207">
        <v>-1619967</v>
      </c>
      <c r="E207">
        <v>-534276</v>
      </c>
      <c r="F207">
        <v>0</v>
      </c>
      <c r="G207">
        <v>-22524489</v>
      </c>
      <c r="AD207" t="s">
        <v>38</v>
      </c>
      <c r="AE207">
        <v>-14925880</v>
      </c>
      <c r="AF207">
        <v>-967999</v>
      </c>
      <c r="AG207">
        <v>-396831</v>
      </c>
      <c r="AH207">
        <v>0</v>
      </c>
      <c r="AI207">
        <v>-16290710</v>
      </c>
      <c r="AK207" t="s">
        <v>38</v>
      </c>
      <c r="AL207">
        <v>-5444366</v>
      </c>
      <c r="AM207">
        <v>-651968</v>
      </c>
      <c r="AN207">
        <v>-137445</v>
      </c>
      <c r="AO207">
        <v>0</v>
      </c>
      <c r="AP207">
        <v>-6233779</v>
      </c>
    </row>
    <row r="208" spans="2:42" x14ac:dyDescent="0.35">
      <c r="B208" t="s">
        <v>78</v>
      </c>
      <c r="C208">
        <v>-220959186</v>
      </c>
      <c r="D208">
        <v>-32849290</v>
      </c>
      <c r="E208">
        <v>-6662850</v>
      </c>
      <c r="F208">
        <v>0</v>
      </c>
      <c r="G208">
        <v>-260471326</v>
      </c>
      <c r="AD208" t="s">
        <v>78</v>
      </c>
      <c r="AE208">
        <v>-157557121.56</v>
      </c>
      <c r="AF208">
        <v>-24102593</v>
      </c>
      <c r="AG208">
        <v>-4822202</v>
      </c>
      <c r="AH208">
        <v>0</v>
      </c>
      <c r="AI208">
        <v>-186481916.56</v>
      </c>
      <c r="AK208" t="s">
        <v>78</v>
      </c>
      <c r="AL208">
        <v>-63402064.439999998</v>
      </c>
      <c r="AM208">
        <v>-8746697</v>
      </c>
      <c r="AN208">
        <v>-1840648</v>
      </c>
      <c r="AO208">
        <v>0</v>
      </c>
      <c r="AP208">
        <v>-73989409.439999998</v>
      </c>
    </row>
    <row r="209" spans="2:42" x14ac:dyDescent="0.35">
      <c r="B209" t="s">
        <v>39</v>
      </c>
      <c r="C209">
        <v>-85663323.820000023</v>
      </c>
      <c r="D209">
        <v>-9645399</v>
      </c>
      <c r="E209">
        <v>-1492845</v>
      </c>
      <c r="F209">
        <v>0</v>
      </c>
      <c r="G209">
        <v>-96801567.820000023</v>
      </c>
      <c r="AD209" t="s">
        <v>39</v>
      </c>
      <c r="AE209">
        <v>-63076293.789920241</v>
      </c>
      <c r="AF209">
        <v>-6514374</v>
      </c>
      <c r="AG209">
        <v>-1113482</v>
      </c>
      <c r="AH209">
        <v>0</v>
      </c>
      <c r="AI209">
        <v>-70704149.789920241</v>
      </c>
      <c r="AK209" t="s">
        <v>39</v>
      </c>
      <c r="AL209">
        <v>-22587030.030079782</v>
      </c>
      <c r="AM209">
        <v>-3131025</v>
      </c>
      <c r="AN209">
        <v>-379363</v>
      </c>
      <c r="AO209">
        <v>0</v>
      </c>
      <c r="AP209">
        <v>-26097418.030079782</v>
      </c>
    </row>
    <row r="210" spans="2:42" x14ac:dyDescent="0.35">
      <c r="B210" t="s">
        <v>40</v>
      </c>
      <c r="C210">
        <v>-19915546</v>
      </c>
      <c r="D210">
        <v>-407745</v>
      </c>
      <c r="E210">
        <v>-327280</v>
      </c>
      <c r="F210">
        <v>0</v>
      </c>
      <c r="G210">
        <v>-20650571</v>
      </c>
      <c r="AD210" t="s">
        <v>40</v>
      </c>
      <c r="AE210">
        <v>-9132564</v>
      </c>
      <c r="AF210">
        <v>-128927</v>
      </c>
      <c r="AG210">
        <v>-5040</v>
      </c>
      <c r="AH210">
        <v>0</v>
      </c>
      <c r="AI210">
        <v>-9266531</v>
      </c>
      <c r="AK210" t="s">
        <v>40</v>
      </c>
      <c r="AL210">
        <v>-10782982</v>
      </c>
      <c r="AM210">
        <v>-278818</v>
      </c>
      <c r="AN210">
        <v>-322240</v>
      </c>
      <c r="AO210">
        <v>0</v>
      </c>
      <c r="AP210">
        <v>-11384040</v>
      </c>
    </row>
    <row r="211" spans="2:42" x14ac:dyDescent="0.35">
      <c r="B211" t="s">
        <v>41</v>
      </c>
      <c r="C211">
        <v>-1315602</v>
      </c>
      <c r="D211">
        <v>0</v>
      </c>
      <c r="E211">
        <v>0</v>
      </c>
      <c r="F211">
        <v>0</v>
      </c>
      <c r="G211">
        <v>-1315602</v>
      </c>
      <c r="AD211" t="s">
        <v>41</v>
      </c>
      <c r="AE211">
        <v>-1415126</v>
      </c>
      <c r="AF211">
        <v>0</v>
      </c>
      <c r="AG211">
        <v>0</v>
      </c>
      <c r="AH211">
        <v>0</v>
      </c>
      <c r="AI211">
        <v>-1415126</v>
      </c>
      <c r="AK211" t="s">
        <v>41</v>
      </c>
      <c r="AL211">
        <v>99524</v>
      </c>
      <c r="AM211">
        <v>0</v>
      </c>
      <c r="AN211">
        <v>0</v>
      </c>
      <c r="AO211">
        <v>0</v>
      </c>
      <c r="AP211">
        <v>99524</v>
      </c>
    </row>
    <row r="212" spans="2:42" x14ac:dyDescent="0.35">
      <c r="B212" t="s">
        <v>42</v>
      </c>
      <c r="C212">
        <v>-40047</v>
      </c>
      <c r="D212">
        <v>0</v>
      </c>
      <c r="E212">
        <v>0</v>
      </c>
      <c r="F212">
        <v>0</v>
      </c>
      <c r="G212">
        <v>-40047</v>
      </c>
      <c r="AD212" t="s">
        <v>42</v>
      </c>
      <c r="AE212">
        <v>-40047</v>
      </c>
      <c r="AF212">
        <v>0</v>
      </c>
      <c r="AG212">
        <v>0</v>
      </c>
      <c r="AH212">
        <v>0</v>
      </c>
      <c r="AI212">
        <v>-40047</v>
      </c>
      <c r="AK212" t="s">
        <v>42</v>
      </c>
      <c r="AL212">
        <v>0</v>
      </c>
      <c r="AM212">
        <v>0</v>
      </c>
      <c r="AN212">
        <v>0</v>
      </c>
      <c r="AO212">
        <v>0</v>
      </c>
      <c r="AP212">
        <v>0</v>
      </c>
    </row>
    <row r="213" spans="2:42" x14ac:dyDescent="0.35">
      <c r="B213" t="s">
        <v>4</v>
      </c>
      <c r="C213">
        <v>-28771</v>
      </c>
      <c r="D213">
        <v>-53561</v>
      </c>
      <c r="E213">
        <v>0</v>
      </c>
      <c r="F213">
        <v>0</v>
      </c>
      <c r="G213">
        <v>-82332</v>
      </c>
      <c r="AD213" t="s">
        <v>4</v>
      </c>
      <c r="AE213">
        <v>-29298</v>
      </c>
      <c r="AF213">
        <v>-120076</v>
      </c>
      <c r="AG213">
        <v>0</v>
      </c>
      <c r="AH213">
        <v>0</v>
      </c>
      <c r="AI213">
        <v>-149374</v>
      </c>
      <c r="AK213" t="s">
        <v>4</v>
      </c>
      <c r="AL213">
        <v>527</v>
      </c>
      <c r="AM213">
        <v>66515</v>
      </c>
      <c r="AN213">
        <v>0</v>
      </c>
      <c r="AO213">
        <v>0</v>
      </c>
      <c r="AP213">
        <v>67042</v>
      </c>
    </row>
    <row r="214" spans="2:42" x14ac:dyDescent="0.35">
      <c r="B214" t="s">
        <v>5</v>
      </c>
      <c r="C214">
        <v>-578000</v>
      </c>
      <c r="D214">
        <v>0</v>
      </c>
      <c r="E214">
        <v>0</v>
      </c>
      <c r="F214">
        <v>0</v>
      </c>
      <c r="G214">
        <v>-578000</v>
      </c>
      <c r="AD214" t="s">
        <v>5</v>
      </c>
      <c r="AE214">
        <v>-403000</v>
      </c>
      <c r="AF214">
        <v>0</v>
      </c>
      <c r="AG214">
        <v>0</v>
      </c>
      <c r="AH214">
        <v>0</v>
      </c>
      <c r="AI214">
        <v>-403000</v>
      </c>
      <c r="AK214" t="s">
        <v>5</v>
      </c>
      <c r="AL214">
        <v>-175000</v>
      </c>
      <c r="AM214">
        <v>0</v>
      </c>
      <c r="AN214">
        <v>0</v>
      </c>
      <c r="AO214">
        <v>0</v>
      </c>
      <c r="AP214">
        <v>-175000</v>
      </c>
    </row>
    <row r="215" spans="2:42" x14ac:dyDescent="0.35">
      <c r="B215" t="s">
        <v>182</v>
      </c>
      <c r="C215">
        <v>-12534517.439999999</v>
      </c>
      <c r="D215">
        <v>-258104.1503327</v>
      </c>
      <c r="E215">
        <v>2554400</v>
      </c>
      <c r="F215">
        <v>0</v>
      </c>
      <c r="G215">
        <v>-10238221.5903327</v>
      </c>
      <c r="AD215" t="s">
        <v>182</v>
      </c>
      <c r="AE215">
        <v>-30413564.949999999</v>
      </c>
      <c r="AF215">
        <v>-787914.05064699997</v>
      </c>
      <c r="AG215">
        <v>0</v>
      </c>
      <c r="AH215">
        <v>0</v>
      </c>
      <c r="AI215">
        <v>-31201479.000647001</v>
      </c>
      <c r="AK215" t="s">
        <v>182</v>
      </c>
      <c r="AL215">
        <v>17879047.509999998</v>
      </c>
      <c r="AM215">
        <v>529809.90031429997</v>
      </c>
      <c r="AN215">
        <v>2554400</v>
      </c>
      <c r="AO215">
        <v>0</v>
      </c>
      <c r="AP215">
        <v>20963257.410314299</v>
      </c>
    </row>
    <row r="216" spans="2:42" x14ac:dyDescent="0.35">
      <c r="B216" t="s">
        <v>11</v>
      </c>
      <c r="C216">
        <v>-361405239.26000005</v>
      </c>
      <c r="D216">
        <v>-44834066.150332697</v>
      </c>
      <c r="E216">
        <v>-6462851</v>
      </c>
      <c r="F216">
        <v>0</v>
      </c>
      <c r="G216">
        <v>-412702156.41033274</v>
      </c>
      <c r="AD216" t="s">
        <v>11</v>
      </c>
      <c r="AE216">
        <v>-276992895.29992026</v>
      </c>
      <c r="AF216">
        <v>-32621883.050647002</v>
      </c>
      <c r="AG216">
        <v>-6337555</v>
      </c>
      <c r="AH216">
        <v>0</v>
      </c>
      <c r="AI216">
        <v>-315952333.35056728</v>
      </c>
      <c r="AK216" t="s">
        <v>11</v>
      </c>
      <c r="AL216">
        <v>-84412343.960079789</v>
      </c>
      <c r="AM216">
        <v>-12212183.099685701</v>
      </c>
      <c r="AN216">
        <v>-125296</v>
      </c>
      <c r="AO216">
        <v>0</v>
      </c>
      <c r="AP216">
        <v>-96749823.059765488</v>
      </c>
    </row>
    <row r="219" spans="2:42" x14ac:dyDescent="0.35">
      <c r="B219" t="s">
        <v>43</v>
      </c>
      <c r="C219">
        <v>503352606.24669999</v>
      </c>
      <c r="D219">
        <v>1438954.8496673033</v>
      </c>
      <c r="E219">
        <v>22246439</v>
      </c>
      <c r="F219">
        <v>0</v>
      </c>
      <c r="G219">
        <v>527038000.0963673</v>
      </c>
      <c r="AD219" t="s">
        <v>43</v>
      </c>
      <c r="AE219">
        <v>277278780.53040832</v>
      </c>
      <c r="AF219">
        <v>7887588.9493529983</v>
      </c>
      <c r="AG219">
        <v>15142593</v>
      </c>
      <c r="AH219">
        <v>0</v>
      </c>
      <c r="AI219">
        <v>300308962.4797613</v>
      </c>
      <c r="AK219" t="s">
        <v>43</v>
      </c>
      <c r="AL219">
        <v>226073825.71629184</v>
      </c>
      <c r="AM219">
        <v>-6448634.0996857006</v>
      </c>
      <c r="AN219">
        <v>7103846</v>
      </c>
      <c r="AO219">
        <v>0</v>
      </c>
      <c r="AP219">
        <v>226729037.61660615</v>
      </c>
    </row>
    <row r="220" spans="2:42" x14ac:dyDescent="0.35">
      <c r="B220" t="s">
        <v>6</v>
      </c>
      <c r="C220">
        <v>-151055084.19</v>
      </c>
      <c r="D220">
        <v>-4048159</v>
      </c>
      <c r="E220">
        <v>-4523060</v>
      </c>
      <c r="F220">
        <v>0</v>
      </c>
      <c r="G220">
        <v>-159626303.19</v>
      </c>
      <c r="AD220" t="s">
        <v>6</v>
      </c>
      <c r="AE220">
        <v>-92259275.414285704</v>
      </c>
      <c r="AF220">
        <v>-2334250</v>
      </c>
      <c r="AG220">
        <v>-3472691</v>
      </c>
      <c r="AH220">
        <v>0</v>
      </c>
      <c r="AI220">
        <v>-98066216.414285704</v>
      </c>
      <c r="AK220" t="s">
        <v>6</v>
      </c>
      <c r="AL220">
        <v>-58795808.775714293</v>
      </c>
      <c r="AM220">
        <v>-1713909</v>
      </c>
      <c r="AN220">
        <v>-1050369</v>
      </c>
      <c r="AO220">
        <v>0</v>
      </c>
      <c r="AP220">
        <v>-61560086.775714293</v>
      </c>
    </row>
    <row r="221" spans="2:42" x14ac:dyDescent="0.35">
      <c r="B221" t="s">
        <v>7</v>
      </c>
      <c r="C221">
        <v>352297522.05669999</v>
      </c>
      <c r="D221">
        <v>-2609204.1503326967</v>
      </c>
      <c r="E221">
        <v>17723379</v>
      </c>
      <c r="F221">
        <v>0</v>
      </c>
      <c r="G221">
        <v>367411696.9063673</v>
      </c>
      <c r="AD221" t="s">
        <v>7</v>
      </c>
      <c r="AE221">
        <v>185019505.1161226</v>
      </c>
      <c r="AF221">
        <v>5553338.9493529983</v>
      </c>
      <c r="AG221">
        <v>11669902</v>
      </c>
      <c r="AH221">
        <v>0</v>
      </c>
      <c r="AI221">
        <v>202242746.06547561</v>
      </c>
      <c r="AK221" t="s">
        <v>7</v>
      </c>
      <c r="AL221">
        <v>167278016.94057757</v>
      </c>
      <c r="AM221">
        <v>-8162543.0996857006</v>
      </c>
      <c r="AN221">
        <v>6053477</v>
      </c>
      <c r="AO221">
        <v>0</v>
      </c>
      <c r="AP221">
        <v>165168950.84089187</v>
      </c>
    </row>
    <row r="222" spans="2:42" x14ac:dyDescent="0.35">
      <c r="B222" t="s">
        <v>8</v>
      </c>
      <c r="C222">
        <v>-12100292.49604927</v>
      </c>
      <c r="D222">
        <v>906176.72119999956</v>
      </c>
      <c r="E222">
        <v>-3542275.7999999993</v>
      </c>
      <c r="F222">
        <v>0</v>
      </c>
      <c r="G222">
        <v>-14736391.574849268</v>
      </c>
      <c r="AD222" t="s">
        <v>8</v>
      </c>
      <c r="AE222">
        <v>-5280485.1686607571</v>
      </c>
      <c r="AF222">
        <v>-765386.13269999996</v>
      </c>
      <c r="AG222">
        <v>-2332180.3999999994</v>
      </c>
      <c r="AH222">
        <v>0</v>
      </c>
      <c r="AI222">
        <v>-8378051.7013607565</v>
      </c>
      <c r="AK222" t="s">
        <v>8</v>
      </c>
      <c r="AL222">
        <v>-6819807.3273885129</v>
      </c>
      <c r="AM222">
        <v>1671562.8538999995</v>
      </c>
      <c r="AN222">
        <v>-1210095.3999999999</v>
      </c>
      <c r="AO222">
        <v>0</v>
      </c>
      <c r="AP222">
        <v>-6358339.8734885138</v>
      </c>
    </row>
    <row r="223" spans="2:42" x14ac:dyDescent="0.35">
      <c r="B223" t="s">
        <v>143</v>
      </c>
      <c r="C223">
        <v>340197229.56065071</v>
      </c>
      <c r="D223">
        <v>-1703027.4291326972</v>
      </c>
      <c r="E223">
        <v>14181103.200000001</v>
      </c>
      <c r="F223">
        <v>0</v>
      </c>
      <c r="G223">
        <v>352675305.33151805</v>
      </c>
      <c r="AD223" t="s">
        <v>9</v>
      </c>
      <c r="AE223">
        <v>179739019.94746184</v>
      </c>
      <c r="AF223">
        <v>4787952.8166529983</v>
      </c>
      <c r="AG223">
        <v>9337721.6000000015</v>
      </c>
      <c r="AH223">
        <v>0</v>
      </c>
      <c r="AI223">
        <v>193864694.36411485</v>
      </c>
      <c r="AK223" t="s">
        <v>9</v>
      </c>
      <c r="AL223">
        <v>160458209.61318904</v>
      </c>
      <c r="AM223">
        <v>-6490980.2457857011</v>
      </c>
      <c r="AN223">
        <v>4843381.5999999996</v>
      </c>
      <c r="AO223">
        <v>0</v>
      </c>
      <c r="AP223">
        <v>158810610.96740332</v>
      </c>
    </row>
    <row r="224" spans="2:42" x14ac:dyDescent="0.35">
      <c r="C224">
        <v>0</v>
      </c>
      <c r="D224">
        <v>0</v>
      </c>
      <c r="E224">
        <v>0</v>
      </c>
      <c r="F224">
        <v>0</v>
      </c>
      <c r="G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L224">
        <v>0</v>
      </c>
      <c r="AM224">
        <v>0</v>
      </c>
      <c r="AN224">
        <v>0</v>
      </c>
      <c r="AO224">
        <v>0</v>
      </c>
      <c r="AP224">
        <v>0</v>
      </c>
    </row>
    <row r="227" spans="2:42" ht="18.5" x14ac:dyDescent="0.35">
      <c r="B227" s="303" t="s">
        <v>146</v>
      </c>
      <c r="C227" s="303"/>
      <c r="D227" s="303"/>
      <c r="E227" s="303"/>
      <c r="F227" s="303"/>
      <c r="G227" s="303"/>
      <c r="I227" s="303" t="s">
        <v>162</v>
      </c>
      <c r="J227" s="303"/>
      <c r="K227" s="303"/>
      <c r="L227" s="303"/>
      <c r="M227" s="303"/>
      <c r="N227" s="303"/>
      <c r="P227" s="303" t="s">
        <v>174</v>
      </c>
      <c r="Q227" s="303"/>
      <c r="R227" s="303"/>
      <c r="S227" s="303"/>
      <c r="T227" s="303"/>
      <c r="U227" s="303"/>
      <c r="W227" s="303" t="s">
        <v>177</v>
      </c>
      <c r="X227" s="303"/>
      <c r="Y227" s="303"/>
      <c r="Z227" s="303"/>
      <c r="AA227" s="303"/>
      <c r="AB227" s="303"/>
      <c r="AD227" s="303" t="s">
        <v>154</v>
      </c>
      <c r="AE227" s="303"/>
      <c r="AF227" s="303"/>
      <c r="AG227" s="303"/>
      <c r="AH227" s="303"/>
      <c r="AI227" s="303"/>
      <c r="AK227" s="303" t="s">
        <v>156</v>
      </c>
      <c r="AL227" s="303"/>
      <c r="AM227" s="303"/>
      <c r="AN227" s="303"/>
      <c r="AO227" s="303"/>
      <c r="AP227" s="303"/>
    </row>
    <row r="228" spans="2:42" ht="15.5" x14ac:dyDescent="0.35">
      <c r="B228" s="24"/>
      <c r="C228" s="24" t="s">
        <v>10</v>
      </c>
      <c r="D228" s="24" t="s">
        <v>69</v>
      </c>
      <c r="E228" s="24" t="s">
        <v>70</v>
      </c>
      <c r="F228" s="24" t="s">
        <v>44</v>
      </c>
      <c r="G228" s="9" t="s">
        <v>45</v>
      </c>
      <c r="I228" s="24"/>
      <c r="J228" s="24" t="s">
        <v>10</v>
      </c>
      <c r="K228" s="24" t="s">
        <v>69</v>
      </c>
      <c r="L228" s="24" t="s">
        <v>70</v>
      </c>
      <c r="M228" s="24" t="s">
        <v>44</v>
      </c>
      <c r="N228" s="9" t="s">
        <v>45</v>
      </c>
      <c r="P228" s="24"/>
      <c r="Q228" s="24" t="s">
        <v>10</v>
      </c>
      <c r="R228" s="24" t="s">
        <v>69</v>
      </c>
      <c r="S228" s="24" t="s">
        <v>70</v>
      </c>
      <c r="T228" s="24" t="s">
        <v>44</v>
      </c>
      <c r="U228" s="9" t="s">
        <v>45</v>
      </c>
      <c r="W228" s="24"/>
      <c r="X228" s="24" t="s">
        <v>10</v>
      </c>
      <c r="Y228" s="24" t="s">
        <v>69</v>
      </c>
      <c r="Z228" s="24" t="s">
        <v>70</v>
      </c>
      <c r="AA228" s="24" t="s">
        <v>44</v>
      </c>
      <c r="AB228" s="9" t="s">
        <v>45</v>
      </c>
      <c r="AD228" s="24"/>
      <c r="AE228" s="24" t="s">
        <v>10</v>
      </c>
      <c r="AF228" s="24" t="s">
        <v>69</v>
      </c>
      <c r="AG228" s="24" t="s">
        <v>70</v>
      </c>
      <c r="AH228" s="24" t="s">
        <v>44</v>
      </c>
      <c r="AI228" s="9" t="s">
        <v>45</v>
      </c>
      <c r="AK228" s="24"/>
      <c r="AL228" s="24" t="s">
        <v>10</v>
      </c>
      <c r="AM228" s="24" t="s">
        <v>69</v>
      </c>
      <c r="AN228" s="24" t="s">
        <v>70</v>
      </c>
      <c r="AO228" s="24" t="s">
        <v>44</v>
      </c>
      <c r="AP228" s="9" t="s">
        <v>45</v>
      </c>
    </row>
    <row r="229" spans="2:42" x14ac:dyDescent="0.35">
      <c r="B229" t="s">
        <v>85</v>
      </c>
      <c r="C229" s="2">
        <v>486812534.49000001</v>
      </c>
      <c r="D229" s="2">
        <v>0</v>
      </c>
      <c r="E229" s="2">
        <v>0</v>
      </c>
      <c r="F229" s="2">
        <v>0</v>
      </c>
      <c r="G229" s="2">
        <v>486812534.49000001</v>
      </c>
      <c r="I229" t="s">
        <v>85</v>
      </c>
      <c r="J229" s="2">
        <v>76147898</v>
      </c>
      <c r="K229" s="2">
        <v>0</v>
      </c>
      <c r="L229" s="2">
        <v>0</v>
      </c>
      <c r="M229" s="2">
        <v>0</v>
      </c>
      <c r="N229" s="2">
        <v>76147898</v>
      </c>
      <c r="P229" t="s">
        <v>85</v>
      </c>
      <c r="Q229" s="2">
        <v>108019709.90000001</v>
      </c>
      <c r="R229" s="2">
        <v>0</v>
      </c>
      <c r="S229" s="2">
        <v>0</v>
      </c>
      <c r="T229" s="2">
        <v>0</v>
      </c>
      <c r="U229" s="2">
        <v>108019709.90000001</v>
      </c>
      <c r="W229" t="s">
        <v>85</v>
      </c>
      <c r="X229" s="2">
        <v>184167607.90000001</v>
      </c>
      <c r="Y229" s="2">
        <v>0</v>
      </c>
      <c r="Z229" s="2">
        <v>0</v>
      </c>
      <c r="AA229" s="2">
        <v>0</v>
      </c>
      <c r="AB229" s="2">
        <v>184167607.90000001</v>
      </c>
      <c r="AD229" t="s">
        <v>85</v>
      </c>
      <c r="AE229" s="2">
        <v>138481450.83000001</v>
      </c>
      <c r="AF229" s="2">
        <v>0</v>
      </c>
      <c r="AG229" s="2">
        <v>0</v>
      </c>
      <c r="AH229" s="2">
        <v>0</v>
      </c>
      <c r="AI229" s="2">
        <v>138481450.83000001</v>
      </c>
      <c r="AJ229" s="3">
        <v>322649058.73000002</v>
      </c>
      <c r="AK229" t="s">
        <v>85</v>
      </c>
      <c r="AL229" s="2">
        <v>164163475.75999996</v>
      </c>
      <c r="AM229" s="2">
        <v>0</v>
      </c>
      <c r="AN229" s="2">
        <v>0</v>
      </c>
      <c r="AO229" s="2">
        <v>0</v>
      </c>
      <c r="AP229" s="2">
        <v>164163475.75999996</v>
      </c>
    </row>
    <row r="230" spans="2:42" x14ac:dyDescent="0.35">
      <c r="B230" t="s">
        <v>19</v>
      </c>
      <c r="C230" s="2">
        <v>156799431.12996</v>
      </c>
      <c r="D230" s="2">
        <v>0</v>
      </c>
      <c r="E230" s="2">
        <v>0</v>
      </c>
      <c r="F230" s="2">
        <v>0</v>
      </c>
      <c r="G230" s="2">
        <v>156799431.12996</v>
      </c>
      <c r="I230" t="s">
        <v>19</v>
      </c>
      <c r="J230" s="2">
        <v>35028403.335999995</v>
      </c>
      <c r="K230" s="2">
        <v>0</v>
      </c>
      <c r="L230" s="2">
        <v>0</v>
      </c>
      <c r="M230" s="2">
        <v>0</v>
      </c>
      <c r="N230" s="2">
        <v>35028403.335999995</v>
      </c>
      <c r="P230" t="s">
        <v>19</v>
      </c>
      <c r="Q230" s="2">
        <v>36999143.209720016</v>
      </c>
      <c r="R230" s="2">
        <v>0</v>
      </c>
      <c r="S230" s="2">
        <v>0</v>
      </c>
      <c r="T230" s="2">
        <v>0</v>
      </c>
      <c r="U230" s="2">
        <v>36999143.209720016</v>
      </c>
      <c r="W230" t="s">
        <v>19</v>
      </c>
      <c r="X230" s="2">
        <v>72027546.545720011</v>
      </c>
      <c r="Y230" s="2">
        <v>0</v>
      </c>
      <c r="Z230" s="2">
        <v>0</v>
      </c>
      <c r="AA230" s="2">
        <v>0</v>
      </c>
      <c r="AB230" s="2">
        <v>72027546.545720011</v>
      </c>
      <c r="AD230" t="s">
        <v>19</v>
      </c>
      <c r="AE230" s="2">
        <v>37424504.449799985</v>
      </c>
      <c r="AF230" s="2">
        <v>0</v>
      </c>
      <c r="AG230" s="2">
        <v>0</v>
      </c>
      <c r="AH230" s="2">
        <v>0</v>
      </c>
      <c r="AI230" s="2">
        <v>37424504.449799985</v>
      </c>
      <c r="AJ230" s="3">
        <v>109452050.99552</v>
      </c>
      <c r="AK230" t="s">
        <v>19</v>
      </c>
      <c r="AL230" s="2">
        <v>47347380.134440005</v>
      </c>
      <c r="AM230" s="2">
        <v>0</v>
      </c>
      <c r="AN230" s="2">
        <v>0</v>
      </c>
      <c r="AO230" s="2">
        <v>0</v>
      </c>
      <c r="AP230" s="2">
        <v>47347380.134440005</v>
      </c>
    </row>
    <row r="231" spans="2:42" x14ac:dyDescent="0.35">
      <c r="B231" t="s">
        <v>86</v>
      </c>
      <c r="C231" s="2">
        <v>-12369870.460000016</v>
      </c>
      <c r="D231" s="2">
        <v>0</v>
      </c>
      <c r="E231" s="2">
        <v>0</v>
      </c>
      <c r="F231" s="2">
        <v>0</v>
      </c>
      <c r="G231" s="2">
        <v>-12369870.460000016</v>
      </c>
      <c r="I231" t="s">
        <v>86</v>
      </c>
      <c r="J231" s="2">
        <v>760615</v>
      </c>
      <c r="K231" s="2">
        <v>0</v>
      </c>
      <c r="L231" s="2">
        <v>0</v>
      </c>
      <c r="M231" s="2">
        <v>0</v>
      </c>
      <c r="N231" s="2">
        <v>760615</v>
      </c>
      <c r="P231" t="s">
        <v>86</v>
      </c>
      <c r="Q231" s="2">
        <v>-467142.07000015676</v>
      </c>
      <c r="R231" s="2">
        <v>0</v>
      </c>
      <c r="S231" s="2">
        <v>0</v>
      </c>
      <c r="T231" s="2">
        <v>0</v>
      </c>
      <c r="U231" s="2">
        <v>-467142.07000015676</v>
      </c>
      <c r="W231" t="s">
        <v>86</v>
      </c>
      <c r="X231" s="2">
        <v>293472.92999984324</v>
      </c>
      <c r="Y231" s="2">
        <v>0</v>
      </c>
      <c r="Z231" s="2">
        <v>0</v>
      </c>
      <c r="AA231" s="2">
        <v>0</v>
      </c>
      <c r="AB231" s="2">
        <v>293472.92999984324</v>
      </c>
      <c r="AD231" t="s">
        <v>86</v>
      </c>
      <c r="AE231" s="2">
        <v>-5550845.6699998006</v>
      </c>
      <c r="AF231" s="2">
        <v>0</v>
      </c>
      <c r="AG231" s="2">
        <v>0</v>
      </c>
      <c r="AH231" s="2">
        <v>0</v>
      </c>
      <c r="AI231" s="2">
        <v>-5550845.6699998006</v>
      </c>
      <c r="AJ231" s="3">
        <v>-5257372.7399999574</v>
      </c>
      <c r="AK231" t="s">
        <v>86</v>
      </c>
      <c r="AL231" s="2">
        <v>-7112497.7200000584</v>
      </c>
      <c r="AM231" s="2">
        <v>0</v>
      </c>
      <c r="AN231" s="2">
        <v>0</v>
      </c>
      <c r="AO231" s="2">
        <v>0</v>
      </c>
      <c r="AP231" s="2">
        <v>-7112497.7200000584</v>
      </c>
    </row>
    <row r="232" spans="2:42" x14ac:dyDescent="0.35">
      <c r="B232" t="s">
        <v>87</v>
      </c>
      <c r="C232" s="2">
        <v>-32621420.729999997</v>
      </c>
      <c r="D232" s="2">
        <v>0</v>
      </c>
      <c r="E232" s="2">
        <v>0</v>
      </c>
      <c r="F232" s="2">
        <v>0</v>
      </c>
      <c r="G232" s="2">
        <v>-32621420.729999997</v>
      </c>
      <c r="I232" t="s">
        <v>87</v>
      </c>
      <c r="J232" s="2">
        <v>-530845</v>
      </c>
      <c r="K232" s="2">
        <v>0</v>
      </c>
      <c r="L232" s="2">
        <v>0</v>
      </c>
      <c r="M232" s="2">
        <v>0</v>
      </c>
      <c r="N232" s="2">
        <v>-530845</v>
      </c>
      <c r="P232" t="s">
        <v>87</v>
      </c>
      <c r="Q232" s="2">
        <v>-4339351.8600000003</v>
      </c>
      <c r="R232" s="2">
        <v>0</v>
      </c>
      <c r="S232" s="2">
        <v>0</v>
      </c>
      <c r="T232" s="2">
        <v>0</v>
      </c>
      <c r="U232" s="2">
        <v>-4339351.8600000003</v>
      </c>
      <c r="W232" t="s">
        <v>87</v>
      </c>
      <c r="X232" s="2">
        <v>-4870196.8600000003</v>
      </c>
      <c r="Y232" s="2">
        <v>0</v>
      </c>
      <c r="Z232" s="2">
        <v>0</v>
      </c>
      <c r="AA232" s="2">
        <v>0</v>
      </c>
      <c r="AB232" s="2">
        <v>-4870196.8600000003</v>
      </c>
      <c r="AD232" t="s">
        <v>87</v>
      </c>
      <c r="AE232" s="2">
        <v>-6556626.8399999989</v>
      </c>
      <c r="AF232" s="2">
        <v>0</v>
      </c>
      <c r="AG232" s="2">
        <v>0</v>
      </c>
      <c r="AH232" s="2">
        <v>0</v>
      </c>
      <c r="AI232" s="2">
        <v>-6556626.8399999989</v>
      </c>
      <c r="AJ232" s="3">
        <v>-11426823.699999999</v>
      </c>
      <c r="AK232" t="s">
        <v>87</v>
      </c>
      <c r="AL232" s="2">
        <v>-21194597.029999997</v>
      </c>
      <c r="AM232" s="2">
        <v>0</v>
      </c>
      <c r="AN232" s="2">
        <v>0</v>
      </c>
      <c r="AO232" s="2">
        <v>0</v>
      </c>
      <c r="AP232" s="2">
        <v>-21194597.029999997</v>
      </c>
    </row>
    <row r="233" spans="2:42" x14ac:dyDescent="0.35">
      <c r="B233" s="19" t="s">
        <v>18</v>
      </c>
      <c r="C233" s="20">
        <v>598620674.42996001</v>
      </c>
      <c r="D233" s="20">
        <v>0</v>
      </c>
      <c r="E233" s="20">
        <v>0</v>
      </c>
      <c r="F233" s="20">
        <v>0</v>
      </c>
      <c r="G233" s="20">
        <v>598620674.42996001</v>
      </c>
      <c r="I233" s="19" t="s">
        <v>18</v>
      </c>
      <c r="J233" s="20">
        <v>111406071.336</v>
      </c>
      <c r="K233" s="20">
        <v>0</v>
      </c>
      <c r="L233" s="20">
        <v>0</v>
      </c>
      <c r="M233" s="20">
        <v>0</v>
      </c>
      <c r="N233" s="20">
        <v>111406071.336</v>
      </c>
      <c r="P233" s="19" t="s">
        <v>18</v>
      </c>
      <c r="Q233" s="20">
        <v>140212359.17971987</v>
      </c>
      <c r="R233" s="20">
        <v>0</v>
      </c>
      <c r="S233" s="20">
        <v>0</v>
      </c>
      <c r="T233" s="20">
        <v>0</v>
      </c>
      <c r="U233" s="20">
        <v>140212359.17971987</v>
      </c>
      <c r="W233" s="19" t="s">
        <v>18</v>
      </c>
      <c r="X233" s="20">
        <v>251618430.51571983</v>
      </c>
      <c r="Y233" s="20">
        <v>0</v>
      </c>
      <c r="Z233" s="20">
        <v>0</v>
      </c>
      <c r="AA233" s="20">
        <v>0</v>
      </c>
      <c r="AB233" s="20">
        <v>251618430.51571983</v>
      </c>
      <c r="AD233" s="19" t="s">
        <v>18</v>
      </c>
      <c r="AE233" s="20">
        <v>163798482.76980019</v>
      </c>
      <c r="AF233" s="20">
        <v>0</v>
      </c>
      <c r="AG233" s="20">
        <v>0</v>
      </c>
      <c r="AH233" s="20">
        <v>0</v>
      </c>
      <c r="AI233" s="20">
        <v>163798482.76980019</v>
      </c>
      <c r="AJ233" s="3">
        <v>415416913.28552002</v>
      </c>
      <c r="AK233" s="19" t="s">
        <v>18</v>
      </c>
      <c r="AL233" s="20">
        <v>183203761.14443991</v>
      </c>
      <c r="AM233" s="20">
        <v>0</v>
      </c>
      <c r="AN233" s="20">
        <v>0</v>
      </c>
      <c r="AO233" s="20">
        <v>0</v>
      </c>
      <c r="AP233" s="20">
        <v>183203761.14443991</v>
      </c>
    </row>
    <row r="234" spans="2:42" x14ac:dyDescent="0.35">
      <c r="AJ234" s="3">
        <v>0</v>
      </c>
    </row>
    <row r="235" spans="2:42" x14ac:dyDescent="0.35">
      <c r="AJ235" s="3">
        <v>0</v>
      </c>
    </row>
    <row r="236" spans="2:42" x14ac:dyDescent="0.35">
      <c r="B236" t="s">
        <v>12</v>
      </c>
      <c r="C236" s="2">
        <v>465594918.2100001</v>
      </c>
      <c r="D236" s="2">
        <v>0</v>
      </c>
      <c r="E236" s="2">
        <v>0</v>
      </c>
      <c r="F236" s="2">
        <v>0</v>
      </c>
      <c r="G236" s="2">
        <v>465594918.2100001</v>
      </c>
      <c r="I236" t="s">
        <v>12</v>
      </c>
      <c r="J236" s="2">
        <v>112421279</v>
      </c>
      <c r="K236" s="2">
        <v>0</v>
      </c>
      <c r="L236" s="2">
        <v>0</v>
      </c>
      <c r="M236" s="2">
        <v>0</v>
      </c>
      <c r="N236" s="2">
        <v>112421279</v>
      </c>
      <c r="P236" t="s">
        <v>12</v>
      </c>
      <c r="Q236" s="2">
        <v>104247518.93999991</v>
      </c>
      <c r="R236" s="2">
        <v>0</v>
      </c>
      <c r="S236" s="2">
        <v>0</v>
      </c>
      <c r="T236" s="2">
        <v>0</v>
      </c>
      <c r="U236" s="2">
        <v>104247518.93999991</v>
      </c>
      <c r="W236" t="s">
        <v>12</v>
      </c>
      <c r="X236" s="2">
        <v>216668797.93999991</v>
      </c>
      <c r="Y236" s="2">
        <v>0</v>
      </c>
      <c r="Z236" s="2">
        <v>0</v>
      </c>
      <c r="AA236" s="2">
        <v>0</v>
      </c>
      <c r="AB236" s="2">
        <v>216668797.93999991</v>
      </c>
      <c r="AD236" t="s">
        <v>12</v>
      </c>
      <c r="AE236" s="2">
        <v>119706150.65000007</v>
      </c>
      <c r="AF236" s="2">
        <v>0</v>
      </c>
      <c r="AG236" s="2">
        <v>0</v>
      </c>
      <c r="AH236" s="2">
        <v>0</v>
      </c>
      <c r="AI236" s="2">
        <v>119706150.65000007</v>
      </c>
      <c r="AJ236" s="3">
        <v>336374948.58999997</v>
      </c>
      <c r="AK236" t="s">
        <v>12</v>
      </c>
      <c r="AL236" s="2">
        <v>129219969.62000015</v>
      </c>
      <c r="AM236" s="2">
        <v>0</v>
      </c>
      <c r="AN236" s="2">
        <v>0</v>
      </c>
      <c r="AO236" s="2">
        <v>0</v>
      </c>
      <c r="AP236" s="2">
        <v>129219969.62000015</v>
      </c>
    </row>
    <row r="237" spans="2:42" x14ac:dyDescent="0.35">
      <c r="B237" t="s">
        <v>3</v>
      </c>
      <c r="C237" s="2">
        <v>-161070608.56999996</v>
      </c>
      <c r="D237" s="2">
        <v>0</v>
      </c>
      <c r="E237" s="2">
        <v>0</v>
      </c>
      <c r="F237" s="2">
        <v>-2349.35</v>
      </c>
      <c r="G237" s="2">
        <v>-161072957.91999996</v>
      </c>
      <c r="I237" t="s">
        <v>3</v>
      </c>
      <c r="J237" s="2">
        <v>-31421485</v>
      </c>
      <c r="K237" s="2">
        <v>0</v>
      </c>
      <c r="L237" s="2">
        <v>0</v>
      </c>
      <c r="M237" s="2">
        <v>0</v>
      </c>
      <c r="N237" s="2">
        <v>-31421485</v>
      </c>
      <c r="P237" t="s">
        <v>3</v>
      </c>
      <c r="Q237" s="2">
        <v>-38525486.709999993</v>
      </c>
      <c r="R237" s="2">
        <v>0</v>
      </c>
      <c r="S237" s="2">
        <v>0</v>
      </c>
      <c r="T237" s="2">
        <v>0</v>
      </c>
      <c r="U237" s="2">
        <v>-38525486.709999993</v>
      </c>
      <c r="W237" t="s">
        <v>3</v>
      </c>
      <c r="X237" s="2">
        <v>-69946971.709999993</v>
      </c>
      <c r="Y237" s="2">
        <v>0</v>
      </c>
      <c r="Z237" s="2">
        <v>0</v>
      </c>
      <c r="AA237" s="2">
        <v>0</v>
      </c>
      <c r="AB237" s="2">
        <v>-69946971.709999993</v>
      </c>
      <c r="AD237" t="s">
        <v>3</v>
      </c>
      <c r="AE237" s="2">
        <v>-43288812.720000014</v>
      </c>
      <c r="AF237" s="2">
        <v>0</v>
      </c>
      <c r="AG237" s="2">
        <v>0</v>
      </c>
      <c r="AH237" s="2">
        <v>0</v>
      </c>
      <c r="AI237" s="2">
        <v>-43288812.720000014</v>
      </c>
      <c r="AJ237" s="3">
        <v>-113235784.43000001</v>
      </c>
      <c r="AK237" t="s">
        <v>3</v>
      </c>
      <c r="AL237" s="2">
        <v>-47834824.139999956</v>
      </c>
      <c r="AM237" s="2">
        <v>0</v>
      </c>
      <c r="AN237" s="2">
        <v>0</v>
      </c>
      <c r="AO237" s="2">
        <v>-2349.35</v>
      </c>
      <c r="AP237" s="2">
        <v>-47837173.489999957</v>
      </c>
    </row>
    <row r="238" spans="2:42" x14ac:dyDescent="0.35">
      <c r="B238" t="s">
        <v>88</v>
      </c>
      <c r="C238" s="2">
        <v>92718443.899999961</v>
      </c>
      <c r="D238" s="2">
        <v>0</v>
      </c>
      <c r="E238" s="2">
        <v>0</v>
      </c>
      <c r="F238" s="2">
        <v>570392.18999999994</v>
      </c>
      <c r="G238" s="2">
        <v>93288836.089999959</v>
      </c>
      <c r="I238" t="s">
        <v>88</v>
      </c>
      <c r="J238" s="2">
        <v>21677644.719999999</v>
      </c>
      <c r="K238" s="2">
        <v>0</v>
      </c>
      <c r="L238" s="2">
        <v>0</v>
      </c>
      <c r="M238" s="2">
        <v>0</v>
      </c>
      <c r="N238" s="2">
        <v>21677644.719999999</v>
      </c>
      <c r="P238" t="s">
        <v>88</v>
      </c>
      <c r="Q238" s="2">
        <v>21457360.850000001</v>
      </c>
      <c r="R238" s="2">
        <v>0</v>
      </c>
      <c r="S238" s="2">
        <v>0</v>
      </c>
      <c r="T238" s="2">
        <v>0</v>
      </c>
      <c r="U238" s="2">
        <v>21457360.850000001</v>
      </c>
      <c r="W238" t="s">
        <v>88</v>
      </c>
      <c r="X238" s="2">
        <v>43135005.57</v>
      </c>
      <c r="Y238" s="2">
        <v>0</v>
      </c>
      <c r="Z238" s="2">
        <v>0</v>
      </c>
      <c r="AA238" s="2">
        <v>0</v>
      </c>
      <c r="AB238" s="2">
        <v>43135005.57</v>
      </c>
      <c r="AD238" t="s">
        <v>88</v>
      </c>
      <c r="AE238" s="2">
        <v>24036605.720000006</v>
      </c>
      <c r="AF238" s="2">
        <v>0</v>
      </c>
      <c r="AG238" s="2">
        <v>0</v>
      </c>
      <c r="AH238" s="2">
        <v>0</v>
      </c>
      <c r="AI238" s="2">
        <v>24036605.720000006</v>
      </c>
      <c r="AJ238" s="3">
        <v>67171611.290000007</v>
      </c>
      <c r="AK238" t="s">
        <v>88</v>
      </c>
      <c r="AL238" s="2">
        <v>25546832.609999947</v>
      </c>
      <c r="AM238" s="2">
        <v>0</v>
      </c>
      <c r="AN238" s="2">
        <v>0</v>
      </c>
      <c r="AO238" s="2">
        <v>570392.18999999994</v>
      </c>
      <c r="AP238" s="2">
        <v>26117224.799999949</v>
      </c>
    </row>
    <row r="239" spans="2:42" x14ac:dyDescent="0.35">
      <c r="B239" t="s">
        <v>13</v>
      </c>
      <c r="C239" s="2">
        <v>-5853421.0800000001</v>
      </c>
      <c r="D239" s="2">
        <v>0</v>
      </c>
      <c r="E239" s="2">
        <v>0</v>
      </c>
      <c r="F239" s="2">
        <v>0</v>
      </c>
      <c r="G239" s="2">
        <v>-5853421.0800000001</v>
      </c>
      <c r="I239" t="s">
        <v>13</v>
      </c>
      <c r="J239" s="2">
        <v>-1949998</v>
      </c>
      <c r="K239" s="2">
        <v>0</v>
      </c>
      <c r="L239" s="2">
        <v>0</v>
      </c>
      <c r="M239" s="2">
        <v>0</v>
      </c>
      <c r="N239" s="2">
        <v>-1949998</v>
      </c>
      <c r="P239" t="s">
        <v>13</v>
      </c>
      <c r="Q239" s="2">
        <v>-171552.37000000104</v>
      </c>
      <c r="R239" s="2">
        <v>0</v>
      </c>
      <c r="S239" s="2">
        <v>0</v>
      </c>
      <c r="T239" s="2">
        <v>0</v>
      </c>
      <c r="U239" s="2">
        <v>-171552.37000000104</v>
      </c>
      <c r="W239" t="s">
        <v>13</v>
      </c>
      <c r="X239" s="2">
        <v>-2121550.370000001</v>
      </c>
      <c r="Y239" s="2">
        <v>0</v>
      </c>
      <c r="Z239" s="2">
        <v>0</v>
      </c>
      <c r="AA239" s="2">
        <v>0</v>
      </c>
      <c r="AB239" s="2">
        <v>-2121550.370000001</v>
      </c>
      <c r="AD239" t="s">
        <v>13</v>
      </c>
      <c r="AE239" s="2">
        <v>-1596402.8499999987</v>
      </c>
      <c r="AF239" s="2">
        <v>0</v>
      </c>
      <c r="AG239" s="2">
        <v>0</v>
      </c>
      <c r="AH239" s="2">
        <v>0</v>
      </c>
      <c r="AI239" s="2">
        <v>-1596402.8499999987</v>
      </c>
      <c r="AJ239" s="3">
        <v>-3717953.2199999997</v>
      </c>
      <c r="AK239" t="s">
        <v>13</v>
      </c>
      <c r="AL239" s="2">
        <v>-2135467.8600000003</v>
      </c>
      <c r="AM239" s="2">
        <v>0</v>
      </c>
      <c r="AN239" s="2">
        <v>0</v>
      </c>
      <c r="AO239" s="2">
        <v>0</v>
      </c>
      <c r="AP239" s="2">
        <v>-2135467.8600000003</v>
      </c>
    </row>
    <row r="240" spans="2:42" x14ac:dyDescent="0.35">
      <c r="B240" s="19" t="s">
        <v>14</v>
      </c>
      <c r="C240" s="20">
        <v>391389332.4600001</v>
      </c>
      <c r="D240" s="20">
        <v>0</v>
      </c>
      <c r="E240" s="20">
        <v>0</v>
      </c>
      <c r="F240" s="20">
        <v>568042.84</v>
      </c>
      <c r="G240" s="20">
        <v>391957375.30000013</v>
      </c>
      <c r="I240" s="19" t="s">
        <v>14</v>
      </c>
      <c r="J240" s="20">
        <v>100727440.72</v>
      </c>
      <c r="K240" s="20">
        <v>0</v>
      </c>
      <c r="L240" s="20">
        <v>0</v>
      </c>
      <c r="M240" s="20">
        <v>0</v>
      </c>
      <c r="N240" s="20">
        <v>100727440.72</v>
      </c>
      <c r="P240" s="19" t="s">
        <v>14</v>
      </c>
      <c r="Q240" s="20">
        <v>87007840.709999919</v>
      </c>
      <c r="R240" s="20">
        <v>0</v>
      </c>
      <c r="S240" s="20">
        <v>0</v>
      </c>
      <c r="T240" s="20">
        <v>0</v>
      </c>
      <c r="U240" s="20">
        <v>87007840.709999919</v>
      </c>
      <c r="W240" s="19" t="s">
        <v>14</v>
      </c>
      <c r="X240" s="20">
        <v>187735281.42999989</v>
      </c>
      <c r="Y240" s="20">
        <v>0</v>
      </c>
      <c r="Z240" s="20">
        <v>0</v>
      </c>
      <c r="AA240" s="20">
        <v>0</v>
      </c>
      <c r="AB240" s="20">
        <v>187735281.42999989</v>
      </c>
      <c r="AD240" s="19" t="s">
        <v>14</v>
      </c>
      <c r="AE240" s="20">
        <v>98857540.800000072</v>
      </c>
      <c r="AF240" s="20">
        <v>0</v>
      </c>
      <c r="AG240" s="20">
        <v>0</v>
      </c>
      <c r="AH240" s="20">
        <v>0</v>
      </c>
      <c r="AI240" s="20">
        <v>98857540.800000072</v>
      </c>
      <c r="AJ240" s="3">
        <v>286592822.22999996</v>
      </c>
      <c r="AK240" s="19" t="s">
        <v>14</v>
      </c>
      <c r="AL240" s="20">
        <v>104796510.23000015</v>
      </c>
      <c r="AM240" s="20">
        <v>0</v>
      </c>
      <c r="AN240" s="20">
        <v>0</v>
      </c>
      <c r="AO240" s="20">
        <v>568042.84</v>
      </c>
      <c r="AP240" s="20">
        <v>105364553.07000016</v>
      </c>
    </row>
    <row r="241" spans="2:42" x14ac:dyDescent="0.35">
      <c r="AJ241" s="3">
        <v>0</v>
      </c>
    </row>
    <row r="242" spans="2:42" x14ac:dyDescent="0.35">
      <c r="AJ242" s="3">
        <v>0</v>
      </c>
    </row>
    <row r="243" spans="2:42" x14ac:dyDescent="0.35">
      <c r="B243" t="s">
        <v>15</v>
      </c>
      <c r="C243" s="2">
        <v>132518025.45</v>
      </c>
      <c r="D243" s="2">
        <v>0</v>
      </c>
      <c r="E243" s="2">
        <v>0</v>
      </c>
      <c r="F243" s="2">
        <v>7192.76</v>
      </c>
      <c r="G243" s="2">
        <v>132525218.21000001</v>
      </c>
      <c r="I243" t="s">
        <v>15</v>
      </c>
      <c r="J243" s="2">
        <v>22042511</v>
      </c>
      <c r="K243" s="2">
        <v>0</v>
      </c>
      <c r="L243" s="2">
        <v>0</v>
      </c>
      <c r="M243" s="2">
        <v>0</v>
      </c>
      <c r="N243" s="2">
        <v>22042511</v>
      </c>
      <c r="P243" t="s">
        <v>15</v>
      </c>
      <c r="Q243" s="2">
        <v>32980674.950000003</v>
      </c>
      <c r="R243" s="2">
        <v>0</v>
      </c>
      <c r="S243" s="2">
        <v>0</v>
      </c>
      <c r="T243" s="2">
        <v>0</v>
      </c>
      <c r="U243" s="2">
        <v>32980674.950000003</v>
      </c>
      <c r="W243" t="s">
        <v>15</v>
      </c>
      <c r="X243" s="2">
        <v>55023185.950000003</v>
      </c>
      <c r="Y243" s="2">
        <v>0</v>
      </c>
      <c r="Z243" s="2">
        <v>0</v>
      </c>
      <c r="AA243" s="2">
        <v>0</v>
      </c>
      <c r="AB243" s="2">
        <v>55023185.950000003</v>
      </c>
      <c r="AD243" t="s">
        <v>15</v>
      </c>
      <c r="AE243" s="2">
        <v>40762183.720000014</v>
      </c>
      <c r="AF243" s="2">
        <v>0</v>
      </c>
      <c r="AG243" s="2">
        <v>0</v>
      </c>
      <c r="AH243" s="2">
        <v>0</v>
      </c>
      <c r="AI243" s="2">
        <v>40762183.720000014</v>
      </c>
      <c r="AJ243" s="3">
        <v>95785369.670000017</v>
      </c>
      <c r="AK243" t="s">
        <v>15</v>
      </c>
      <c r="AL243" s="2">
        <v>36732655.779999986</v>
      </c>
      <c r="AM243" s="2">
        <v>0</v>
      </c>
      <c r="AN243" s="2">
        <v>0</v>
      </c>
      <c r="AO243" s="2">
        <v>7192.76</v>
      </c>
      <c r="AP243" s="2">
        <v>36739848.539999984</v>
      </c>
    </row>
    <row r="244" spans="2:42" x14ac:dyDescent="0.35">
      <c r="B244" t="s">
        <v>16</v>
      </c>
      <c r="C244" s="2">
        <v>-56649270.799999997</v>
      </c>
      <c r="D244" s="2">
        <v>0</v>
      </c>
      <c r="E244" s="2">
        <v>0</v>
      </c>
      <c r="F244" s="2">
        <v>0</v>
      </c>
      <c r="G244" s="2">
        <v>-56649270.799999997</v>
      </c>
      <c r="I244" t="s">
        <v>16</v>
      </c>
      <c r="J244" s="2">
        <v>-8772481</v>
      </c>
      <c r="K244" s="2">
        <v>0</v>
      </c>
      <c r="L244" s="2">
        <v>0</v>
      </c>
      <c r="M244" s="2">
        <v>0</v>
      </c>
      <c r="N244" s="2">
        <v>-8772481</v>
      </c>
      <c r="P244" t="s">
        <v>16</v>
      </c>
      <c r="Q244" s="2">
        <v>-10707675.710000001</v>
      </c>
      <c r="R244" s="2">
        <v>0</v>
      </c>
      <c r="S244" s="2">
        <v>0</v>
      </c>
      <c r="T244" s="2">
        <v>0</v>
      </c>
      <c r="U244" s="2">
        <v>-10707675.710000001</v>
      </c>
      <c r="W244" t="s">
        <v>16</v>
      </c>
      <c r="X244" s="2">
        <v>-19480156.710000001</v>
      </c>
      <c r="Y244" s="2">
        <v>0</v>
      </c>
      <c r="Z244" s="2">
        <v>0</v>
      </c>
      <c r="AA244" s="2">
        <v>0</v>
      </c>
      <c r="AB244" s="2">
        <v>-19480156.710000001</v>
      </c>
      <c r="AD244" t="s">
        <v>16</v>
      </c>
      <c r="AE244" s="2">
        <v>-21415722.919999987</v>
      </c>
      <c r="AF244" s="2">
        <v>0</v>
      </c>
      <c r="AG244" s="2">
        <v>0</v>
      </c>
      <c r="AH244" s="2">
        <v>0</v>
      </c>
      <c r="AI244" s="2">
        <v>-21415722.919999987</v>
      </c>
      <c r="AJ244" s="3">
        <v>-40895879.629999988</v>
      </c>
      <c r="AK244" t="s">
        <v>16</v>
      </c>
      <c r="AL244" s="2">
        <v>-15753391.170000009</v>
      </c>
      <c r="AM244" s="2">
        <v>0</v>
      </c>
      <c r="AN244" s="2">
        <v>0</v>
      </c>
      <c r="AO244" s="2">
        <v>0</v>
      </c>
      <c r="AP244" s="2">
        <v>-15753391.170000009</v>
      </c>
    </row>
    <row r="245" spans="2:42" x14ac:dyDescent="0.35">
      <c r="B245" s="19" t="s">
        <v>17</v>
      </c>
      <c r="C245" s="20">
        <v>75868754.650000006</v>
      </c>
      <c r="D245" s="20">
        <v>0</v>
      </c>
      <c r="E245" s="20">
        <v>0</v>
      </c>
      <c r="F245" s="20">
        <v>7192.76</v>
      </c>
      <c r="G245" s="20">
        <v>75875947.410000011</v>
      </c>
      <c r="I245" s="19" t="s">
        <v>17</v>
      </c>
      <c r="J245" s="20">
        <v>13270030</v>
      </c>
      <c r="K245" s="20">
        <v>0</v>
      </c>
      <c r="L245" s="20">
        <v>0</v>
      </c>
      <c r="M245" s="20">
        <v>0</v>
      </c>
      <c r="N245" s="20">
        <v>13270030</v>
      </c>
      <c r="P245" s="19" t="s">
        <v>17</v>
      </c>
      <c r="Q245" s="20">
        <v>22272999.240000002</v>
      </c>
      <c r="R245" s="20">
        <v>0</v>
      </c>
      <c r="S245" s="20">
        <v>0</v>
      </c>
      <c r="T245" s="20">
        <v>0</v>
      </c>
      <c r="U245" s="20">
        <v>22272999.240000002</v>
      </c>
      <c r="W245" s="19" t="s">
        <v>17</v>
      </c>
      <c r="X245" s="20">
        <v>35543029.240000002</v>
      </c>
      <c r="Y245" s="20">
        <v>0</v>
      </c>
      <c r="Z245" s="20">
        <v>0</v>
      </c>
      <c r="AA245" s="20">
        <v>0</v>
      </c>
      <c r="AB245" s="20">
        <v>35543029.240000002</v>
      </c>
      <c r="AD245" s="19" t="s">
        <v>17</v>
      </c>
      <c r="AE245" s="20">
        <v>19346460.800000027</v>
      </c>
      <c r="AF245" s="20">
        <v>0</v>
      </c>
      <c r="AG245" s="20">
        <v>0</v>
      </c>
      <c r="AH245" s="20">
        <v>0</v>
      </c>
      <c r="AI245" s="20">
        <v>19346460.800000027</v>
      </c>
      <c r="AJ245" s="3">
        <v>54889490.040000029</v>
      </c>
      <c r="AK245" s="19" t="s">
        <v>17</v>
      </c>
      <c r="AL245" s="20">
        <v>20979264.609999977</v>
      </c>
      <c r="AM245" s="20">
        <v>0</v>
      </c>
      <c r="AN245" s="20">
        <v>0</v>
      </c>
      <c r="AO245" s="20">
        <v>7192.76</v>
      </c>
      <c r="AP245" s="20">
        <v>20986457.369999975</v>
      </c>
    </row>
    <row r="246" spans="2:42" x14ac:dyDescent="0.35">
      <c r="AJ246" s="3">
        <v>0</v>
      </c>
    </row>
    <row r="247" spans="2:42" x14ac:dyDescent="0.35">
      <c r="AJ247" s="3">
        <v>0</v>
      </c>
    </row>
    <row r="248" spans="2:42" x14ac:dyDescent="0.35">
      <c r="B248" s="16" t="s">
        <v>20</v>
      </c>
      <c r="C248" s="17">
        <v>22221534.382499985</v>
      </c>
      <c r="D248" s="17">
        <v>0</v>
      </c>
      <c r="E248" s="17">
        <v>0</v>
      </c>
      <c r="F248" s="17">
        <v>0</v>
      </c>
      <c r="G248" s="17">
        <v>22221534.382499985</v>
      </c>
      <c r="I248" s="16" t="s">
        <v>20</v>
      </c>
      <c r="J248" s="17">
        <v>6849963.7002999997</v>
      </c>
      <c r="K248" s="17">
        <v>0</v>
      </c>
      <c r="L248" s="17">
        <v>0</v>
      </c>
      <c r="M248" s="17">
        <v>0</v>
      </c>
      <c r="N248" s="17">
        <v>6849963.7002999997</v>
      </c>
      <c r="P248" s="16" t="s">
        <v>20</v>
      </c>
      <c r="Q248" s="17">
        <v>5421290.5467999997</v>
      </c>
      <c r="R248" s="17">
        <v>0</v>
      </c>
      <c r="S248" s="17">
        <v>0</v>
      </c>
      <c r="T248" s="17">
        <v>-127443.30380000001</v>
      </c>
      <c r="U248" s="17">
        <v>5293847.2429999998</v>
      </c>
      <c r="W248" s="16" t="s">
        <v>20</v>
      </c>
      <c r="X248" s="17">
        <v>12271254.247099999</v>
      </c>
      <c r="Y248" s="17">
        <v>0</v>
      </c>
      <c r="Z248" s="17">
        <v>0</v>
      </c>
      <c r="AA248" s="17">
        <v>-127443.30380000001</v>
      </c>
      <c r="AB248" s="17">
        <v>12143810.943299999</v>
      </c>
      <c r="AD248" s="16" t="s">
        <v>20</v>
      </c>
      <c r="AE248" s="17">
        <v>6368619.587381985</v>
      </c>
      <c r="AF248" s="17">
        <v>0</v>
      </c>
      <c r="AG248" s="17">
        <v>0</v>
      </c>
      <c r="AH248" s="17">
        <v>127443.30380000001</v>
      </c>
      <c r="AI248" s="17">
        <v>6496062.8911819849</v>
      </c>
      <c r="AJ248" s="3">
        <v>18639873.834481984</v>
      </c>
      <c r="AK248" s="16" t="s">
        <v>20</v>
      </c>
      <c r="AL248" s="17">
        <v>3581660.548018001</v>
      </c>
      <c r="AM248" s="17">
        <v>0</v>
      </c>
      <c r="AN248" s="17">
        <v>0</v>
      </c>
      <c r="AO248" s="17">
        <v>0</v>
      </c>
      <c r="AP248" s="17">
        <v>3581660.548018001</v>
      </c>
    </row>
    <row r="249" spans="2:42" x14ac:dyDescent="0.35">
      <c r="AJ249" s="3">
        <v>0</v>
      </c>
    </row>
    <row r="250" spans="2:42" x14ac:dyDescent="0.35">
      <c r="AJ250" s="3">
        <v>0</v>
      </c>
    </row>
    <row r="251" spans="2:42" x14ac:dyDescent="0.35">
      <c r="AJ251" s="3">
        <v>0</v>
      </c>
    </row>
    <row r="252" spans="2:42" x14ac:dyDescent="0.35">
      <c r="B252" t="s">
        <v>0</v>
      </c>
      <c r="C252" s="2">
        <v>117435580.31000002</v>
      </c>
      <c r="D252" s="2">
        <v>0</v>
      </c>
      <c r="E252" s="2">
        <v>0</v>
      </c>
      <c r="F252" s="2">
        <v>0</v>
      </c>
      <c r="G252" s="2">
        <v>117435580.31000002</v>
      </c>
      <c r="I252" t="s">
        <v>0</v>
      </c>
      <c r="J252" s="2">
        <v>107658110</v>
      </c>
      <c r="K252" s="2">
        <v>0</v>
      </c>
      <c r="L252" s="2">
        <v>0</v>
      </c>
      <c r="M252" s="2">
        <v>0</v>
      </c>
      <c r="N252" s="2">
        <v>107658110</v>
      </c>
      <c r="P252" t="s">
        <v>0</v>
      </c>
      <c r="Q252" s="2">
        <v>4135965.3000000119</v>
      </c>
      <c r="R252" s="2">
        <v>0</v>
      </c>
      <c r="S252" s="2">
        <v>0</v>
      </c>
      <c r="T252" s="2">
        <v>0</v>
      </c>
      <c r="U252" s="2">
        <v>4135965.3000000119</v>
      </c>
      <c r="W252" t="s">
        <v>0</v>
      </c>
      <c r="X252" s="2">
        <v>111794075.30000001</v>
      </c>
      <c r="Y252" s="2">
        <v>0</v>
      </c>
      <c r="Z252" s="2">
        <v>0</v>
      </c>
      <c r="AA252" s="2">
        <v>0</v>
      </c>
      <c r="AB252" s="2">
        <v>111794075.30000001</v>
      </c>
      <c r="AD252" t="s">
        <v>0</v>
      </c>
      <c r="AE252" s="2">
        <v>9.9999904632568359E-3</v>
      </c>
      <c r="AF252" s="2">
        <v>0</v>
      </c>
      <c r="AG252" s="2">
        <v>0</v>
      </c>
      <c r="AH252" s="2">
        <v>0</v>
      </c>
      <c r="AI252" s="2">
        <v>9.9999904632568359E-3</v>
      </c>
      <c r="AJ252" s="3">
        <v>111794075.31</v>
      </c>
      <c r="AK252" t="s">
        <v>0</v>
      </c>
      <c r="AL252" s="2">
        <v>5641505.0000000149</v>
      </c>
      <c r="AM252" s="2">
        <v>0</v>
      </c>
      <c r="AN252" s="2">
        <v>0</v>
      </c>
      <c r="AO252" s="2">
        <v>0</v>
      </c>
      <c r="AP252" s="2">
        <v>5641505.0000000149</v>
      </c>
    </row>
    <row r="253" spans="2:42" x14ac:dyDescent="0.35">
      <c r="B253" t="s">
        <v>2</v>
      </c>
      <c r="C253" s="2">
        <v>-117435579.72000003</v>
      </c>
      <c r="D253" s="2">
        <v>0</v>
      </c>
      <c r="E253" s="2">
        <v>0</v>
      </c>
      <c r="F253" s="2">
        <v>0</v>
      </c>
      <c r="G253" s="2">
        <v>-117435579.72000003</v>
      </c>
      <c r="I253" t="s">
        <v>2</v>
      </c>
      <c r="J253" s="2">
        <v>-107658110</v>
      </c>
      <c r="K253" s="2">
        <v>0</v>
      </c>
      <c r="L253" s="2">
        <v>0</v>
      </c>
      <c r="M253" s="2">
        <v>0</v>
      </c>
      <c r="N253" s="2">
        <v>-107658110</v>
      </c>
      <c r="P253" t="s">
        <v>2</v>
      </c>
      <c r="Q253" s="2">
        <v>-4135962.6800000072</v>
      </c>
      <c r="R253" s="2">
        <v>0</v>
      </c>
      <c r="S253" s="2">
        <v>0</v>
      </c>
      <c r="T253" s="2">
        <v>0</v>
      </c>
      <c r="U253" s="2">
        <v>-4135962.6800000072</v>
      </c>
      <c r="W253" t="s">
        <v>2</v>
      </c>
      <c r="X253" s="2">
        <v>-111794072.68000001</v>
      </c>
      <c r="Y253" s="2">
        <v>0</v>
      </c>
      <c r="Z253" s="2">
        <v>0</v>
      </c>
      <c r="AA253" s="2">
        <v>0</v>
      </c>
      <c r="AB253" s="2">
        <v>-111794072.68000001</v>
      </c>
      <c r="AD253" t="s">
        <v>2</v>
      </c>
      <c r="AE253" s="2">
        <v>0</v>
      </c>
      <c r="AF253" s="2">
        <v>0</v>
      </c>
      <c r="AG253" s="2">
        <v>0</v>
      </c>
      <c r="AH253" s="2">
        <v>0</v>
      </c>
      <c r="AI253" s="2">
        <v>0</v>
      </c>
      <c r="AJ253" s="3">
        <v>-111794072.68000001</v>
      </c>
      <c r="AK253" t="s">
        <v>2</v>
      </c>
      <c r="AL253" s="2">
        <v>-5641507.0400000215</v>
      </c>
      <c r="AM253" s="2">
        <v>0</v>
      </c>
      <c r="AN253" s="2">
        <v>0</v>
      </c>
      <c r="AO253" s="2">
        <v>0</v>
      </c>
      <c r="AP253" s="2">
        <v>-5641507.0400000215</v>
      </c>
    </row>
    <row r="254" spans="2:42" x14ac:dyDescent="0.35">
      <c r="B254" s="19" t="s">
        <v>21</v>
      </c>
      <c r="C254" s="20">
        <v>0.58999998867511749</v>
      </c>
      <c r="D254" s="20">
        <v>0</v>
      </c>
      <c r="E254" s="20">
        <v>0</v>
      </c>
      <c r="F254" s="20">
        <v>0</v>
      </c>
      <c r="G254" s="20">
        <v>0.58999998867511749</v>
      </c>
      <c r="I254" s="19" t="s">
        <v>21</v>
      </c>
      <c r="J254" s="20">
        <v>0</v>
      </c>
      <c r="K254" s="20">
        <v>0</v>
      </c>
      <c r="L254" s="20">
        <v>0</v>
      </c>
      <c r="M254" s="20">
        <v>0</v>
      </c>
      <c r="N254" s="20">
        <v>0</v>
      </c>
      <c r="P254" s="19" t="s">
        <v>21</v>
      </c>
      <c r="Q254" s="20">
        <v>2.6200000047683716</v>
      </c>
      <c r="R254" s="20">
        <v>0</v>
      </c>
      <c r="S254" s="20">
        <v>0</v>
      </c>
      <c r="T254" s="20">
        <v>0</v>
      </c>
      <c r="U254" s="20">
        <v>2.6200000047683716</v>
      </c>
      <c r="W254" s="19" t="s">
        <v>21</v>
      </c>
      <c r="X254" s="20">
        <v>2.6200000047683716</v>
      </c>
      <c r="Y254" s="20">
        <v>0</v>
      </c>
      <c r="Z254" s="20">
        <v>0</v>
      </c>
      <c r="AA254" s="20">
        <v>0</v>
      </c>
      <c r="AB254" s="20">
        <v>2.6200000047683716</v>
      </c>
      <c r="AD254" s="19" t="s">
        <v>21</v>
      </c>
      <c r="AE254" s="20">
        <v>9.9999904632568359E-3</v>
      </c>
      <c r="AF254" s="20">
        <v>0</v>
      </c>
      <c r="AG254" s="20">
        <v>0</v>
      </c>
      <c r="AH254" s="20">
        <v>0</v>
      </c>
      <c r="AI254" s="20">
        <v>9.9999904632568359E-3</v>
      </c>
      <c r="AJ254" s="3">
        <v>2.6299999952316284</v>
      </c>
      <c r="AK254" s="19" t="s">
        <v>21</v>
      </c>
      <c r="AL254" s="20">
        <v>-2.0400000065565109</v>
      </c>
      <c r="AM254" s="20">
        <v>0</v>
      </c>
      <c r="AN254" s="20">
        <v>0</v>
      </c>
      <c r="AO254" s="20">
        <v>0</v>
      </c>
      <c r="AP254" s="20">
        <v>-2.0400000065565109</v>
      </c>
    </row>
    <row r="255" spans="2:42" x14ac:dyDescent="0.35">
      <c r="AJ255" s="3">
        <v>0</v>
      </c>
    </row>
    <row r="256" spans="2:42" x14ac:dyDescent="0.35">
      <c r="AJ256" s="3">
        <v>0</v>
      </c>
    </row>
    <row r="257" spans="2:42" x14ac:dyDescent="0.35">
      <c r="B257" t="s">
        <v>24</v>
      </c>
      <c r="C257" s="2">
        <v>0</v>
      </c>
      <c r="D257" s="2">
        <v>516835189</v>
      </c>
      <c r="E257" s="2">
        <v>0</v>
      </c>
      <c r="F257" s="2">
        <v>0</v>
      </c>
      <c r="G257" s="2">
        <v>516835189</v>
      </c>
      <c r="I257" t="s">
        <v>24</v>
      </c>
      <c r="J257" s="2">
        <v>0</v>
      </c>
      <c r="K257" s="2">
        <v>124707945</v>
      </c>
      <c r="L257" s="2">
        <v>0</v>
      </c>
      <c r="M257" s="2">
        <v>0</v>
      </c>
      <c r="N257" s="2">
        <v>124707945</v>
      </c>
      <c r="P257" t="s">
        <v>24</v>
      </c>
      <c r="Q257" s="2">
        <v>0</v>
      </c>
      <c r="R257" s="2">
        <v>129574627</v>
      </c>
      <c r="S257" s="2">
        <v>0</v>
      </c>
      <c r="T257" s="2">
        <v>0</v>
      </c>
      <c r="U257" s="2">
        <v>129574627</v>
      </c>
      <c r="W257" t="s">
        <v>24</v>
      </c>
      <c r="X257" s="2">
        <v>0</v>
      </c>
      <c r="Y257" s="2">
        <v>254282572</v>
      </c>
      <c r="Z257" s="2">
        <v>0</v>
      </c>
      <c r="AA257" s="2">
        <v>0</v>
      </c>
      <c r="AB257" s="2">
        <v>254282572</v>
      </c>
      <c r="AD257" t="s">
        <v>24</v>
      </c>
      <c r="AE257" s="2">
        <v>0</v>
      </c>
      <c r="AF257" s="2">
        <v>121914170</v>
      </c>
      <c r="AG257" s="2">
        <v>0</v>
      </c>
      <c r="AH257" s="2">
        <v>0</v>
      </c>
      <c r="AI257" s="2">
        <v>121914170</v>
      </c>
      <c r="AJ257" s="3">
        <v>376196742</v>
      </c>
      <c r="AK257" t="s">
        <v>24</v>
      </c>
      <c r="AL257" s="2">
        <v>0</v>
      </c>
      <c r="AM257" s="2">
        <v>140638447</v>
      </c>
      <c r="AN257" s="2">
        <v>0</v>
      </c>
      <c r="AO257" s="2">
        <v>0</v>
      </c>
      <c r="AP257" s="2">
        <v>140638447</v>
      </c>
    </row>
    <row r="258" spans="2:42" x14ac:dyDescent="0.35">
      <c r="B258" t="s">
        <v>25</v>
      </c>
      <c r="C258" s="2">
        <v>0</v>
      </c>
      <c r="D258" s="2">
        <v>-44152115</v>
      </c>
      <c r="E258" s="2">
        <v>0</v>
      </c>
      <c r="F258" s="2">
        <v>0</v>
      </c>
      <c r="G258" s="2">
        <v>-44152115</v>
      </c>
      <c r="I258" t="s">
        <v>25</v>
      </c>
      <c r="J258" s="2">
        <v>0</v>
      </c>
      <c r="K258" s="2">
        <v>-14890859</v>
      </c>
      <c r="L258" s="2">
        <v>0</v>
      </c>
      <c r="M258" s="2">
        <v>0</v>
      </c>
      <c r="N258" s="2">
        <v>-14890859</v>
      </c>
      <c r="P258" t="s">
        <v>25</v>
      </c>
      <c r="Q258" s="2">
        <v>0</v>
      </c>
      <c r="R258" s="2">
        <v>-20544231</v>
      </c>
      <c r="S258" s="2">
        <v>0</v>
      </c>
      <c r="T258" s="2">
        <v>0</v>
      </c>
      <c r="U258" s="2">
        <v>-20544231</v>
      </c>
      <c r="W258" t="s">
        <v>25</v>
      </c>
      <c r="X258" s="2">
        <v>0</v>
      </c>
      <c r="Y258" s="2">
        <v>-35435090</v>
      </c>
      <c r="Z258" s="2">
        <v>0</v>
      </c>
      <c r="AA258" s="2">
        <v>0</v>
      </c>
      <c r="AB258" s="2">
        <v>-35435090</v>
      </c>
      <c r="AD258" t="s">
        <v>25</v>
      </c>
      <c r="AE258" s="2">
        <v>0</v>
      </c>
      <c r="AF258" s="2">
        <v>-2623500</v>
      </c>
      <c r="AG258" s="2">
        <v>0</v>
      </c>
      <c r="AH258" s="2">
        <v>0</v>
      </c>
      <c r="AI258" s="2">
        <v>-2623500</v>
      </c>
      <c r="AJ258" s="3">
        <v>-38058590</v>
      </c>
      <c r="AK258" t="s">
        <v>25</v>
      </c>
      <c r="AL258" s="2">
        <v>0</v>
      </c>
      <c r="AM258" s="2">
        <v>-6093525</v>
      </c>
      <c r="AN258" s="2">
        <v>0</v>
      </c>
      <c r="AO258" s="2">
        <v>0</v>
      </c>
      <c r="AP258" s="2">
        <v>-6093525</v>
      </c>
    </row>
    <row r="259" spans="2:42" x14ac:dyDescent="0.35">
      <c r="B259" t="s">
        <v>26</v>
      </c>
      <c r="C259" s="2">
        <v>0</v>
      </c>
      <c r="D259" s="2">
        <v>-154647942</v>
      </c>
      <c r="E259" s="2">
        <v>0</v>
      </c>
      <c r="F259" s="2">
        <v>0</v>
      </c>
      <c r="G259" s="2">
        <v>-154647942</v>
      </c>
      <c r="I259" t="s">
        <v>26</v>
      </c>
      <c r="J259" s="2">
        <v>0</v>
      </c>
      <c r="K259" s="2">
        <v>-37922278</v>
      </c>
      <c r="L259" s="2">
        <v>0</v>
      </c>
      <c r="M259" s="2">
        <v>0</v>
      </c>
      <c r="N259" s="2">
        <v>-37922278</v>
      </c>
      <c r="P259" t="s">
        <v>26</v>
      </c>
      <c r="Q259" s="2">
        <v>0</v>
      </c>
      <c r="R259" s="2">
        <v>-37917364</v>
      </c>
      <c r="S259" s="2">
        <v>0</v>
      </c>
      <c r="T259" s="2">
        <v>0</v>
      </c>
      <c r="U259" s="2">
        <v>-37917364</v>
      </c>
      <c r="W259" t="s">
        <v>26</v>
      </c>
      <c r="X259" s="2">
        <v>0</v>
      </c>
      <c r="Y259" s="2">
        <v>-75839642</v>
      </c>
      <c r="Z259" s="2">
        <v>0</v>
      </c>
      <c r="AA259" s="2">
        <v>0</v>
      </c>
      <c r="AB259" s="2">
        <v>-75839642</v>
      </c>
      <c r="AD259" t="s">
        <v>26</v>
      </c>
      <c r="AE259" s="2">
        <v>0</v>
      </c>
      <c r="AF259" s="2">
        <v>-34374105</v>
      </c>
      <c r="AG259" s="2">
        <v>0</v>
      </c>
      <c r="AH259" s="2">
        <v>0</v>
      </c>
      <c r="AI259" s="2">
        <v>-34374105</v>
      </c>
      <c r="AJ259" s="3">
        <v>-110213747</v>
      </c>
      <c r="AK259" t="s">
        <v>26</v>
      </c>
      <c r="AL259" s="2">
        <v>0</v>
      </c>
      <c r="AM259" s="2">
        <v>-44434195</v>
      </c>
      <c r="AN259" s="2">
        <v>0</v>
      </c>
      <c r="AO259" s="2">
        <v>0</v>
      </c>
      <c r="AP259" s="2">
        <v>-44434195</v>
      </c>
    </row>
    <row r="260" spans="2:42" x14ac:dyDescent="0.35">
      <c r="B260" s="19" t="s">
        <v>101</v>
      </c>
      <c r="C260" s="20">
        <v>0</v>
      </c>
      <c r="D260" s="20">
        <v>318035132</v>
      </c>
      <c r="E260" s="20">
        <v>0</v>
      </c>
      <c r="F260" s="20">
        <v>0</v>
      </c>
      <c r="G260" s="20">
        <v>318035132</v>
      </c>
      <c r="I260" s="19" t="s">
        <v>101</v>
      </c>
      <c r="J260" s="20">
        <v>0</v>
      </c>
      <c r="K260" s="20">
        <v>71894808</v>
      </c>
      <c r="L260" s="20">
        <v>0</v>
      </c>
      <c r="M260" s="20">
        <v>0</v>
      </c>
      <c r="N260" s="20">
        <v>71894808</v>
      </c>
      <c r="P260" s="19" t="s">
        <v>101</v>
      </c>
      <c r="Q260" s="20">
        <v>0</v>
      </c>
      <c r="R260" s="20">
        <v>71113032</v>
      </c>
      <c r="S260" s="20">
        <v>0</v>
      </c>
      <c r="T260" s="20">
        <v>0</v>
      </c>
      <c r="U260" s="20">
        <v>71113032</v>
      </c>
      <c r="W260" s="19" t="s">
        <v>101</v>
      </c>
      <c r="X260" s="20">
        <v>0</v>
      </c>
      <c r="Y260" s="20">
        <v>143007840</v>
      </c>
      <c r="Z260" s="20">
        <v>0</v>
      </c>
      <c r="AA260" s="20">
        <v>0</v>
      </c>
      <c r="AB260" s="20">
        <v>143007840</v>
      </c>
      <c r="AD260" s="19" t="s">
        <v>152</v>
      </c>
      <c r="AE260" s="20">
        <v>0</v>
      </c>
      <c r="AF260" s="20">
        <v>84916565</v>
      </c>
      <c r="AG260" s="20">
        <v>0</v>
      </c>
      <c r="AH260" s="20">
        <v>0</v>
      </c>
      <c r="AI260" s="20">
        <v>84916565</v>
      </c>
      <c r="AJ260" s="3">
        <v>227924405</v>
      </c>
      <c r="AK260" s="19" t="s">
        <v>152</v>
      </c>
      <c r="AL260" s="20">
        <v>0</v>
      </c>
      <c r="AM260" s="20">
        <v>90110727</v>
      </c>
      <c r="AN260" s="20">
        <v>0</v>
      </c>
      <c r="AO260" s="20">
        <v>0</v>
      </c>
      <c r="AP260" s="20">
        <v>90110727</v>
      </c>
    </row>
    <row r="261" spans="2:42" x14ac:dyDescent="0.35">
      <c r="AJ261" s="3">
        <v>0</v>
      </c>
    </row>
    <row r="262" spans="2:42" x14ac:dyDescent="0.35">
      <c r="AJ262" s="3">
        <v>0</v>
      </c>
    </row>
    <row r="263" spans="2:42" x14ac:dyDescent="0.35">
      <c r="B263" t="s">
        <v>27</v>
      </c>
      <c r="C263" s="2">
        <v>0</v>
      </c>
      <c r="D263" s="2">
        <v>-158913927</v>
      </c>
      <c r="E263" s="2">
        <v>0</v>
      </c>
      <c r="F263" s="2">
        <v>0</v>
      </c>
      <c r="G263" s="2">
        <v>-158913927</v>
      </c>
      <c r="I263" t="s">
        <v>27</v>
      </c>
      <c r="J263" s="2">
        <v>0</v>
      </c>
      <c r="K263" s="2">
        <v>-21840516</v>
      </c>
      <c r="L263" s="2">
        <v>0</v>
      </c>
      <c r="M263" s="2">
        <v>0</v>
      </c>
      <c r="N263" s="2">
        <v>-21840516</v>
      </c>
      <c r="P263" t="s">
        <v>27</v>
      </c>
      <c r="Q263" s="2">
        <v>0</v>
      </c>
      <c r="R263" s="2">
        <v>-32020358</v>
      </c>
      <c r="S263" s="2">
        <v>0</v>
      </c>
      <c r="T263" s="2">
        <v>0</v>
      </c>
      <c r="U263" s="2">
        <v>-32020358</v>
      </c>
      <c r="W263" t="s">
        <v>27</v>
      </c>
      <c r="X263" s="2">
        <v>0</v>
      </c>
      <c r="Y263" s="2">
        <v>-53860874</v>
      </c>
      <c r="Z263" s="2">
        <v>0</v>
      </c>
      <c r="AA263" s="2">
        <v>0</v>
      </c>
      <c r="AB263" s="2">
        <v>-53860874</v>
      </c>
      <c r="AD263" t="s">
        <v>27</v>
      </c>
      <c r="AE263" s="2">
        <v>0</v>
      </c>
      <c r="AF263" s="2">
        <v>-50984317</v>
      </c>
      <c r="AG263" s="2">
        <v>0</v>
      </c>
      <c r="AH263" s="2">
        <v>0</v>
      </c>
      <c r="AI263" s="2">
        <v>-50984317</v>
      </c>
      <c r="AJ263" s="3">
        <v>-104845191</v>
      </c>
      <c r="AK263" t="s">
        <v>27</v>
      </c>
      <c r="AL263" s="2">
        <v>0</v>
      </c>
      <c r="AM263" s="2">
        <v>-54068736</v>
      </c>
      <c r="AN263" s="2">
        <v>0</v>
      </c>
      <c r="AO263" s="2">
        <v>0</v>
      </c>
      <c r="AP263" s="2">
        <v>-54068736</v>
      </c>
    </row>
    <row r="264" spans="2:42" x14ac:dyDescent="0.35">
      <c r="B264" t="s">
        <v>28</v>
      </c>
      <c r="C264" s="2">
        <v>0</v>
      </c>
      <c r="D264" s="2">
        <v>-111594998</v>
      </c>
      <c r="E264" s="2">
        <v>0</v>
      </c>
      <c r="F264" s="2">
        <v>0</v>
      </c>
      <c r="G264" s="2">
        <v>-111594998</v>
      </c>
      <c r="I264" t="s">
        <v>28</v>
      </c>
      <c r="J264" s="2">
        <v>0</v>
      </c>
      <c r="K264" s="2">
        <v>-23010724</v>
      </c>
      <c r="L264" s="2">
        <v>0</v>
      </c>
      <c r="M264" s="2">
        <v>0</v>
      </c>
      <c r="N264" s="2">
        <v>-23010724</v>
      </c>
      <c r="P264" t="s">
        <v>28</v>
      </c>
      <c r="Q264" s="2">
        <v>0</v>
      </c>
      <c r="R264" s="2">
        <v>-28870526</v>
      </c>
      <c r="S264" s="2">
        <v>0</v>
      </c>
      <c r="T264" s="2">
        <v>0</v>
      </c>
      <c r="U264" s="2">
        <v>-28870526</v>
      </c>
      <c r="W264" t="s">
        <v>28</v>
      </c>
      <c r="X264" s="2">
        <v>0</v>
      </c>
      <c r="Y264" s="2">
        <v>-51881250</v>
      </c>
      <c r="Z264" s="2">
        <v>0</v>
      </c>
      <c r="AA264" s="2">
        <v>0</v>
      </c>
      <c r="AB264" s="2">
        <v>-51881250</v>
      </c>
      <c r="AD264" t="s">
        <v>28</v>
      </c>
      <c r="AE264" s="2">
        <v>0</v>
      </c>
      <c r="AF264" s="2">
        <v>-27730857</v>
      </c>
      <c r="AG264" s="2">
        <v>0</v>
      </c>
      <c r="AH264" s="2">
        <v>0</v>
      </c>
      <c r="AI264" s="2">
        <v>-27730857</v>
      </c>
      <c r="AJ264" s="3">
        <v>-79612107</v>
      </c>
      <c r="AK264" t="s">
        <v>28</v>
      </c>
      <c r="AL264" s="2">
        <v>0</v>
      </c>
      <c r="AM264" s="2">
        <v>-31982891</v>
      </c>
      <c r="AN264" s="2">
        <v>0</v>
      </c>
      <c r="AO264" s="2">
        <v>0</v>
      </c>
      <c r="AP264" s="2">
        <v>-31982891</v>
      </c>
    </row>
    <row r="265" spans="2:42" x14ac:dyDescent="0.35">
      <c r="B265" t="s">
        <v>29</v>
      </c>
      <c r="C265" s="2">
        <v>0</v>
      </c>
      <c r="D265" s="2">
        <v>7015717</v>
      </c>
      <c r="E265" s="2">
        <v>0</v>
      </c>
      <c r="F265" s="2">
        <v>0</v>
      </c>
      <c r="G265" s="2">
        <v>7015717</v>
      </c>
      <c r="I265" t="s">
        <v>29</v>
      </c>
      <c r="J265" s="2">
        <v>0</v>
      </c>
      <c r="K265" s="2">
        <v>1409376</v>
      </c>
      <c r="L265" s="2">
        <v>0</v>
      </c>
      <c r="M265" s="2">
        <v>0</v>
      </c>
      <c r="N265" s="2">
        <v>1409376</v>
      </c>
      <c r="P265" t="s">
        <v>29</v>
      </c>
      <c r="Q265" s="2">
        <v>0</v>
      </c>
      <c r="R265" s="2">
        <v>1622544</v>
      </c>
      <c r="S265" s="2">
        <v>0</v>
      </c>
      <c r="T265" s="2">
        <v>0</v>
      </c>
      <c r="U265" s="2">
        <v>1622544</v>
      </c>
      <c r="W265" t="s">
        <v>29</v>
      </c>
      <c r="X265" s="2">
        <v>0</v>
      </c>
      <c r="Y265" s="2">
        <v>3031920</v>
      </c>
      <c r="Z265" s="2">
        <v>0</v>
      </c>
      <c r="AA265" s="2">
        <v>0</v>
      </c>
      <c r="AB265" s="2">
        <v>3031920</v>
      </c>
      <c r="AD265" t="s">
        <v>29</v>
      </c>
      <c r="AE265" s="2">
        <v>0</v>
      </c>
      <c r="AF265" s="2">
        <v>1984752</v>
      </c>
      <c r="AG265" s="2">
        <v>0</v>
      </c>
      <c r="AH265" s="2">
        <v>0</v>
      </c>
      <c r="AI265" s="2">
        <v>1984752</v>
      </c>
      <c r="AJ265" s="3">
        <v>5016672</v>
      </c>
      <c r="AK265" t="s">
        <v>29</v>
      </c>
      <c r="AL265" s="2">
        <v>0</v>
      </c>
      <c r="AM265" s="2">
        <v>1999045</v>
      </c>
      <c r="AN265" s="2">
        <v>0</v>
      </c>
      <c r="AO265" s="2">
        <v>0</v>
      </c>
      <c r="AP265" s="2">
        <v>1999045</v>
      </c>
    </row>
    <row r="266" spans="2:42" x14ac:dyDescent="0.35">
      <c r="B266" t="s">
        <v>30</v>
      </c>
      <c r="C266" s="2">
        <v>0</v>
      </c>
      <c r="D266" s="2">
        <v>-2279942</v>
      </c>
      <c r="E266" s="2">
        <v>0</v>
      </c>
      <c r="F266" s="2">
        <v>0</v>
      </c>
      <c r="G266" s="2">
        <v>-2279942</v>
      </c>
      <c r="I266" t="s">
        <v>30</v>
      </c>
      <c r="J266" s="2">
        <v>0</v>
      </c>
      <c r="K266" s="2">
        <v>-126982</v>
      </c>
      <c r="L266" s="2">
        <v>0</v>
      </c>
      <c r="M266" s="2">
        <v>0</v>
      </c>
      <c r="N266" s="2">
        <v>-126982</v>
      </c>
      <c r="P266" t="s">
        <v>30</v>
      </c>
      <c r="Q266" s="2">
        <v>0</v>
      </c>
      <c r="R266" s="2">
        <v>-420031</v>
      </c>
      <c r="S266" s="2">
        <v>0</v>
      </c>
      <c r="T266" s="2">
        <v>0</v>
      </c>
      <c r="U266" s="2">
        <v>-420031</v>
      </c>
      <c r="W266" t="s">
        <v>30</v>
      </c>
      <c r="X266" s="2">
        <v>0</v>
      </c>
      <c r="Y266" s="2">
        <v>-547013</v>
      </c>
      <c r="Z266" s="2">
        <v>0</v>
      </c>
      <c r="AA266" s="2">
        <v>0</v>
      </c>
      <c r="AB266" s="2">
        <v>-547013</v>
      </c>
      <c r="AD266" t="s">
        <v>30</v>
      </c>
      <c r="AE266" s="2">
        <v>0</v>
      </c>
      <c r="AF266" s="2">
        <v>-405187</v>
      </c>
      <c r="AG266" s="2">
        <v>0</v>
      </c>
      <c r="AH266" s="2">
        <v>0</v>
      </c>
      <c r="AI266" s="2">
        <v>-405187</v>
      </c>
      <c r="AJ266" s="3">
        <v>-952200</v>
      </c>
      <c r="AK266" t="s">
        <v>30</v>
      </c>
      <c r="AL266" s="2">
        <v>0</v>
      </c>
      <c r="AM266" s="2">
        <v>-1327742</v>
      </c>
      <c r="AN266" s="2">
        <v>0</v>
      </c>
      <c r="AO266" s="2">
        <v>0</v>
      </c>
      <c r="AP266" s="2">
        <v>-1327742</v>
      </c>
    </row>
    <row r="267" spans="2:42" x14ac:dyDescent="0.35">
      <c r="B267" s="19" t="s">
        <v>90</v>
      </c>
      <c r="C267" s="20">
        <v>0</v>
      </c>
      <c r="D267" s="20">
        <v>-265773150</v>
      </c>
      <c r="E267" s="20">
        <v>0</v>
      </c>
      <c r="F267" s="20">
        <v>0</v>
      </c>
      <c r="G267" s="20">
        <v>-265773150</v>
      </c>
      <c r="I267" s="19" t="s">
        <v>90</v>
      </c>
      <c r="J267" s="20">
        <v>0</v>
      </c>
      <c r="K267" s="20">
        <v>-43568846</v>
      </c>
      <c r="L267" s="20">
        <v>0</v>
      </c>
      <c r="M267" s="20">
        <v>0</v>
      </c>
      <c r="N267" s="20">
        <v>-43568846</v>
      </c>
      <c r="P267" s="19" t="s">
        <v>90</v>
      </c>
      <c r="Q267" s="20">
        <v>0</v>
      </c>
      <c r="R267" s="20">
        <v>-59688371</v>
      </c>
      <c r="S267" s="20">
        <v>0</v>
      </c>
      <c r="T267" s="20">
        <v>0</v>
      </c>
      <c r="U267" s="20">
        <v>-59688371</v>
      </c>
      <c r="W267" s="19" t="s">
        <v>90</v>
      </c>
      <c r="X267" s="20">
        <v>0</v>
      </c>
      <c r="Y267" s="20">
        <v>-103257217</v>
      </c>
      <c r="Z267" s="20">
        <v>0</v>
      </c>
      <c r="AA267" s="20">
        <v>0</v>
      </c>
      <c r="AB267" s="20">
        <v>-103257217</v>
      </c>
      <c r="AD267" s="19" t="s">
        <v>90</v>
      </c>
      <c r="AE267" s="20">
        <v>0</v>
      </c>
      <c r="AF267" s="20">
        <v>-77135609</v>
      </c>
      <c r="AG267" s="20">
        <v>0</v>
      </c>
      <c r="AH267" s="20">
        <v>0</v>
      </c>
      <c r="AI267" s="20">
        <v>-77135609</v>
      </c>
      <c r="AJ267" s="3">
        <v>-180392826</v>
      </c>
      <c r="AK267" s="19" t="s">
        <v>90</v>
      </c>
      <c r="AL267" s="20">
        <v>0</v>
      </c>
      <c r="AM267" s="20">
        <v>-85380324</v>
      </c>
      <c r="AN267" s="20">
        <v>0</v>
      </c>
      <c r="AO267" s="20">
        <v>0</v>
      </c>
      <c r="AP267" s="20">
        <v>-85380324</v>
      </c>
    </row>
    <row r="268" spans="2:42" x14ac:dyDescent="0.35">
      <c r="AJ268" s="3">
        <v>0</v>
      </c>
    </row>
    <row r="269" spans="2:42" x14ac:dyDescent="0.35">
      <c r="AJ269" s="3">
        <v>0</v>
      </c>
    </row>
    <row r="270" spans="2:42" x14ac:dyDescent="0.35">
      <c r="B270" s="16" t="s">
        <v>89</v>
      </c>
      <c r="C270" s="17">
        <v>0</v>
      </c>
      <c r="D270" s="17">
        <v>42998367</v>
      </c>
      <c r="E270" s="17">
        <v>2219618.0300000003</v>
      </c>
      <c r="F270" s="17">
        <v>0</v>
      </c>
      <c r="G270" s="17">
        <v>45217985.030000001</v>
      </c>
      <c r="I270" s="16" t="s">
        <v>89</v>
      </c>
      <c r="J270" s="17">
        <v>0</v>
      </c>
      <c r="K270" s="17">
        <v>9767493</v>
      </c>
      <c r="L270" s="17">
        <v>304357</v>
      </c>
      <c r="M270" s="17">
        <v>0</v>
      </c>
      <c r="N270" s="17">
        <v>10071850</v>
      </c>
      <c r="P270" s="16" t="s">
        <v>89</v>
      </c>
      <c r="Q270" s="17">
        <v>0</v>
      </c>
      <c r="R270" s="17">
        <v>10085465</v>
      </c>
      <c r="S270" s="17">
        <v>355864.35</v>
      </c>
      <c r="T270" s="17">
        <v>0</v>
      </c>
      <c r="U270" s="17">
        <v>10441329.35</v>
      </c>
      <c r="W270" s="16" t="s">
        <v>89</v>
      </c>
      <c r="X270" s="17">
        <v>0</v>
      </c>
      <c r="Y270" s="17">
        <v>19852958</v>
      </c>
      <c r="Z270" s="17">
        <v>660221.35</v>
      </c>
      <c r="AA270" s="17">
        <v>0</v>
      </c>
      <c r="AB270" s="17">
        <v>20513179.350000001</v>
      </c>
      <c r="AD270" s="16" t="s">
        <v>89</v>
      </c>
      <c r="AE270" s="17">
        <v>0</v>
      </c>
      <c r="AF270" s="17">
        <v>11167399</v>
      </c>
      <c r="AG270" s="17">
        <v>663073.46000000008</v>
      </c>
      <c r="AH270" s="17">
        <v>0</v>
      </c>
      <c r="AI270" s="17">
        <v>11830472.460000001</v>
      </c>
      <c r="AJ270" s="3">
        <v>32343651.810000002</v>
      </c>
      <c r="AK270" s="16" t="s">
        <v>89</v>
      </c>
      <c r="AL270" s="17">
        <v>0</v>
      </c>
      <c r="AM270" s="17">
        <v>11978010</v>
      </c>
      <c r="AN270" s="17">
        <v>896323.22000000032</v>
      </c>
      <c r="AO270" s="17">
        <v>0</v>
      </c>
      <c r="AP270" s="17">
        <v>12874333.220000001</v>
      </c>
    </row>
    <row r="271" spans="2:42" x14ac:dyDescent="0.35">
      <c r="AJ271" s="3">
        <v>0</v>
      </c>
    </row>
    <row r="272" spans="2:42" x14ac:dyDescent="0.35">
      <c r="AJ272" s="3">
        <v>0</v>
      </c>
    </row>
    <row r="273" spans="2:42" x14ac:dyDescent="0.35">
      <c r="AJ273" s="3">
        <v>0</v>
      </c>
    </row>
    <row r="274" spans="2:42" x14ac:dyDescent="0.35">
      <c r="B274" t="s">
        <v>31</v>
      </c>
      <c r="C274" s="2">
        <v>0</v>
      </c>
      <c r="D274" s="2">
        <v>1223231</v>
      </c>
      <c r="E274" s="2">
        <v>40846965.139999993</v>
      </c>
      <c r="F274" s="2">
        <v>0</v>
      </c>
      <c r="G274" s="2">
        <v>42070196.139999993</v>
      </c>
      <c r="I274" t="s">
        <v>31</v>
      </c>
      <c r="J274" s="2">
        <v>0</v>
      </c>
      <c r="K274" s="2">
        <v>18031</v>
      </c>
      <c r="L274" s="2">
        <v>8332695</v>
      </c>
      <c r="M274" s="2">
        <v>0</v>
      </c>
      <c r="N274" s="2">
        <v>8350726</v>
      </c>
      <c r="P274" t="s">
        <v>31</v>
      </c>
      <c r="Q274" s="2">
        <v>0</v>
      </c>
      <c r="R274" s="2">
        <v>134745</v>
      </c>
      <c r="S274" s="2">
        <v>8257867.8100000024</v>
      </c>
      <c r="T274" s="2">
        <v>0</v>
      </c>
      <c r="U274" s="2">
        <v>8392612.8100000024</v>
      </c>
      <c r="W274" t="s">
        <v>31</v>
      </c>
      <c r="X274" s="2">
        <v>0</v>
      </c>
      <c r="Y274" s="2">
        <v>152776</v>
      </c>
      <c r="Z274" s="2">
        <v>16590562.810000002</v>
      </c>
      <c r="AA274" s="2">
        <v>0</v>
      </c>
      <c r="AB274" s="2">
        <v>16743338.810000002</v>
      </c>
      <c r="AD274" t="s">
        <v>31</v>
      </c>
      <c r="AE274" s="2">
        <v>0</v>
      </c>
      <c r="AF274" s="2">
        <v>22461</v>
      </c>
      <c r="AG274" s="2">
        <v>13123075.669999994</v>
      </c>
      <c r="AH274" s="2">
        <v>0</v>
      </c>
      <c r="AI274" s="2">
        <v>13145536.669999994</v>
      </c>
      <c r="AJ274" s="3">
        <v>29888875.479999997</v>
      </c>
      <c r="AK274" t="s">
        <v>31</v>
      </c>
      <c r="AL274" s="2">
        <v>0</v>
      </c>
      <c r="AM274" s="2">
        <v>1047994</v>
      </c>
      <c r="AN274" s="2">
        <v>11133326.659999996</v>
      </c>
      <c r="AO274" s="2">
        <v>0</v>
      </c>
      <c r="AP274" s="2">
        <v>12181320.659999996</v>
      </c>
    </row>
    <row r="275" spans="2:42" x14ac:dyDescent="0.35">
      <c r="B275" t="s">
        <v>32</v>
      </c>
      <c r="C275" s="2">
        <v>0</v>
      </c>
      <c r="D275" s="2">
        <v>0</v>
      </c>
      <c r="E275" s="2">
        <v>-3983525.034</v>
      </c>
      <c r="F275" s="2">
        <v>0</v>
      </c>
      <c r="G275" s="2">
        <v>-3983525.034</v>
      </c>
      <c r="I275" t="s">
        <v>32</v>
      </c>
      <c r="J275" s="2">
        <v>0</v>
      </c>
      <c r="K275" s="2">
        <v>0</v>
      </c>
      <c r="L275" s="2">
        <v>-262915</v>
      </c>
      <c r="M275" s="2">
        <v>0</v>
      </c>
      <c r="N275" s="2">
        <v>-262915</v>
      </c>
      <c r="P275" t="s">
        <v>32</v>
      </c>
      <c r="Q275" s="2">
        <v>0</v>
      </c>
      <c r="R275" s="2">
        <v>0</v>
      </c>
      <c r="S275" s="2">
        <v>-606005.28399999987</v>
      </c>
      <c r="T275" s="2">
        <v>0</v>
      </c>
      <c r="U275" s="2">
        <v>-606005.28399999987</v>
      </c>
      <c r="W275" t="s">
        <v>32</v>
      </c>
      <c r="X275" s="2">
        <v>0</v>
      </c>
      <c r="Y275" s="2">
        <v>0</v>
      </c>
      <c r="Z275" s="2">
        <v>-868920.28399999987</v>
      </c>
      <c r="AA275" s="2">
        <v>0</v>
      </c>
      <c r="AB275" s="2">
        <v>-868920.28399999987</v>
      </c>
      <c r="AD275" t="s">
        <v>32</v>
      </c>
      <c r="AE275" s="2">
        <v>0</v>
      </c>
      <c r="AF275" s="2">
        <v>0</v>
      </c>
      <c r="AG275" s="2">
        <v>-1039035.7300000001</v>
      </c>
      <c r="AH275" s="2">
        <v>0</v>
      </c>
      <c r="AI275" s="2">
        <v>-1039035.7300000001</v>
      </c>
      <c r="AJ275" s="3">
        <v>-1907956.014</v>
      </c>
      <c r="AK275" t="s">
        <v>32</v>
      </c>
      <c r="AL275" s="2">
        <v>0</v>
      </c>
      <c r="AM275" s="2">
        <v>0</v>
      </c>
      <c r="AN275" s="2">
        <v>-2075569.02</v>
      </c>
      <c r="AO275" s="2">
        <v>0</v>
      </c>
      <c r="AP275" s="2">
        <v>-2075569.02</v>
      </c>
    </row>
    <row r="276" spans="2:42" x14ac:dyDescent="0.35">
      <c r="B276" s="19" t="s">
        <v>33</v>
      </c>
      <c r="C276" s="20">
        <v>0</v>
      </c>
      <c r="D276" s="20">
        <v>1223231</v>
      </c>
      <c r="E276" s="20">
        <v>36863440.105999991</v>
      </c>
      <c r="F276" s="20">
        <v>0</v>
      </c>
      <c r="G276" s="20">
        <v>38086671.105999991</v>
      </c>
      <c r="I276" s="19" t="s">
        <v>33</v>
      </c>
      <c r="J276" s="20">
        <v>0</v>
      </c>
      <c r="K276" s="20">
        <v>18031</v>
      </c>
      <c r="L276" s="20">
        <v>8069780</v>
      </c>
      <c r="M276" s="20">
        <v>0</v>
      </c>
      <c r="N276" s="20">
        <v>8087811</v>
      </c>
      <c r="P276" s="19" t="s">
        <v>33</v>
      </c>
      <c r="Q276" s="20">
        <v>0</v>
      </c>
      <c r="R276" s="20">
        <v>134745</v>
      </c>
      <c r="S276" s="20">
        <v>7651862.5260000024</v>
      </c>
      <c r="T276" s="20">
        <v>0</v>
      </c>
      <c r="U276" s="20">
        <v>7786607.5260000024</v>
      </c>
      <c r="W276" s="19" t="s">
        <v>33</v>
      </c>
      <c r="X276" s="20">
        <v>0</v>
      </c>
      <c r="Y276" s="20">
        <v>152776</v>
      </c>
      <c r="Z276" s="20">
        <v>15721642.526000002</v>
      </c>
      <c r="AA276" s="20">
        <v>0</v>
      </c>
      <c r="AB276" s="20">
        <v>15874418.526000002</v>
      </c>
      <c r="AD276" s="19" t="s">
        <v>33</v>
      </c>
      <c r="AE276" s="20">
        <v>0</v>
      </c>
      <c r="AF276" s="20">
        <v>22461</v>
      </c>
      <c r="AG276" s="20">
        <v>12084039.939999994</v>
      </c>
      <c r="AH276" s="20">
        <v>0</v>
      </c>
      <c r="AI276" s="20">
        <v>12106500.939999994</v>
      </c>
      <c r="AJ276" s="3">
        <v>27980919.465999998</v>
      </c>
      <c r="AK276" s="19" t="s">
        <v>33</v>
      </c>
      <c r="AL276" s="20">
        <v>0</v>
      </c>
      <c r="AM276" s="20">
        <v>1047994</v>
      </c>
      <c r="AN276" s="20">
        <v>9057757.6399999969</v>
      </c>
      <c r="AO276" s="20">
        <v>0</v>
      </c>
      <c r="AP276" s="20">
        <v>10105751.639999997</v>
      </c>
    </row>
    <row r="277" spans="2:42" x14ac:dyDescent="0.35">
      <c r="AJ277" s="3">
        <v>0</v>
      </c>
    </row>
    <row r="278" spans="2:42" x14ac:dyDescent="0.35">
      <c r="AJ278" s="3">
        <v>0</v>
      </c>
    </row>
    <row r="279" spans="2:42" x14ac:dyDescent="0.35">
      <c r="B279" t="s">
        <v>35</v>
      </c>
      <c r="C279" s="2">
        <v>13644226.260000002</v>
      </c>
      <c r="D279" s="2">
        <v>2808643</v>
      </c>
      <c r="E279" s="2">
        <v>0</v>
      </c>
      <c r="F279" s="2">
        <v>2135290.73</v>
      </c>
      <c r="G279" s="2">
        <v>18588159.990000002</v>
      </c>
      <c r="I279" t="s">
        <v>35</v>
      </c>
      <c r="J279" s="2">
        <v>5137770</v>
      </c>
      <c r="K279" s="2">
        <v>407900</v>
      </c>
      <c r="L279" s="2">
        <v>0</v>
      </c>
      <c r="M279" s="2">
        <v>0</v>
      </c>
      <c r="N279" s="2">
        <v>5545670</v>
      </c>
      <c r="P279" t="s">
        <v>35</v>
      </c>
      <c r="Q279" s="2">
        <v>2158279.7799999993</v>
      </c>
      <c r="R279" s="2">
        <v>640926</v>
      </c>
      <c r="S279" s="2">
        <v>0</v>
      </c>
      <c r="T279" s="2">
        <v>0</v>
      </c>
      <c r="U279" s="2">
        <v>2799205.7799999993</v>
      </c>
      <c r="W279" t="s">
        <v>35</v>
      </c>
      <c r="X279" s="2">
        <v>7296049.7799999993</v>
      </c>
      <c r="Y279" s="2">
        <v>1048826</v>
      </c>
      <c r="Z279" s="2">
        <v>0</v>
      </c>
      <c r="AA279" s="2">
        <v>0</v>
      </c>
      <c r="AB279" s="2">
        <v>8344875.7799999993</v>
      </c>
      <c r="AD279" t="s">
        <v>35</v>
      </c>
      <c r="AE279" s="2">
        <v>2871626.870000001</v>
      </c>
      <c r="AF279" s="2">
        <v>381379</v>
      </c>
      <c r="AG279" s="2">
        <v>0</v>
      </c>
      <c r="AH279" s="2">
        <v>0</v>
      </c>
      <c r="AI279" s="2">
        <v>3253005.870000001</v>
      </c>
      <c r="AJ279" s="3">
        <v>11597881.65</v>
      </c>
      <c r="AK279" t="s">
        <v>35</v>
      </c>
      <c r="AL279" s="2">
        <v>3476549.6100000013</v>
      </c>
      <c r="AM279" s="2">
        <v>1378438</v>
      </c>
      <c r="AN279" s="2">
        <v>0</v>
      </c>
      <c r="AO279" s="2">
        <v>2135290.73</v>
      </c>
      <c r="AP279" s="2">
        <v>6990278.3400000017</v>
      </c>
    </row>
    <row r="280" spans="2:42" x14ac:dyDescent="0.35">
      <c r="B280" t="s">
        <v>36</v>
      </c>
      <c r="C280" s="2">
        <v>-13307509.82</v>
      </c>
      <c r="D280" s="2">
        <v>0</v>
      </c>
      <c r="E280" s="2">
        <v>0</v>
      </c>
      <c r="F280" s="2">
        <v>-1312064.8600000001</v>
      </c>
      <c r="G280" s="2">
        <v>-14619574.68</v>
      </c>
      <c r="I280" t="s">
        <v>36</v>
      </c>
      <c r="J280" s="2">
        <v>-1800124</v>
      </c>
      <c r="K280" s="2">
        <v>0</v>
      </c>
      <c r="L280" s="2">
        <v>0</v>
      </c>
      <c r="M280" s="2">
        <v>0</v>
      </c>
      <c r="N280" s="2">
        <v>-1800124</v>
      </c>
      <c r="P280" t="s">
        <v>36</v>
      </c>
      <c r="Q280" s="2">
        <v>-3545730.05</v>
      </c>
      <c r="R280" s="2">
        <v>0</v>
      </c>
      <c r="S280" s="2">
        <v>0</v>
      </c>
      <c r="T280" s="2">
        <v>0</v>
      </c>
      <c r="U280" s="2">
        <v>-3545730.05</v>
      </c>
      <c r="W280" t="s">
        <v>36</v>
      </c>
      <c r="X280" s="2">
        <v>-5345854.05</v>
      </c>
      <c r="Y280" s="2">
        <v>0</v>
      </c>
      <c r="Z280" s="2">
        <v>0</v>
      </c>
      <c r="AA280" s="2">
        <v>0</v>
      </c>
      <c r="AB280" s="2">
        <v>-5345854.05</v>
      </c>
      <c r="AD280" t="s">
        <v>36</v>
      </c>
      <c r="AE280" s="2">
        <v>-3381684.6599999974</v>
      </c>
      <c r="AF280" s="2">
        <v>0</v>
      </c>
      <c r="AG280" s="2">
        <v>0</v>
      </c>
      <c r="AH280" s="2">
        <v>0</v>
      </c>
      <c r="AI280" s="2">
        <v>-3381684.6599999974</v>
      </c>
      <c r="AJ280" s="3">
        <v>-8727538.7099999972</v>
      </c>
      <c r="AK280" t="s">
        <v>36</v>
      </c>
      <c r="AL280" s="2">
        <v>-4579971.1100000041</v>
      </c>
      <c r="AM280" s="2">
        <v>0</v>
      </c>
      <c r="AN280" s="2">
        <v>0</v>
      </c>
      <c r="AO280" s="2">
        <v>-1312064.8600000001</v>
      </c>
      <c r="AP280" s="2">
        <v>-5892035.9700000044</v>
      </c>
    </row>
    <row r="281" spans="2:42" x14ac:dyDescent="0.35">
      <c r="B281" s="19" t="s">
        <v>37</v>
      </c>
      <c r="C281" s="20">
        <v>336716.44000000134</v>
      </c>
      <c r="D281" s="20">
        <v>2808643</v>
      </c>
      <c r="E281" s="20">
        <v>0</v>
      </c>
      <c r="F281" s="20">
        <v>823225.86999999988</v>
      </c>
      <c r="G281" s="20">
        <v>3968585.3100000024</v>
      </c>
      <c r="I281" s="19" t="s">
        <v>37</v>
      </c>
      <c r="J281" s="20">
        <v>3337646</v>
      </c>
      <c r="K281" s="20">
        <v>407900</v>
      </c>
      <c r="L281" s="20">
        <v>0</v>
      </c>
      <c r="M281" s="20">
        <v>0</v>
      </c>
      <c r="N281" s="20">
        <v>3745546</v>
      </c>
      <c r="P281" s="19" t="s">
        <v>37</v>
      </c>
      <c r="Q281" s="20">
        <v>-1387450.2700000005</v>
      </c>
      <c r="R281" s="20">
        <v>640926</v>
      </c>
      <c r="S281" s="20">
        <v>0</v>
      </c>
      <c r="T281" s="20">
        <v>0</v>
      </c>
      <c r="U281" s="20">
        <v>-746524.27000000048</v>
      </c>
      <c r="W281" s="19" t="s">
        <v>37</v>
      </c>
      <c r="X281" s="20">
        <v>1950195.7299999995</v>
      </c>
      <c r="Y281" s="20">
        <v>1048826</v>
      </c>
      <c r="Z281" s="20">
        <v>0</v>
      </c>
      <c r="AA281" s="20">
        <v>0</v>
      </c>
      <c r="AB281" s="20">
        <v>2999021.7299999995</v>
      </c>
      <c r="AD281" s="19" t="s">
        <v>37</v>
      </c>
      <c r="AE281" s="20">
        <v>-510057.78999999631</v>
      </c>
      <c r="AF281" s="20">
        <v>381379</v>
      </c>
      <c r="AG281" s="20">
        <v>0</v>
      </c>
      <c r="AH281" s="20">
        <v>0</v>
      </c>
      <c r="AI281" s="20">
        <v>-128678.78999999631</v>
      </c>
      <c r="AJ281" s="3">
        <v>2870342.9400000032</v>
      </c>
      <c r="AK281" s="19" t="s">
        <v>37</v>
      </c>
      <c r="AL281" s="20">
        <v>-1103421.5000000028</v>
      </c>
      <c r="AM281" s="20">
        <v>1378438</v>
      </c>
      <c r="AN281" s="20">
        <v>0</v>
      </c>
      <c r="AO281" s="20">
        <v>823225.86999999988</v>
      </c>
      <c r="AP281" s="20">
        <v>1098242.3699999973</v>
      </c>
    </row>
    <row r="282" spans="2:42" x14ac:dyDescent="0.35">
      <c r="AJ282" s="3">
        <v>0</v>
      </c>
    </row>
    <row r="283" spans="2:42" x14ac:dyDescent="0.35">
      <c r="C283" s="2"/>
      <c r="D283" s="2"/>
      <c r="E283" s="2"/>
      <c r="F283" s="2"/>
      <c r="G283" s="2"/>
      <c r="J283" s="2"/>
      <c r="K283" s="2"/>
      <c r="L283" s="2"/>
      <c r="M283" s="2"/>
      <c r="N283" s="2"/>
      <c r="Q283" s="2"/>
      <c r="R283" s="2"/>
      <c r="S283" s="2"/>
      <c r="T283" s="2"/>
      <c r="U283" s="2"/>
      <c r="X283" s="2"/>
      <c r="Y283" s="2"/>
      <c r="Z283" s="2"/>
      <c r="AA283" s="2"/>
      <c r="AB283" s="2"/>
      <c r="AE283" s="2"/>
      <c r="AF283" s="2"/>
      <c r="AG283" s="2"/>
      <c r="AH283" s="2"/>
      <c r="AI283" s="2"/>
      <c r="AJ283" s="3">
        <v>0</v>
      </c>
      <c r="AL283" s="2"/>
      <c r="AM283" s="2"/>
      <c r="AN283" s="2"/>
      <c r="AO283" s="2"/>
      <c r="AP283" s="2"/>
    </row>
    <row r="284" spans="2:42" x14ac:dyDescent="0.35">
      <c r="B284" t="s">
        <v>38</v>
      </c>
      <c r="C284" s="2">
        <v>-54846390.220000006</v>
      </c>
      <c r="D284" s="2">
        <v>-7967229</v>
      </c>
      <c r="E284" s="2">
        <v>-867967.75500000012</v>
      </c>
      <c r="F284" s="2">
        <v>-111288.44</v>
      </c>
      <c r="G284" s="2">
        <v>-63792875.415000007</v>
      </c>
      <c r="I284" t="s">
        <v>38</v>
      </c>
      <c r="J284" s="2">
        <v>-11451534</v>
      </c>
      <c r="K284" s="2">
        <v>-2248545</v>
      </c>
      <c r="L284" s="2">
        <v>-203722</v>
      </c>
      <c r="M284" s="2">
        <v>0</v>
      </c>
      <c r="N284" s="2">
        <v>-13903801</v>
      </c>
      <c r="P284" t="s">
        <v>38</v>
      </c>
      <c r="Q284" s="2">
        <v>-12721017.200000003</v>
      </c>
      <c r="R284" s="2">
        <v>-2560307</v>
      </c>
      <c r="S284" s="2">
        <v>-212927.15000000002</v>
      </c>
      <c r="T284" s="2">
        <v>0</v>
      </c>
      <c r="U284" s="2">
        <v>-15494251.350000003</v>
      </c>
      <c r="W284" t="s">
        <v>38</v>
      </c>
      <c r="X284" s="2">
        <v>-24172551.200000003</v>
      </c>
      <c r="Y284" s="2">
        <v>-4808852</v>
      </c>
      <c r="Z284" s="2">
        <v>-416649.15</v>
      </c>
      <c r="AA284" s="2">
        <v>0</v>
      </c>
      <c r="AB284" s="2">
        <v>-29398052.350000001</v>
      </c>
      <c r="AD284" t="s">
        <v>38</v>
      </c>
      <c r="AE284" s="2">
        <v>-14018907.430000007</v>
      </c>
      <c r="AF284" s="2">
        <v>-1508666</v>
      </c>
      <c r="AG284" s="2">
        <v>-220629.82499999995</v>
      </c>
      <c r="AH284" s="2">
        <v>0</v>
      </c>
      <c r="AI284" s="2">
        <v>-15748203.255000006</v>
      </c>
      <c r="AJ284" s="3">
        <v>-45146255.605000004</v>
      </c>
      <c r="AK284" t="s">
        <v>38</v>
      </c>
      <c r="AL284" s="2">
        <v>-16654931.589999996</v>
      </c>
      <c r="AM284" s="2">
        <v>-1649711</v>
      </c>
      <c r="AN284" s="2">
        <v>-230688.78000000014</v>
      </c>
      <c r="AO284" s="2">
        <v>-111288.44</v>
      </c>
      <c r="AP284" s="2">
        <v>-18646619.809999999</v>
      </c>
    </row>
    <row r="285" spans="2:42" x14ac:dyDescent="0.35">
      <c r="B285" t="s">
        <v>78</v>
      </c>
      <c r="C285" s="2">
        <v>-299693357.03000003</v>
      </c>
      <c r="D285" s="2">
        <v>-47167234</v>
      </c>
      <c r="E285" s="2">
        <v>-9397216.7770000007</v>
      </c>
      <c r="F285" s="2">
        <v>-7376483.9000000013</v>
      </c>
      <c r="G285" s="2">
        <v>-363634291.70700002</v>
      </c>
      <c r="I285" t="s">
        <v>78</v>
      </c>
      <c r="J285" s="2">
        <v>-71992970</v>
      </c>
      <c r="K285" s="2">
        <v>-15199218</v>
      </c>
      <c r="L285" s="2">
        <v>-2029092</v>
      </c>
      <c r="M285" s="2">
        <v>0</v>
      </c>
      <c r="N285" s="2">
        <v>-89221280</v>
      </c>
      <c r="P285" t="s">
        <v>78</v>
      </c>
      <c r="Q285" s="2">
        <v>-74600217.480000019</v>
      </c>
      <c r="R285" s="2">
        <v>-9729653</v>
      </c>
      <c r="S285" s="2">
        <v>-2302952.0939999996</v>
      </c>
      <c r="T285" s="2">
        <v>0</v>
      </c>
      <c r="U285" s="2">
        <v>-86632822.574000016</v>
      </c>
      <c r="W285" t="s">
        <v>78</v>
      </c>
      <c r="X285" s="2">
        <v>-146593187.48000002</v>
      </c>
      <c r="Y285" s="2">
        <v>-24928871</v>
      </c>
      <c r="Z285" s="2">
        <v>-4332044.0939999996</v>
      </c>
      <c r="AA285" s="2">
        <v>0</v>
      </c>
      <c r="AB285" s="2">
        <v>-175854102.57400003</v>
      </c>
      <c r="AD285" t="s">
        <v>78</v>
      </c>
      <c r="AE285" s="2">
        <v>-77531255.560000002</v>
      </c>
      <c r="AF285" s="2">
        <v>-10346534</v>
      </c>
      <c r="AG285" s="2">
        <v>-2382419.1770000001</v>
      </c>
      <c r="AH285" s="2">
        <v>0</v>
      </c>
      <c r="AI285" s="2">
        <v>-90260208.737000003</v>
      </c>
      <c r="AJ285" s="3">
        <v>-266114311.31100005</v>
      </c>
      <c r="AK285" t="s">
        <v>78</v>
      </c>
      <c r="AL285" s="2">
        <v>-75568913.99000001</v>
      </c>
      <c r="AM285" s="2">
        <v>-11891829</v>
      </c>
      <c r="AN285" s="2">
        <v>-2682753.506000001</v>
      </c>
      <c r="AO285" s="2">
        <v>-7376483.9000000013</v>
      </c>
      <c r="AP285" s="2">
        <v>-97519980.396000013</v>
      </c>
    </row>
    <row r="286" spans="2:42" x14ac:dyDescent="0.35">
      <c r="B286" t="s">
        <v>39</v>
      </c>
      <c r="C286" s="2">
        <v>-66770693.11999999</v>
      </c>
      <c r="D286" s="2">
        <v>-8514585</v>
      </c>
      <c r="E286" s="2">
        <v>-1927516.9670000002</v>
      </c>
      <c r="F286" s="2">
        <v>-3105242.6300000004</v>
      </c>
      <c r="G286" s="2">
        <v>-80318037.716999978</v>
      </c>
      <c r="I286" t="s">
        <v>39</v>
      </c>
      <c r="J286" s="2">
        <v>-16625558.85</v>
      </c>
      <c r="K286" s="2">
        <v>-2358142</v>
      </c>
      <c r="L286" s="2">
        <v>-811274</v>
      </c>
      <c r="M286" s="2">
        <v>0</v>
      </c>
      <c r="N286" s="2">
        <v>-19794974.850000001</v>
      </c>
      <c r="P286" t="s">
        <v>39</v>
      </c>
      <c r="Q286" s="2">
        <v>-18412285.000000015</v>
      </c>
      <c r="R286" s="2">
        <v>-1757079</v>
      </c>
      <c r="S286" s="2">
        <v>-382295.73699999996</v>
      </c>
      <c r="T286" s="2">
        <v>0</v>
      </c>
      <c r="U286" s="2">
        <v>-20551659.737000015</v>
      </c>
      <c r="W286" t="s">
        <v>39</v>
      </c>
      <c r="X286" s="2">
        <v>-35037843.850000016</v>
      </c>
      <c r="Y286" s="2">
        <v>-4115221</v>
      </c>
      <c r="Z286" s="2">
        <v>-1193569.737</v>
      </c>
      <c r="AA286" s="2">
        <v>0</v>
      </c>
      <c r="AB286" s="2">
        <v>-40346634.58700002</v>
      </c>
      <c r="AD286" t="s">
        <v>39</v>
      </c>
      <c r="AE286" s="2">
        <v>-20676506.089999974</v>
      </c>
      <c r="AF286" s="2">
        <v>-2422012</v>
      </c>
      <c r="AG286" s="2">
        <v>-401641.39999999991</v>
      </c>
      <c r="AH286" s="2">
        <v>0</v>
      </c>
      <c r="AI286" s="2">
        <v>-23500159.489999972</v>
      </c>
      <c r="AJ286" s="3">
        <v>-63846794.076999992</v>
      </c>
      <c r="AK286" t="s">
        <v>39</v>
      </c>
      <c r="AL286" s="2">
        <v>-11056343.18</v>
      </c>
      <c r="AM286" s="2">
        <v>-1977352</v>
      </c>
      <c r="AN286" s="2">
        <v>-332305.83000000031</v>
      </c>
      <c r="AO286" s="2">
        <v>-3105242.6300000004</v>
      </c>
      <c r="AP286" s="2">
        <v>-16471243.640000001</v>
      </c>
    </row>
    <row r="287" spans="2:42" x14ac:dyDescent="0.35">
      <c r="B287" t="s">
        <v>40</v>
      </c>
      <c r="C287" s="2">
        <v>-28579357.060000002</v>
      </c>
      <c r="D287" s="2">
        <v>-1098227</v>
      </c>
      <c r="E287" s="2">
        <v>-185120</v>
      </c>
      <c r="F287" s="2">
        <v>-3190032.4</v>
      </c>
      <c r="G287" s="2">
        <v>-33052736.460000001</v>
      </c>
      <c r="I287" t="s">
        <v>40</v>
      </c>
      <c r="J287" s="2">
        <v>-2931873</v>
      </c>
      <c r="K287" s="2">
        <v>-162952</v>
      </c>
      <c r="L287" s="2">
        <v>-161120</v>
      </c>
      <c r="M287" s="2">
        <v>0</v>
      </c>
      <c r="N287" s="2">
        <v>-3255945</v>
      </c>
      <c r="P287" t="s">
        <v>40</v>
      </c>
      <c r="Q287" s="2">
        <v>-5813900.620000001</v>
      </c>
      <c r="R287" s="2">
        <v>-241314</v>
      </c>
      <c r="S287" s="2">
        <v>0</v>
      </c>
      <c r="T287" s="2">
        <v>0</v>
      </c>
      <c r="U287" s="2">
        <v>-6055214.620000001</v>
      </c>
      <c r="W287" t="s">
        <v>40</v>
      </c>
      <c r="X287" s="2">
        <v>-8745773.620000001</v>
      </c>
      <c r="Y287" s="2">
        <v>-404266</v>
      </c>
      <c r="Z287" s="2">
        <v>-161120</v>
      </c>
      <c r="AA287" s="2">
        <v>0</v>
      </c>
      <c r="AB287" s="2">
        <v>-9311159.620000001</v>
      </c>
      <c r="AD287" t="s">
        <v>40</v>
      </c>
      <c r="AE287" s="2">
        <v>-11794013.919999998</v>
      </c>
      <c r="AF287" s="2">
        <v>-415921</v>
      </c>
      <c r="AG287" s="2">
        <v>-1000</v>
      </c>
      <c r="AH287" s="2">
        <v>0</v>
      </c>
      <c r="AI287" s="2">
        <v>-12210934.919999998</v>
      </c>
      <c r="AJ287" s="3">
        <v>-21522094.539999999</v>
      </c>
      <c r="AK287" t="s">
        <v>40</v>
      </c>
      <c r="AL287" s="2">
        <v>-8039569.5200000033</v>
      </c>
      <c r="AM287" s="2">
        <v>-278040</v>
      </c>
      <c r="AN287" s="2">
        <v>-23000</v>
      </c>
      <c r="AO287" s="2">
        <v>-3190032.4</v>
      </c>
      <c r="AP287" s="2">
        <v>-11530641.920000004</v>
      </c>
    </row>
    <row r="288" spans="2:42" x14ac:dyDescent="0.35">
      <c r="B288" t="s">
        <v>41</v>
      </c>
      <c r="C288" s="2">
        <v>10086471.5</v>
      </c>
      <c r="D288" s="2">
        <v>0</v>
      </c>
      <c r="E288" s="2">
        <v>0</v>
      </c>
      <c r="F288" s="2">
        <v>0</v>
      </c>
      <c r="G288" s="2">
        <v>10086471.5</v>
      </c>
      <c r="I288" t="s">
        <v>41</v>
      </c>
      <c r="J288" s="2">
        <v>3000000</v>
      </c>
      <c r="K288" s="2">
        <v>0</v>
      </c>
      <c r="L288" s="2">
        <v>0</v>
      </c>
      <c r="M288" s="2">
        <v>0</v>
      </c>
      <c r="N288" s="2">
        <v>3000000</v>
      </c>
      <c r="P288" t="s">
        <v>41</v>
      </c>
      <c r="Q288" s="2">
        <v>1924864</v>
      </c>
      <c r="R288" s="2">
        <v>0</v>
      </c>
      <c r="S288" s="2">
        <v>0</v>
      </c>
      <c r="T288" s="2">
        <v>0</v>
      </c>
      <c r="U288" s="2">
        <v>1924864</v>
      </c>
      <c r="W288" t="s">
        <v>41</v>
      </c>
      <c r="X288" s="2">
        <v>4924864</v>
      </c>
      <c r="Y288" s="2">
        <v>0</v>
      </c>
      <c r="Z288" s="2">
        <v>0</v>
      </c>
      <c r="AA288" s="2">
        <v>0</v>
      </c>
      <c r="AB288" s="2">
        <v>4924864</v>
      </c>
      <c r="AD288" t="s">
        <v>41</v>
      </c>
      <c r="AE288" s="2">
        <v>3894980</v>
      </c>
      <c r="AF288" s="2">
        <v>0</v>
      </c>
      <c r="AG288" s="2">
        <v>0</v>
      </c>
      <c r="AH288" s="2">
        <v>0</v>
      </c>
      <c r="AI288" s="2">
        <v>3894980</v>
      </c>
      <c r="AJ288" s="3">
        <v>8819844</v>
      </c>
      <c r="AK288" t="s">
        <v>41</v>
      </c>
      <c r="AL288" s="2">
        <v>1266627.5</v>
      </c>
      <c r="AM288" s="2">
        <v>0</v>
      </c>
      <c r="AN288" s="2">
        <v>0</v>
      </c>
      <c r="AO288" s="2">
        <v>0</v>
      </c>
      <c r="AP288" s="2">
        <v>1266627.5</v>
      </c>
    </row>
    <row r="289" spans="2:43" x14ac:dyDescent="0.35">
      <c r="B289" t="s">
        <v>42</v>
      </c>
      <c r="C289" s="2">
        <v>-21899370.170000002</v>
      </c>
      <c r="D289" s="2">
        <v>-1127130</v>
      </c>
      <c r="E289" s="2">
        <v>-148008.85999999999</v>
      </c>
      <c r="F289" s="2">
        <v>0</v>
      </c>
      <c r="G289" s="2">
        <v>-23174509.030000001</v>
      </c>
      <c r="I289" t="s">
        <v>42</v>
      </c>
      <c r="J289" s="2">
        <v>-586174</v>
      </c>
      <c r="K289" s="2">
        <v>-471247</v>
      </c>
      <c r="L289" s="2">
        <v>-27011</v>
      </c>
      <c r="M289" s="2">
        <v>0</v>
      </c>
      <c r="N289" s="2">
        <v>-1084432</v>
      </c>
      <c r="P289" t="s">
        <v>42</v>
      </c>
      <c r="Q289" s="2">
        <v>-6170848.0299999993</v>
      </c>
      <c r="R289" s="2">
        <v>66007</v>
      </c>
      <c r="S289" s="2">
        <v>-41379.880000000005</v>
      </c>
      <c r="T289" s="2">
        <v>0</v>
      </c>
      <c r="U289" s="2">
        <v>-6146220.9099999992</v>
      </c>
      <c r="W289" t="s">
        <v>42</v>
      </c>
      <c r="X289" s="2">
        <v>-6757022.0299999993</v>
      </c>
      <c r="Y289" s="2">
        <v>-405240</v>
      </c>
      <c r="Z289" s="2">
        <v>-68390.880000000005</v>
      </c>
      <c r="AA289" s="2">
        <v>0</v>
      </c>
      <c r="AB289" s="2">
        <v>-7230652.9099999992</v>
      </c>
      <c r="AD289" t="s">
        <v>42</v>
      </c>
      <c r="AE289" s="2">
        <v>-9920296.8200000003</v>
      </c>
      <c r="AF289" s="2">
        <v>-374257</v>
      </c>
      <c r="AG289" s="2">
        <v>-40502.83</v>
      </c>
      <c r="AH289" s="2">
        <v>0</v>
      </c>
      <c r="AI289" s="2">
        <v>-10335056.65</v>
      </c>
      <c r="AJ289" s="3">
        <v>-17565709.559999999</v>
      </c>
      <c r="AK289" t="s">
        <v>42</v>
      </c>
      <c r="AL289" s="2">
        <v>-5222051.3200000022</v>
      </c>
      <c r="AM289" s="2">
        <v>-347633</v>
      </c>
      <c r="AN289" s="2">
        <v>-39115.14999999998</v>
      </c>
      <c r="AO289" s="2">
        <v>0</v>
      </c>
      <c r="AP289" s="2">
        <v>-5608799.4700000025</v>
      </c>
    </row>
    <row r="290" spans="2:43" x14ac:dyDescent="0.35">
      <c r="B290" t="s">
        <v>4</v>
      </c>
      <c r="C290" s="2">
        <v>0.18</v>
      </c>
      <c r="D290" s="2">
        <v>82178</v>
      </c>
      <c r="E290" s="2">
        <v>0</v>
      </c>
      <c r="F290" s="2">
        <v>0</v>
      </c>
      <c r="G290" s="2">
        <v>82178.179999999993</v>
      </c>
      <c r="I290" t="s">
        <v>4</v>
      </c>
      <c r="J290" s="2">
        <v>0</v>
      </c>
      <c r="K290" s="2">
        <v>56717</v>
      </c>
      <c r="L290" s="2">
        <v>0</v>
      </c>
      <c r="M290" s="2">
        <v>0</v>
      </c>
      <c r="N290" s="2">
        <v>56717</v>
      </c>
      <c r="P290" t="s">
        <v>4</v>
      </c>
      <c r="Q290" s="2">
        <v>0</v>
      </c>
      <c r="R290" s="2">
        <v>47849</v>
      </c>
      <c r="S290" s="2">
        <v>0</v>
      </c>
      <c r="T290" s="2">
        <v>0</v>
      </c>
      <c r="U290" s="2">
        <v>47849</v>
      </c>
      <c r="W290" t="s">
        <v>4</v>
      </c>
      <c r="X290" s="2">
        <v>0</v>
      </c>
      <c r="Y290" s="2">
        <v>104566</v>
      </c>
      <c r="Z290" s="2">
        <v>0</v>
      </c>
      <c r="AA290" s="2">
        <v>0</v>
      </c>
      <c r="AB290" s="2">
        <v>104566</v>
      </c>
      <c r="AD290" t="s">
        <v>4</v>
      </c>
      <c r="AE290" s="2">
        <v>0</v>
      </c>
      <c r="AF290" s="2">
        <v>20209</v>
      </c>
      <c r="AG290" s="2">
        <v>0</v>
      </c>
      <c r="AH290" s="2">
        <v>0</v>
      </c>
      <c r="AI290" s="2">
        <v>20209</v>
      </c>
      <c r="AJ290" s="3">
        <v>124775</v>
      </c>
      <c r="AK290" t="s">
        <v>4</v>
      </c>
      <c r="AL290" s="2">
        <v>0.18</v>
      </c>
      <c r="AM290" s="2">
        <v>-42597</v>
      </c>
      <c r="AN290" s="2">
        <v>0</v>
      </c>
      <c r="AO290" s="2">
        <v>0</v>
      </c>
      <c r="AP290" s="2">
        <v>-42596.82</v>
      </c>
    </row>
    <row r="291" spans="2:43" x14ac:dyDescent="0.35">
      <c r="B291" t="s">
        <v>5</v>
      </c>
      <c r="C291" s="2">
        <v>-964000</v>
      </c>
      <c r="D291" s="2">
        <v>0</v>
      </c>
      <c r="E291" s="2">
        <v>0</v>
      </c>
      <c r="F291" s="2">
        <v>0</v>
      </c>
      <c r="G291" s="2">
        <v>-964000</v>
      </c>
      <c r="I291" t="s">
        <v>5</v>
      </c>
      <c r="J291" s="2">
        <v>-319000</v>
      </c>
      <c r="K291" s="2">
        <v>0</v>
      </c>
      <c r="L291" s="2">
        <v>0</v>
      </c>
      <c r="M291" s="2">
        <v>0</v>
      </c>
      <c r="N291" s="2">
        <v>-319000</v>
      </c>
      <c r="P291" t="s">
        <v>5</v>
      </c>
      <c r="Q291" s="2">
        <v>-206000</v>
      </c>
      <c r="R291" s="2">
        <v>0</v>
      </c>
      <c r="S291" s="2">
        <v>0</v>
      </c>
      <c r="T291" s="2">
        <v>0</v>
      </c>
      <c r="U291" s="2">
        <v>-206000</v>
      </c>
      <c r="W291" t="s">
        <v>5</v>
      </c>
      <c r="X291" s="2">
        <v>-525000</v>
      </c>
      <c r="Y291" s="2">
        <v>0</v>
      </c>
      <c r="Z291" s="2">
        <v>0</v>
      </c>
      <c r="AA291" s="2">
        <v>0</v>
      </c>
      <c r="AB291" s="2">
        <v>-525000</v>
      </c>
      <c r="AD291" t="s">
        <v>5</v>
      </c>
      <c r="AE291" s="2">
        <v>-164000</v>
      </c>
      <c r="AF291" s="2">
        <v>0</v>
      </c>
      <c r="AG291" s="2">
        <v>0</v>
      </c>
      <c r="AH291" s="2">
        <v>0</v>
      </c>
      <c r="AI291" s="2">
        <v>-164000</v>
      </c>
      <c r="AJ291" s="3">
        <v>-689000</v>
      </c>
      <c r="AK291" t="s">
        <v>5</v>
      </c>
      <c r="AL291" s="2">
        <v>-275000</v>
      </c>
      <c r="AM291" s="2">
        <v>0</v>
      </c>
      <c r="AN291" s="2">
        <v>0</v>
      </c>
      <c r="AO291" s="2">
        <v>0</v>
      </c>
      <c r="AP291" s="2">
        <v>-275000</v>
      </c>
    </row>
    <row r="292" spans="2:43" x14ac:dyDescent="0.35">
      <c r="B292" t="s">
        <v>182</v>
      </c>
      <c r="C292" s="2">
        <v>-6009794.2400000002</v>
      </c>
      <c r="D292" s="2">
        <v>-2547097</v>
      </c>
      <c r="E292" s="2">
        <v>-2796163.91</v>
      </c>
      <c r="F292" s="2">
        <v>-648.67000000000007</v>
      </c>
      <c r="G292" s="2">
        <v>-11353703.82</v>
      </c>
      <c r="I292" t="s">
        <v>182</v>
      </c>
      <c r="J292" s="2">
        <v>927206</v>
      </c>
      <c r="K292" s="2">
        <v>-2726193</v>
      </c>
      <c r="L292" s="2">
        <v>-2278208</v>
      </c>
      <c r="M292" s="2">
        <v>0</v>
      </c>
      <c r="N292" s="2">
        <v>-4077195</v>
      </c>
      <c r="P292" t="s">
        <v>182</v>
      </c>
      <c r="Q292" s="2">
        <v>321441.7900000005</v>
      </c>
      <c r="R292" s="2">
        <v>474579</v>
      </c>
      <c r="S292" s="2">
        <v>671379.24000000022</v>
      </c>
      <c r="T292" s="2">
        <v>0</v>
      </c>
      <c r="U292" s="2">
        <v>1467400.0300000007</v>
      </c>
      <c r="W292" t="s">
        <v>182</v>
      </c>
      <c r="X292" s="2">
        <v>1248647.7900000005</v>
      </c>
      <c r="Y292" s="2">
        <v>-2251614</v>
      </c>
      <c r="Z292" s="2">
        <v>-1606828.7599999998</v>
      </c>
      <c r="AA292" s="2">
        <v>0</v>
      </c>
      <c r="AB292" s="2">
        <v>-2609794.9699999993</v>
      </c>
      <c r="AD292" t="s">
        <v>182</v>
      </c>
      <c r="AE292" s="2">
        <v>-9419420.4900000002</v>
      </c>
      <c r="AF292" s="2">
        <v>1890524.2035119</v>
      </c>
      <c r="AG292" s="2">
        <v>-455603</v>
      </c>
      <c r="AH292" s="2">
        <v>0</v>
      </c>
      <c r="AI292" s="2">
        <v>-7984499.2864881</v>
      </c>
      <c r="AJ292" s="3">
        <v>-10594294.2564881</v>
      </c>
      <c r="AK292" t="s">
        <v>182</v>
      </c>
      <c r="AL292" s="2">
        <v>2160978.4599999995</v>
      </c>
      <c r="AM292" s="2">
        <v>-2186007.2035119003</v>
      </c>
      <c r="AN292" s="2">
        <v>-733732.15000000037</v>
      </c>
      <c r="AO292" s="2">
        <v>-648.67000000000007</v>
      </c>
      <c r="AP292" s="2">
        <v>-759409.56351190119</v>
      </c>
    </row>
    <row r="293" spans="2:43" x14ac:dyDescent="0.35">
      <c r="B293" s="19" t="s">
        <v>11</v>
      </c>
      <c r="C293" s="20">
        <v>-468676490.16000009</v>
      </c>
      <c r="D293" s="20">
        <v>-68339324</v>
      </c>
      <c r="E293" s="20">
        <v>-15321994.269000001</v>
      </c>
      <c r="F293" s="20">
        <v>-13783696.040000003</v>
      </c>
      <c r="G293" s="20">
        <v>-566121504.4690001</v>
      </c>
      <c r="I293" s="19" t="s">
        <v>11</v>
      </c>
      <c r="J293" s="20">
        <v>-99979903.849999994</v>
      </c>
      <c r="K293" s="20">
        <v>-23109580</v>
      </c>
      <c r="L293" s="20">
        <v>-5510427</v>
      </c>
      <c r="M293" s="20">
        <v>0</v>
      </c>
      <c r="N293" s="20">
        <v>-128599910.84999999</v>
      </c>
      <c r="P293" s="19" t="s">
        <v>11</v>
      </c>
      <c r="Q293" s="20">
        <v>-115677962.54000004</v>
      </c>
      <c r="R293" s="20">
        <v>-13699918</v>
      </c>
      <c r="S293" s="20">
        <v>-2268175.6209999993</v>
      </c>
      <c r="T293" s="20">
        <v>0</v>
      </c>
      <c r="U293" s="20">
        <v>-131646056.16100004</v>
      </c>
      <c r="W293" s="19" t="s">
        <v>11</v>
      </c>
      <c r="X293" s="20">
        <v>-215657866.39000005</v>
      </c>
      <c r="Y293" s="20">
        <v>-36809498</v>
      </c>
      <c r="Z293" s="20">
        <v>-7778602.6209999993</v>
      </c>
      <c r="AA293" s="20">
        <v>0</v>
      </c>
      <c r="AB293" s="20">
        <v>-260245967.01100004</v>
      </c>
      <c r="AD293" s="19" t="s">
        <v>11</v>
      </c>
      <c r="AE293" s="20">
        <v>-139629420.31</v>
      </c>
      <c r="AF293" s="20">
        <v>-13156656.796488101</v>
      </c>
      <c r="AG293" s="20">
        <v>-3501796.2320000003</v>
      </c>
      <c r="AH293" s="20">
        <v>0</v>
      </c>
      <c r="AI293" s="20">
        <v>-156287873.33848807</v>
      </c>
      <c r="AJ293" s="3">
        <v>-416533840.34948814</v>
      </c>
      <c r="AK293" s="19" t="s">
        <v>11</v>
      </c>
      <c r="AL293" s="20">
        <v>-113389203.46000004</v>
      </c>
      <c r="AM293" s="20">
        <v>-18373169.203511901</v>
      </c>
      <c r="AN293" s="20">
        <v>-4041595.4160000016</v>
      </c>
      <c r="AO293" s="20">
        <v>-13783696.040000003</v>
      </c>
      <c r="AP293" s="20">
        <v>-149587664.11951193</v>
      </c>
    </row>
    <row r="294" spans="2:43" x14ac:dyDescent="0.35">
      <c r="AJ294" s="3">
        <v>0</v>
      </c>
    </row>
    <row r="295" spans="2:43" x14ac:dyDescent="0.35">
      <c r="AJ295" s="3">
        <v>0</v>
      </c>
    </row>
    <row r="296" spans="2:43" x14ac:dyDescent="0.35">
      <c r="B296" s="11" t="s">
        <v>43</v>
      </c>
      <c r="C296" s="4">
        <v>619760522.79245996</v>
      </c>
      <c r="D296" s="4">
        <v>30952899</v>
      </c>
      <c r="E296" s="4">
        <v>23761063.866999991</v>
      </c>
      <c r="F296" s="4">
        <v>-12385234.570000004</v>
      </c>
      <c r="G296" s="4">
        <v>662089251.0894599</v>
      </c>
      <c r="I296" s="11" t="s">
        <v>43</v>
      </c>
      <c r="J296" s="4">
        <v>135611247.90630001</v>
      </c>
      <c r="K296" s="4">
        <v>15409806</v>
      </c>
      <c r="L296" s="4">
        <v>2863710</v>
      </c>
      <c r="M296" s="4">
        <v>0</v>
      </c>
      <c r="N296" s="4">
        <v>153884763.90630001</v>
      </c>
      <c r="P296" s="11" t="s">
        <v>43</v>
      </c>
      <c r="Q296" s="4">
        <v>137849079.48651975</v>
      </c>
      <c r="R296" s="4">
        <v>8585879</v>
      </c>
      <c r="S296" s="4">
        <v>5739551.2550000027</v>
      </c>
      <c r="T296" s="4">
        <v>-127443.30380000001</v>
      </c>
      <c r="U296" s="4">
        <v>152047066.43771976</v>
      </c>
      <c r="W296" s="11" t="s">
        <v>43</v>
      </c>
      <c r="X296" s="4">
        <v>273460327.3928197</v>
      </c>
      <c r="Y296" s="4">
        <v>23995685</v>
      </c>
      <c r="Z296" s="4">
        <v>8603261.2550000027</v>
      </c>
      <c r="AA296" s="4">
        <v>-127443.30380000001</v>
      </c>
      <c r="AB296" s="4">
        <v>305931830.34401971</v>
      </c>
      <c r="AD296" s="11" t="s">
        <v>43</v>
      </c>
      <c r="AE296" s="4">
        <v>148231625.86718243</v>
      </c>
      <c r="AF296" s="4">
        <v>6195538.2035119012</v>
      </c>
      <c r="AG296" s="4">
        <v>9245317.167999994</v>
      </c>
      <c r="AH296" s="4">
        <v>127443.30380000001</v>
      </c>
      <c r="AI296" s="4">
        <v>163799924.5424943</v>
      </c>
      <c r="AJ296" s="3">
        <v>469731754.88651401</v>
      </c>
      <c r="AK296" s="11" t="s">
        <v>43</v>
      </c>
      <c r="AL296" s="4">
        <v>198068569.53245795</v>
      </c>
      <c r="AM296" s="4">
        <v>761675.7964880988</v>
      </c>
      <c r="AN296" s="4">
        <v>5912485.4439999964</v>
      </c>
      <c r="AO296" s="4">
        <v>-12385234.570000004</v>
      </c>
      <c r="AP296" s="4">
        <v>192357496.20294607</v>
      </c>
      <c r="AQ296" s="3"/>
    </row>
    <row r="297" spans="2:43" x14ac:dyDescent="0.35">
      <c r="B297" t="s">
        <v>6</v>
      </c>
      <c r="C297" s="2">
        <v>-172605134.11999995</v>
      </c>
      <c r="D297" s="2">
        <v>-8199500</v>
      </c>
      <c r="E297" s="2">
        <v>-2977713.6069999998</v>
      </c>
      <c r="F297" s="2">
        <v>-246330.59</v>
      </c>
      <c r="G297" s="2">
        <v>-184028678.31699994</v>
      </c>
      <c r="I297" t="s">
        <v>6</v>
      </c>
      <c r="J297" s="2">
        <v>-37149423</v>
      </c>
      <c r="K297" s="2">
        <v>-1894753</v>
      </c>
      <c r="L297" s="2">
        <v>-64409</v>
      </c>
      <c r="M297" s="2">
        <v>0</v>
      </c>
      <c r="N297" s="2">
        <v>-39108585</v>
      </c>
      <c r="P297" t="s">
        <v>6</v>
      </c>
      <c r="Q297" s="2">
        <v>-37180143.760000005</v>
      </c>
      <c r="R297" s="2">
        <v>-1668585</v>
      </c>
      <c r="S297" s="2">
        <v>-218978.75</v>
      </c>
      <c r="T297" s="2">
        <v>0</v>
      </c>
      <c r="U297" s="2">
        <v>-39067707.510000005</v>
      </c>
      <c r="W297" t="s">
        <v>6</v>
      </c>
      <c r="X297" s="2">
        <v>-74329566.760000005</v>
      </c>
      <c r="Y297" s="2">
        <v>-3563338</v>
      </c>
      <c r="Z297" s="2">
        <v>-283387.75</v>
      </c>
      <c r="AA297" s="2">
        <v>0</v>
      </c>
      <c r="AB297" s="2">
        <v>-78176292.510000005</v>
      </c>
      <c r="AD297" t="s">
        <v>6</v>
      </c>
      <c r="AE297" s="2">
        <v>-45885186.139999986</v>
      </c>
      <c r="AF297" s="2">
        <v>-2231275</v>
      </c>
      <c r="AG297" s="2">
        <v>-1515332.5869999998</v>
      </c>
      <c r="AH297" s="2">
        <v>0</v>
      </c>
      <c r="AI297" s="2">
        <v>-49631793.726999983</v>
      </c>
      <c r="AJ297" s="3">
        <v>-127808086.23699999</v>
      </c>
      <c r="AK297" t="s">
        <v>6</v>
      </c>
      <c r="AL297" s="2">
        <v>-52390381.219999954</v>
      </c>
      <c r="AM297" s="2">
        <v>-2404887</v>
      </c>
      <c r="AN297" s="2">
        <v>-1178993.27</v>
      </c>
      <c r="AO297" s="2">
        <v>-246330.59</v>
      </c>
      <c r="AP297" s="2">
        <v>-56220592.079999961</v>
      </c>
    </row>
    <row r="298" spans="2:43" x14ac:dyDescent="0.35">
      <c r="B298" s="11" t="s">
        <v>7</v>
      </c>
      <c r="C298" s="4">
        <v>447155388.67246002</v>
      </c>
      <c r="D298" s="4">
        <v>22753399</v>
      </c>
      <c r="E298" s="4">
        <v>20783350.25999999</v>
      </c>
      <c r="F298" s="4">
        <v>-12631565.160000004</v>
      </c>
      <c r="G298" s="4">
        <v>478060572.77245998</v>
      </c>
      <c r="I298" s="11" t="s">
        <v>7</v>
      </c>
      <c r="J298" s="4">
        <v>98461824.906300008</v>
      </c>
      <c r="K298" s="4">
        <v>13515053</v>
      </c>
      <c r="L298" s="4">
        <v>2799301</v>
      </c>
      <c r="M298" s="4">
        <v>0</v>
      </c>
      <c r="N298" s="4">
        <v>114776178.90630001</v>
      </c>
      <c r="P298" s="11" t="s">
        <v>7</v>
      </c>
      <c r="Q298" s="4">
        <v>100668935.72651975</v>
      </c>
      <c r="R298" s="4">
        <v>6917294</v>
      </c>
      <c r="S298" s="4">
        <v>5520572.5050000027</v>
      </c>
      <c r="T298" s="4">
        <v>-127443.30380000001</v>
      </c>
      <c r="U298" s="4">
        <v>112979358.92771976</v>
      </c>
      <c r="W298" s="11" t="s">
        <v>7</v>
      </c>
      <c r="X298" s="4">
        <v>199130760.63281971</v>
      </c>
      <c r="Y298" s="4">
        <v>20432347</v>
      </c>
      <c r="Z298" s="4">
        <v>8319873.5050000027</v>
      </c>
      <c r="AA298" s="4">
        <v>-127443.30380000001</v>
      </c>
      <c r="AB298" s="4">
        <v>227755537.83401972</v>
      </c>
      <c r="AD298" s="11" t="s">
        <v>7</v>
      </c>
      <c r="AE298" s="4">
        <v>102346439.72718245</v>
      </c>
      <c r="AF298" s="4">
        <v>3964263.2035119012</v>
      </c>
      <c r="AG298" s="4">
        <v>7729984.5809999947</v>
      </c>
      <c r="AH298" s="4">
        <v>127443.30380000001</v>
      </c>
      <c r="AI298" s="4">
        <v>114168130.81549434</v>
      </c>
      <c r="AJ298" s="3">
        <v>341923668.64951408</v>
      </c>
      <c r="AK298" s="11" t="s">
        <v>7</v>
      </c>
      <c r="AL298" s="4">
        <v>145678188.31245798</v>
      </c>
      <c r="AM298" s="4">
        <v>-1643211.2035119012</v>
      </c>
      <c r="AN298" s="4">
        <v>4733492.1739999969</v>
      </c>
      <c r="AO298" s="4">
        <v>-12631565.160000004</v>
      </c>
      <c r="AP298" s="4">
        <v>136136904.12294608</v>
      </c>
      <c r="AQ298" s="3"/>
    </row>
    <row r="299" spans="2:43" x14ac:dyDescent="0.35">
      <c r="B299" t="s">
        <v>8</v>
      </c>
      <c r="C299" s="2">
        <v>-5262092.8722834717</v>
      </c>
      <c r="D299" s="2">
        <v>-3825091.8747999994</v>
      </c>
      <c r="E299" s="2">
        <v>-4154270.0519999955</v>
      </c>
      <c r="F299" s="2">
        <v>-86.766891999990435</v>
      </c>
      <c r="G299" s="2">
        <v>-13241541.565975465</v>
      </c>
      <c r="I299" t="s">
        <v>8</v>
      </c>
      <c r="J299" s="2">
        <v>-2310005.3065832215</v>
      </c>
      <c r="K299" s="2">
        <v>-2616475.3605</v>
      </c>
      <c r="L299" s="2">
        <v>-559260.19999999984</v>
      </c>
      <c r="M299" s="2">
        <v>0</v>
      </c>
      <c r="N299" s="2">
        <v>-5485740.8670832217</v>
      </c>
      <c r="P299" t="s">
        <v>8</v>
      </c>
      <c r="Q299" s="2">
        <v>-1953528.8839809946</v>
      </c>
      <c r="R299" s="2">
        <v>-854168.04249999998</v>
      </c>
      <c r="S299" s="2">
        <v>-1103514.5009999997</v>
      </c>
      <c r="T299" s="2">
        <v>0</v>
      </c>
      <c r="U299" s="2">
        <v>-3911211.4274809943</v>
      </c>
      <c r="W299" t="s">
        <v>8</v>
      </c>
      <c r="X299" s="2">
        <v>-4263534.1905642161</v>
      </c>
      <c r="Y299" s="2">
        <v>-3470643.4029999999</v>
      </c>
      <c r="Z299" s="2">
        <v>-1662774.7009999994</v>
      </c>
      <c r="AA299" s="2">
        <v>0</v>
      </c>
      <c r="AB299" s="2">
        <v>-9396952.2945642155</v>
      </c>
      <c r="AD299" t="s">
        <v>8</v>
      </c>
      <c r="AE299" s="2">
        <v>-107310.72315898258</v>
      </c>
      <c r="AF299" s="2">
        <v>-536693.31289999979</v>
      </c>
      <c r="AG299" s="2">
        <v>-1545396.9161999985</v>
      </c>
      <c r="AH299" s="2">
        <v>0</v>
      </c>
      <c r="AI299" s="2">
        <v>-2189400.9522589808</v>
      </c>
      <c r="AJ299" s="3">
        <v>-11586353.246823195</v>
      </c>
      <c r="AK299" t="s">
        <v>8</v>
      </c>
      <c r="AL299" s="2">
        <v>-891247.95856027305</v>
      </c>
      <c r="AM299" s="2">
        <v>182244.84110000031</v>
      </c>
      <c r="AN299" s="2">
        <v>-946098.4347999976</v>
      </c>
      <c r="AO299" s="2">
        <v>-86.766891999990435</v>
      </c>
      <c r="AP299" s="2">
        <v>-1655188.3191522704</v>
      </c>
    </row>
    <row r="300" spans="2:43" x14ac:dyDescent="0.35">
      <c r="B300" s="11" t="s">
        <v>143</v>
      </c>
      <c r="C300" s="4">
        <v>441893295.80017656</v>
      </c>
      <c r="D300" s="4">
        <v>18928307.1252</v>
      </c>
      <c r="E300" s="4">
        <v>16629080.207999995</v>
      </c>
      <c r="F300" s="4">
        <v>-12631651.926892003</v>
      </c>
      <c r="G300" s="4">
        <v>464819031.2064845</v>
      </c>
      <c r="I300" s="11" t="s">
        <v>161</v>
      </c>
      <c r="J300" s="4">
        <v>96151819.599716783</v>
      </c>
      <c r="K300" s="4">
        <v>10898577.6395</v>
      </c>
      <c r="L300" s="4">
        <v>2240040.8000000003</v>
      </c>
      <c r="M300" s="4">
        <v>0</v>
      </c>
      <c r="N300" s="4">
        <v>109290438.03921677</v>
      </c>
      <c r="P300" s="11" t="s">
        <v>161</v>
      </c>
      <c r="Q300" s="4">
        <v>98715406.842538759</v>
      </c>
      <c r="R300" s="4">
        <v>6063125.9574999996</v>
      </c>
      <c r="S300" s="4">
        <v>4417058.0040000025</v>
      </c>
      <c r="T300" s="4">
        <v>-127443.30380000001</v>
      </c>
      <c r="U300" s="4">
        <v>109068147.50023876</v>
      </c>
      <c r="W300" s="11" t="s">
        <v>161</v>
      </c>
      <c r="X300" s="4">
        <v>194867226.4422555</v>
      </c>
      <c r="Y300" s="4">
        <v>16961703.596999999</v>
      </c>
      <c r="Z300" s="4">
        <v>6657098.8040000033</v>
      </c>
      <c r="AA300" s="4">
        <v>-127443.30380000001</v>
      </c>
      <c r="AB300" s="4">
        <v>218358585.5394555</v>
      </c>
      <c r="AD300" s="11" t="s">
        <v>9</v>
      </c>
      <c r="AE300" s="4">
        <v>102239129.00402349</v>
      </c>
      <c r="AF300" s="4">
        <v>3427569.8906119019</v>
      </c>
      <c r="AG300" s="4">
        <v>6184587.6647999957</v>
      </c>
      <c r="AH300" s="4">
        <v>127443.30380000001</v>
      </c>
      <c r="AI300" s="4">
        <v>111978729.8632354</v>
      </c>
      <c r="AJ300" s="3">
        <v>330337315.40269089</v>
      </c>
      <c r="AK300" s="11" t="s">
        <v>9</v>
      </c>
      <c r="AL300" s="4">
        <v>144786940.35389769</v>
      </c>
      <c r="AM300" s="4">
        <v>-1460966.3624119009</v>
      </c>
      <c r="AN300" s="4">
        <v>3787393.7391999993</v>
      </c>
      <c r="AO300" s="4">
        <v>-12631651.926892003</v>
      </c>
      <c r="AP300" s="4">
        <v>134481715.80379379</v>
      </c>
      <c r="AQ300" s="3"/>
    </row>
    <row r="301" spans="2:43" x14ac:dyDescent="0.35">
      <c r="C301">
        <v>0</v>
      </c>
      <c r="D301">
        <v>0</v>
      </c>
      <c r="E301">
        <v>0</v>
      </c>
      <c r="F301">
        <v>0</v>
      </c>
      <c r="G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X301">
        <v>0</v>
      </c>
      <c r="Y301">
        <v>0</v>
      </c>
      <c r="Z301">
        <v>0</v>
      </c>
      <c r="AA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L301">
        <v>0</v>
      </c>
      <c r="AM301">
        <v>0</v>
      </c>
      <c r="AN301">
        <v>0</v>
      </c>
      <c r="AO301">
        <v>1.3096723705530167E-10</v>
      </c>
      <c r="AP301">
        <v>218358585.53945529</v>
      </c>
    </row>
    <row r="304" spans="2:43" ht="18.5" x14ac:dyDescent="0.35">
      <c r="B304" s="303" t="s">
        <v>167</v>
      </c>
      <c r="C304" s="303"/>
      <c r="D304" s="303"/>
      <c r="E304" s="303"/>
      <c r="F304" s="303"/>
      <c r="G304" s="303"/>
      <c r="I304" s="303" t="s">
        <v>164</v>
      </c>
      <c r="J304" s="303"/>
      <c r="K304" s="303"/>
      <c r="L304" s="303"/>
      <c r="M304" s="303"/>
      <c r="N304" s="303"/>
      <c r="P304" s="303" t="s">
        <v>173</v>
      </c>
      <c r="Q304" s="303"/>
      <c r="R304" s="303"/>
      <c r="S304" s="303"/>
      <c r="T304" s="303"/>
      <c r="U304" s="303"/>
      <c r="W304" s="303" t="s">
        <v>178</v>
      </c>
      <c r="X304" s="303"/>
      <c r="Y304" s="303"/>
      <c r="Z304" s="303"/>
      <c r="AA304" s="303"/>
      <c r="AB304" s="303"/>
      <c r="AD304" s="303" t="s">
        <v>183</v>
      </c>
      <c r="AE304" s="303"/>
      <c r="AF304" s="303"/>
      <c r="AG304" s="303"/>
      <c r="AH304" s="303"/>
      <c r="AI304" s="303"/>
      <c r="AK304" s="303" t="s">
        <v>207</v>
      </c>
      <c r="AL304" s="303"/>
      <c r="AM304" s="303"/>
      <c r="AN304" s="303"/>
      <c r="AO304" s="303"/>
      <c r="AP304" s="303"/>
    </row>
    <row r="305" spans="2:42" ht="15.5" x14ac:dyDescent="0.35">
      <c r="B305" s="8"/>
      <c r="C305" s="8" t="s">
        <v>10</v>
      </c>
      <c r="D305" s="8" t="s">
        <v>69</v>
      </c>
      <c r="E305" s="8" t="s">
        <v>70</v>
      </c>
      <c r="F305" s="8" t="s">
        <v>44</v>
      </c>
      <c r="G305" s="9" t="s">
        <v>45</v>
      </c>
      <c r="I305" s="8"/>
      <c r="J305" s="8" t="s">
        <v>10</v>
      </c>
      <c r="K305" s="8" t="s">
        <v>69</v>
      </c>
      <c r="L305" s="8" t="s">
        <v>70</v>
      </c>
      <c r="M305" s="8" t="s">
        <v>44</v>
      </c>
      <c r="N305" s="9" t="s">
        <v>45</v>
      </c>
      <c r="P305" s="8"/>
      <c r="Q305" s="8" t="s">
        <v>10</v>
      </c>
      <c r="R305" s="8" t="s">
        <v>69</v>
      </c>
      <c r="S305" s="8" t="s">
        <v>70</v>
      </c>
      <c r="T305" s="8" t="s">
        <v>44</v>
      </c>
      <c r="U305" s="9" t="s">
        <v>45</v>
      </c>
      <c r="W305" s="8"/>
      <c r="X305" s="8" t="s">
        <v>10</v>
      </c>
      <c r="Y305" s="8" t="s">
        <v>69</v>
      </c>
      <c r="Z305" s="8" t="s">
        <v>70</v>
      </c>
      <c r="AA305" s="8" t="s">
        <v>44</v>
      </c>
      <c r="AB305" s="9" t="s">
        <v>45</v>
      </c>
      <c r="AD305" s="8"/>
      <c r="AE305" s="8" t="s">
        <v>10</v>
      </c>
      <c r="AF305" s="8" t="s">
        <v>69</v>
      </c>
      <c r="AG305" s="8" t="s">
        <v>70</v>
      </c>
      <c r="AH305" s="8" t="s">
        <v>44</v>
      </c>
      <c r="AI305" s="9" t="s">
        <v>45</v>
      </c>
      <c r="AK305" s="8"/>
      <c r="AL305" s="8" t="s">
        <v>10</v>
      </c>
      <c r="AM305" s="8" t="s">
        <v>69</v>
      </c>
      <c r="AN305" s="8" t="s">
        <v>70</v>
      </c>
      <c r="AO305" s="8" t="s">
        <v>44</v>
      </c>
      <c r="AP305" s="9" t="s">
        <v>45</v>
      </c>
    </row>
    <row r="306" spans="2:42" x14ac:dyDescent="0.35">
      <c r="B306" t="s">
        <v>85</v>
      </c>
      <c r="C306" s="2">
        <v>767103655.47000003</v>
      </c>
      <c r="D306" s="2">
        <v>0</v>
      </c>
      <c r="E306" s="2">
        <v>0</v>
      </c>
      <c r="F306" s="2">
        <v>0</v>
      </c>
      <c r="G306" s="2">
        <v>767103655.47000003</v>
      </c>
      <c r="I306" t="s">
        <v>85</v>
      </c>
      <c r="J306" s="2">
        <v>182082816.40000001</v>
      </c>
      <c r="K306" s="2">
        <v>0</v>
      </c>
      <c r="L306" s="2">
        <v>0</v>
      </c>
      <c r="M306" s="2">
        <v>0</v>
      </c>
      <c r="N306" s="2">
        <v>182082816.40000001</v>
      </c>
      <c r="P306" t="s">
        <v>85</v>
      </c>
      <c r="Q306" s="2">
        <v>167409989.76999995</v>
      </c>
      <c r="R306" s="2">
        <v>0</v>
      </c>
      <c r="S306" s="2">
        <v>0</v>
      </c>
      <c r="T306" s="2">
        <v>0</v>
      </c>
      <c r="U306" s="2">
        <v>167409989.76999995</v>
      </c>
      <c r="W306" t="s">
        <v>85</v>
      </c>
      <c r="X306" s="2">
        <v>349492806.16999996</v>
      </c>
      <c r="Y306" s="2">
        <v>0</v>
      </c>
      <c r="Z306" s="2">
        <v>0</v>
      </c>
      <c r="AA306" s="2">
        <v>0</v>
      </c>
      <c r="AB306" s="2">
        <v>349492806.16999996</v>
      </c>
      <c r="AD306" t="s">
        <v>85</v>
      </c>
      <c r="AE306" s="2">
        <v>123552396.75</v>
      </c>
      <c r="AF306" s="2">
        <v>0</v>
      </c>
      <c r="AG306" s="2">
        <v>0</v>
      </c>
      <c r="AH306" s="2">
        <v>0</v>
      </c>
      <c r="AI306" s="2">
        <v>123552396.75</v>
      </c>
      <c r="AJ306" s="3">
        <v>473045202.91999996</v>
      </c>
      <c r="AK306" t="s">
        <v>85</v>
      </c>
      <c r="AL306" s="2">
        <v>294058452.55000007</v>
      </c>
      <c r="AM306" s="2">
        <v>0</v>
      </c>
      <c r="AN306" s="2">
        <v>0</v>
      </c>
      <c r="AO306" s="2">
        <v>0</v>
      </c>
      <c r="AP306" s="2">
        <v>294058452.55000007</v>
      </c>
    </row>
    <row r="307" spans="2:42" x14ac:dyDescent="0.35">
      <c r="B307" t="s">
        <v>19</v>
      </c>
      <c r="C307" s="2">
        <v>199247953.04187995</v>
      </c>
      <c r="D307" s="2">
        <v>0</v>
      </c>
      <c r="E307" s="2">
        <v>0</v>
      </c>
      <c r="F307" s="2">
        <v>0</v>
      </c>
      <c r="G307" s="2">
        <v>199247953.04187995</v>
      </c>
      <c r="I307" t="s">
        <v>19</v>
      </c>
      <c r="J307" s="2">
        <v>50133105.31662</v>
      </c>
      <c r="K307" s="2">
        <v>0</v>
      </c>
      <c r="L307" s="2">
        <v>0</v>
      </c>
      <c r="M307" s="2">
        <v>0</v>
      </c>
      <c r="N307" s="2">
        <v>50133105.31662</v>
      </c>
      <c r="P307" t="s">
        <v>19</v>
      </c>
      <c r="Q307" s="2">
        <v>55676635.70849999</v>
      </c>
      <c r="R307" s="2">
        <v>0</v>
      </c>
      <c r="S307" s="2">
        <v>0</v>
      </c>
      <c r="T307" s="2">
        <v>0</v>
      </c>
      <c r="U307" s="2">
        <v>55676635.70849999</v>
      </c>
      <c r="W307" t="s">
        <v>19</v>
      </c>
      <c r="X307" s="2">
        <v>105809741.02511999</v>
      </c>
      <c r="Y307" s="2">
        <v>0</v>
      </c>
      <c r="Z307" s="2">
        <v>0</v>
      </c>
      <c r="AA307" s="2">
        <v>0</v>
      </c>
      <c r="AB307" s="2">
        <v>105809741.02511999</v>
      </c>
      <c r="AD307" t="s">
        <v>19</v>
      </c>
      <c r="AE307" s="2">
        <v>47180521.186420023</v>
      </c>
      <c r="AF307" s="2">
        <v>0</v>
      </c>
      <c r="AG307" s="2">
        <v>0</v>
      </c>
      <c r="AH307" s="2">
        <v>0</v>
      </c>
      <c r="AI307" s="2">
        <v>47180521.186420023</v>
      </c>
      <c r="AJ307" s="3">
        <v>152990262.21154001</v>
      </c>
      <c r="AK307" t="s">
        <v>19</v>
      </c>
      <c r="AL307" s="2">
        <v>46257690.830339938</v>
      </c>
      <c r="AM307" s="2">
        <v>0</v>
      </c>
      <c r="AN307" s="2">
        <v>0</v>
      </c>
      <c r="AO307" s="2">
        <v>0</v>
      </c>
      <c r="AP307" s="2">
        <v>46257690.830339938</v>
      </c>
    </row>
    <row r="308" spans="2:42" x14ac:dyDescent="0.35">
      <c r="B308" t="s">
        <v>86</v>
      </c>
      <c r="C308" s="2">
        <v>-16758973.619999971</v>
      </c>
      <c r="D308" s="2">
        <v>0</v>
      </c>
      <c r="E308" s="2">
        <v>0</v>
      </c>
      <c r="F308" s="2">
        <v>0</v>
      </c>
      <c r="G308" s="2">
        <v>-16758973.619999971</v>
      </c>
      <c r="I308" t="s">
        <v>86</v>
      </c>
      <c r="J308" s="2">
        <v>-7345257.7100000223</v>
      </c>
      <c r="K308" s="2">
        <v>0</v>
      </c>
      <c r="L308" s="2">
        <v>0</v>
      </c>
      <c r="M308" s="2">
        <v>0</v>
      </c>
      <c r="N308" s="2">
        <v>-7345257.7100000223</v>
      </c>
      <c r="P308" t="s">
        <v>86</v>
      </c>
      <c r="Q308" s="2">
        <v>-2877250.9200000009</v>
      </c>
      <c r="R308" s="2">
        <v>0</v>
      </c>
      <c r="S308" s="2">
        <v>0</v>
      </c>
      <c r="T308" s="2">
        <v>0</v>
      </c>
      <c r="U308" s="2">
        <v>-2877250.9200000009</v>
      </c>
      <c r="W308" t="s">
        <v>86</v>
      </c>
      <c r="X308" s="2">
        <v>-10222508.630000023</v>
      </c>
      <c r="Y308" s="2">
        <v>0</v>
      </c>
      <c r="Z308" s="2">
        <v>0</v>
      </c>
      <c r="AA308" s="2">
        <v>0</v>
      </c>
      <c r="AB308" s="2">
        <v>-10222508.630000023</v>
      </c>
      <c r="AD308" t="s">
        <v>86</v>
      </c>
      <c r="AE308" s="2">
        <v>-4215883.8700000178</v>
      </c>
      <c r="AF308" s="2">
        <v>0</v>
      </c>
      <c r="AG308" s="2">
        <v>0</v>
      </c>
      <c r="AH308" s="2">
        <v>0</v>
      </c>
      <c r="AI308" s="2">
        <v>-4215883.8700000178</v>
      </c>
      <c r="AJ308" s="3">
        <v>-14438392.500000041</v>
      </c>
      <c r="AK308" t="s">
        <v>86</v>
      </c>
      <c r="AL308" s="2">
        <v>-2320581.1199999303</v>
      </c>
      <c r="AM308" s="2">
        <v>0</v>
      </c>
      <c r="AN308" s="2">
        <v>0</v>
      </c>
      <c r="AO308" s="2">
        <v>0</v>
      </c>
      <c r="AP308" s="2">
        <v>-2320581.1199999303</v>
      </c>
    </row>
    <row r="309" spans="2:42" x14ac:dyDescent="0.35">
      <c r="B309" t="s">
        <v>87</v>
      </c>
      <c r="C309" s="2">
        <v>-152474009.63</v>
      </c>
      <c r="D309" s="2">
        <v>0</v>
      </c>
      <c r="E309" s="2">
        <v>0</v>
      </c>
      <c r="F309" s="2">
        <v>0</v>
      </c>
      <c r="G309" s="2">
        <v>-152474009.63</v>
      </c>
      <c r="I309" t="s">
        <v>87</v>
      </c>
      <c r="J309" s="2">
        <v>-20285281.68</v>
      </c>
      <c r="K309" s="2">
        <v>0</v>
      </c>
      <c r="L309" s="2">
        <v>0</v>
      </c>
      <c r="M309" s="2">
        <v>0</v>
      </c>
      <c r="N309" s="2">
        <v>-20285281.68</v>
      </c>
      <c r="P309" t="s">
        <v>87</v>
      </c>
      <c r="Q309" s="2">
        <v>-30694886.219999999</v>
      </c>
      <c r="R309" s="2">
        <v>0</v>
      </c>
      <c r="S309" s="2">
        <v>0</v>
      </c>
      <c r="T309" s="2">
        <v>0</v>
      </c>
      <c r="U309" s="2">
        <v>-30694886.219999999</v>
      </c>
      <c r="W309" t="s">
        <v>87</v>
      </c>
      <c r="X309" s="2">
        <v>-50980167.899999999</v>
      </c>
      <c r="Y309" s="2">
        <v>0</v>
      </c>
      <c r="Z309" s="2">
        <v>0</v>
      </c>
      <c r="AA309" s="2">
        <v>0</v>
      </c>
      <c r="AB309" s="2">
        <v>-50980167.899999999</v>
      </c>
      <c r="AD309" t="s">
        <v>87</v>
      </c>
      <c r="AE309" s="2">
        <v>-46771097.989999987</v>
      </c>
      <c r="AF309" s="2">
        <v>0</v>
      </c>
      <c r="AG309" s="2">
        <v>0</v>
      </c>
      <c r="AH309" s="2">
        <v>0</v>
      </c>
      <c r="AI309" s="2">
        <v>-46771097.989999987</v>
      </c>
      <c r="AJ309" s="3">
        <v>-97751265.889999986</v>
      </c>
      <c r="AK309" t="s">
        <v>87</v>
      </c>
      <c r="AL309" s="2">
        <v>-54722743.740000017</v>
      </c>
      <c r="AM309" s="2">
        <v>0</v>
      </c>
      <c r="AN309" s="2">
        <v>0</v>
      </c>
      <c r="AO309" s="2">
        <v>0</v>
      </c>
      <c r="AP309" s="2">
        <v>-54722743.740000017</v>
      </c>
    </row>
    <row r="310" spans="2:42" x14ac:dyDescent="0.35">
      <c r="B310" s="19" t="s">
        <v>18</v>
      </c>
      <c r="C310" s="20">
        <v>797118625.26187992</v>
      </c>
      <c r="D310" s="20">
        <v>0</v>
      </c>
      <c r="E310" s="20">
        <v>0</v>
      </c>
      <c r="F310" s="20">
        <v>0</v>
      </c>
      <c r="G310" s="20">
        <v>797118625.26187992</v>
      </c>
      <c r="I310" s="19" t="s">
        <v>18</v>
      </c>
      <c r="J310" s="20">
        <v>204585382.32661998</v>
      </c>
      <c r="K310" s="20">
        <v>0</v>
      </c>
      <c r="L310" s="20">
        <v>0</v>
      </c>
      <c r="M310" s="20">
        <v>0</v>
      </c>
      <c r="N310" s="20">
        <v>204585382.32661998</v>
      </c>
      <c r="P310" s="19" t="s">
        <v>18</v>
      </c>
      <c r="Q310" s="20">
        <v>189514488.33849996</v>
      </c>
      <c r="R310" s="20">
        <v>0</v>
      </c>
      <c r="S310" s="20">
        <v>0</v>
      </c>
      <c r="T310" s="20">
        <v>0</v>
      </c>
      <c r="U310" s="20">
        <v>189514488.33849996</v>
      </c>
      <c r="W310" s="19" t="s">
        <v>18</v>
      </c>
      <c r="X310" s="20">
        <v>394099870.66512001</v>
      </c>
      <c r="Y310" s="20">
        <v>0</v>
      </c>
      <c r="Z310" s="20">
        <v>0</v>
      </c>
      <c r="AA310" s="20">
        <v>0</v>
      </c>
      <c r="AB310" s="20">
        <v>394099870.66512001</v>
      </c>
      <c r="AD310" s="19" t="s">
        <v>18</v>
      </c>
      <c r="AE310" s="20">
        <v>119745936.07642004</v>
      </c>
      <c r="AF310" s="20">
        <v>0</v>
      </c>
      <c r="AG310" s="20">
        <v>0</v>
      </c>
      <c r="AH310" s="20">
        <v>0</v>
      </c>
      <c r="AI310" s="20">
        <v>119745936.07642004</v>
      </c>
      <c r="AJ310" s="3">
        <v>513845806.74154007</v>
      </c>
      <c r="AK310" s="19" t="s">
        <v>18</v>
      </c>
      <c r="AL310" s="20">
        <v>283272818.52034003</v>
      </c>
      <c r="AM310" s="20">
        <v>0</v>
      </c>
      <c r="AN310" s="20">
        <v>0</v>
      </c>
      <c r="AO310" s="20">
        <v>0</v>
      </c>
      <c r="AP310" s="20">
        <v>283272818.52034003</v>
      </c>
    </row>
    <row r="311" spans="2:42" x14ac:dyDescent="0.35">
      <c r="C311" s="2"/>
      <c r="D311" s="2"/>
      <c r="E311" s="2"/>
      <c r="F311" s="2"/>
      <c r="G311" s="2"/>
      <c r="J311" s="2"/>
      <c r="K311" s="2"/>
      <c r="L311" s="2"/>
      <c r="M311" s="2"/>
      <c r="N311" s="2"/>
      <c r="Q311" s="2"/>
      <c r="R311" s="2"/>
      <c r="S311" s="2"/>
      <c r="T311" s="2"/>
      <c r="U311" s="2"/>
      <c r="X311" s="2"/>
      <c r="Y311" s="2"/>
      <c r="Z311" s="2"/>
      <c r="AA311" s="2"/>
      <c r="AB311" s="2"/>
      <c r="AE311" s="2"/>
      <c r="AF311" s="2"/>
      <c r="AG311" s="2"/>
      <c r="AH311" s="2"/>
      <c r="AI311" s="2"/>
      <c r="AJ311" s="3">
        <v>0</v>
      </c>
      <c r="AL311" s="2"/>
      <c r="AM311" s="2"/>
      <c r="AN311" s="2"/>
      <c r="AO311" s="2"/>
      <c r="AP311" s="2"/>
    </row>
    <row r="312" spans="2:42" x14ac:dyDescent="0.35">
      <c r="C312" s="2"/>
      <c r="D312" s="2"/>
      <c r="E312" s="2"/>
      <c r="F312" s="2"/>
      <c r="G312" s="2"/>
      <c r="J312" s="2"/>
      <c r="K312" s="2"/>
      <c r="L312" s="2"/>
      <c r="M312" s="2"/>
      <c r="N312" s="2"/>
      <c r="Q312" s="2"/>
      <c r="R312" s="2"/>
      <c r="S312" s="2"/>
      <c r="T312" s="2"/>
      <c r="U312" s="2"/>
      <c r="X312" s="2"/>
      <c r="Y312" s="2"/>
      <c r="Z312" s="2"/>
      <c r="AA312" s="2"/>
      <c r="AB312" s="2"/>
      <c r="AE312" s="2"/>
      <c r="AF312" s="2"/>
      <c r="AG312" s="2"/>
      <c r="AH312" s="2"/>
      <c r="AI312" s="2"/>
      <c r="AJ312" s="3">
        <v>0</v>
      </c>
      <c r="AL312" s="2"/>
      <c r="AM312" s="2"/>
      <c r="AN312" s="2"/>
      <c r="AO312" s="2"/>
      <c r="AP312" s="2"/>
    </row>
    <row r="313" spans="2:42" x14ac:dyDescent="0.35">
      <c r="B313" t="s">
        <v>12</v>
      </c>
      <c r="C313" s="2">
        <v>801931534.03999972</v>
      </c>
      <c r="D313" s="2">
        <v>0</v>
      </c>
      <c r="E313" s="2">
        <v>0</v>
      </c>
      <c r="F313" s="2">
        <v>0</v>
      </c>
      <c r="G313" s="2">
        <v>801931534.03999972</v>
      </c>
      <c r="I313" t="s">
        <v>12</v>
      </c>
      <c r="J313" s="2">
        <v>138049549.44000003</v>
      </c>
      <c r="K313" s="2">
        <v>0</v>
      </c>
      <c r="L313" s="2">
        <v>0</v>
      </c>
      <c r="M313" s="2">
        <v>0</v>
      </c>
      <c r="N313" s="2">
        <v>138049549.44000003</v>
      </c>
      <c r="P313" t="s">
        <v>12</v>
      </c>
      <c r="Q313" s="2">
        <v>175285298.80999997</v>
      </c>
      <c r="R313" s="2">
        <v>0</v>
      </c>
      <c r="S313" s="2">
        <v>0</v>
      </c>
      <c r="T313" s="2">
        <v>0</v>
      </c>
      <c r="U313" s="2">
        <v>175285298.80999997</v>
      </c>
      <c r="W313" t="s">
        <v>12</v>
      </c>
      <c r="X313" s="2">
        <v>313334848.25</v>
      </c>
      <c r="Y313" s="2">
        <v>0</v>
      </c>
      <c r="Z313" s="2">
        <v>0</v>
      </c>
      <c r="AA313" s="2">
        <v>0</v>
      </c>
      <c r="AB313" s="2">
        <v>313334848.25</v>
      </c>
      <c r="AD313" t="s">
        <v>12</v>
      </c>
      <c r="AE313" s="2">
        <v>240304432.48000002</v>
      </c>
      <c r="AF313" s="2">
        <v>0</v>
      </c>
      <c r="AG313" s="2">
        <v>0</v>
      </c>
      <c r="AH313" s="2">
        <v>0</v>
      </c>
      <c r="AI313" s="2">
        <v>240304432.48000002</v>
      </c>
      <c r="AJ313" s="3">
        <v>553639280.73000002</v>
      </c>
      <c r="AK313" t="s">
        <v>12</v>
      </c>
      <c r="AL313" s="2">
        <v>248292253.3099997</v>
      </c>
      <c r="AM313" s="2">
        <v>0</v>
      </c>
      <c r="AN313" s="2">
        <v>0</v>
      </c>
      <c r="AO313" s="2">
        <v>0</v>
      </c>
      <c r="AP313" s="2">
        <v>248292253.3099997</v>
      </c>
    </row>
    <row r="314" spans="2:42" x14ac:dyDescent="0.35">
      <c r="B314" t="s">
        <v>3</v>
      </c>
      <c r="C314" s="2">
        <v>-395099128.89999992</v>
      </c>
      <c r="D314" s="2">
        <v>0</v>
      </c>
      <c r="E314" s="2">
        <v>0</v>
      </c>
      <c r="F314" s="2">
        <v>-53041.369999999995</v>
      </c>
      <c r="G314" s="2">
        <v>-395152170.26999992</v>
      </c>
      <c r="I314" t="s">
        <v>3</v>
      </c>
      <c r="J314" s="2">
        <v>-59040067.780000001</v>
      </c>
      <c r="K314" s="2">
        <v>0</v>
      </c>
      <c r="L314" s="2">
        <v>0</v>
      </c>
      <c r="M314" s="2">
        <v>-4290.9800000000005</v>
      </c>
      <c r="N314" s="2">
        <v>-59044358.759999998</v>
      </c>
      <c r="P314" t="s">
        <v>3</v>
      </c>
      <c r="Q314" s="2">
        <v>-85424836.060000002</v>
      </c>
      <c r="R314" s="2">
        <v>0</v>
      </c>
      <c r="S314" s="2">
        <v>0</v>
      </c>
      <c r="T314" s="2">
        <v>-1994.8599999999997</v>
      </c>
      <c r="U314" s="2">
        <v>-85426830.920000002</v>
      </c>
      <c r="W314" t="s">
        <v>3</v>
      </c>
      <c r="X314" s="2">
        <v>-144464903.84</v>
      </c>
      <c r="Y314" s="2">
        <v>0</v>
      </c>
      <c r="Z314" s="2">
        <v>0</v>
      </c>
      <c r="AA314" s="2">
        <v>-6285.84</v>
      </c>
      <c r="AB314" s="2">
        <v>-144471189.68000001</v>
      </c>
      <c r="AD314" t="s">
        <v>3</v>
      </c>
      <c r="AE314" s="2">
        <v>-107297699.32999998</v>
      </c>
      <c r="AF314" s="2">
        <v>0</v>
      </c>
      <c r="AG314" s="2">
        <v>0</v>
      </c>
      <c r="AH314" s="2">
        <v>-21651.81</v>
      </c>
      <c r="AI314" s="2">
        <v>-107319351.13999999</v>
      </c>
      <c r="AJ314" s="3">
        <v>-251790540.81999999</v>
      </c>
      <c r="AK314" t="s">
        <v>3</v>
      </c>
      <c r="AL314" s="2">
        <v>-143336525.72999993</v>
      </c>
      <c r="AM314" s="2">
        <v>0</v>
      </c>
      <c r="AN314" s="2">
        <v>0</v>
      </c>
      <c r="AO314" s="2">
        <v>-25103.719999999994</v>
      </c>
      <c r="AP314" s="2">
        <v>-143361629.44999993</v>
      </c>
    </row>
    <row r="315" spans="2:42" x14ac:dyDescent="0.35">
      <c r="B315" t="s">
        <v>88</v>
      </c>
      <c r="C315" s="2">
        <v>90530378</v>
      </c>
      <c r="D315" s="2">
        <v>0</v>
      </c>
      <c r="E315" s="2">
        <v>0</v>
      </c>
      <c r="F315" s="2">
        <v>509730.72000000003</v>
      </c>
      <c r="G315" s="2">
        <v>91040108.719999999</v>
      </c>
      <c r="I315" t="s">
        <v>88</v>
      </c>
      <c r="J315" s="2">
        <v>31733521.759999998</v>
      </c>
      <c r="K315" s="2">
        <v>0</v>
      </c>
      <c r="L315" s="2">
        <v>0</v>
      </c>
      <c r="M315" s="2">
        <v>420320.46</v>
      </c>
      <c r="N315" s="2">
        <v>32153842.219999999</v>
      </c>
      <c r="P315" t="s">
        <v>88</v>
      </c>
      <c r="Q315" s="2">
        <v>19994617.079999998</v>
      </c>
      <c r="R315" s="2">
        <v>0</v>
      </c>
      <c r="S315" s="2">
        <v>0</v>
      </c>
      <c r="T315" s="2">
        <v>40825.309999999939</v>
      </c>
      <c r="U315" s="2">
        <v>20035442.389999997</v>
      </c>
      <c r="W315" t="s">
        <v>88</v>
      </c>
      <c r="X315" s="2">
        <v>51728138.839999996</v>
      </c>
      <c r="Y315" s="2">
        <v>0</v>
      </c>
      <c r="Z315" s="2">
        <v>0</v>
      </c>
      <c r="AA315" s="2">
        <v>461145.76999999996</v>
      </c>
      <c r="AB315" s="2">
        <v>52189284.609999999</v>
      </c>
      <c r="AD315" t="s">
        <v>88</v>
      </c>
      <c r="AE315" s="2">
        <v>15123157.960000016</v>
      </c>
      <c r="AF315" s="2">
        <v>0</v>
      </c>
      <c r="AG315" s="2">
        <v>0</v>
      </c>
      <c r="AH315" s="2">
        <v>34213.64000000013</v>
      </c>
      <c r="AI315" s="2">
        <v>15157371.600000016</v>
      </c>
      <c r="AJ315" s="3">
        <v>67346656.210000008</v>
      </c>
      <c r="AK315" t="s">
        <v>88</v>
      </c>
      <c r="AL315" s="2">
        <v>23679081.199999996</v>
      </c>
      <c r="AM315" s="2">
        <v>0</v>
      </c>
      <c r="AN315" s="2">
        <v>0</v>
      </c>
      <c r="AO315" s="2">
        <v>14371.309999999939</v>
      </c>
      <c r="AP315" s="2">
        <v>23693452.509999994</v>
      </c>
    </row>
    <row r="316" spans="2:42" x14ac:dyDescent="0.35">
      <c r="B316" t="s">
        <v>13</v>
      </c>
      <c r="C316" s="2">
        <v>-10148613.370000001</v>
      </c>
      <c r="D316" s="2">
        <v>0</v>
      </c>
      <c r="E316" s="2">
        <v>0</v>
      </c>
      <c r="F316" s="2">
        <v>0</v>
      </c>
      <c r="G316" s="2">
        <v>-10148613.370000001</v>
      </c>
      <c r="I316" t="s">
        <v>13</v>
      </c>
      <c r="J316" s="2">
        <v>-1598083.3000000003</v>
      </c>
      <c r="K316" s="2">
        <v>0</v>
      </c>
      <c r="L316" s="2">
        <v>0</v>
      </c>
      <c r="M316" s="2">
        <v>0</v>
      </c>
      <c r="N316" s="2">
        <v>-1598083.3000000003</v>
      </c>
      <c r="P316" t="s">
        <v>13</v>
      </c>
      <c r="Q316" s="2">
        <v>-2324547.0499999998</v>
      </c>
      <c r="R316" s="2">
        <v>0</v>
      </c>
      <c r="S316" s="2">
        <v>0</v>
      </c>
      <c r="T316" s="2">
        <v>0</v>
      </c>
      <c r="U316" s="2">
        <v>-2324547.0499999998</v>
      </c>
      <c r="W316" t="s">
        <v>13</v>
      </c>
      <c r="X316" s="2">
        <v>-3922630.35</v>
      </c>
      <c r="Y316" s="2">
        <v>0</v>
      </c>
      <c r="Z316" s="2">
        <v>0</v>
      </c>
      <c r="AA316" s="2">
        <v>0</v>
      </c>
      <c r="AB316" s="2">
        <v>-3922630.35</v>
      </c>
      <c r="AD316" t="s">
        <v>13</v>
      </c>
      <c r="AE316" s="2">
        <v>-2816015.7700000019</v>
      </c>
      <c r="AF316" s="2">
        <v>0</v>
      </c>
      <c r="AG316" s="2">
        <v>0</v>
      </c>
      <c r="AH316" s="2">
        <v>0</v>
      </c>
      <c r="AI316" s="2">
        <v>-2816015.7700000019</v>
      </c>
      <c r="AJ316" s="3">
        <v>-6738646.120000002</v>
      </c>
      <c r="AK316" t="s">
        <v>13</v>
      </c>
      <c r="AL316" s="2">
        <v>-3409967.2499999995</v>
      </c>
      <c r="AM316" s="2">
        <v>0</v>
      </c>
      <c r="AN316" s="2">
        <v>0</v>
      </c>
      <c r="AO316" s="2">
        <v>0</v>
      </c>
      <c r="AP316" s="2">
        <v>-3409967.2499999995</v>
      </c>
    </row>
    <row r="317" spans="2:42" x14ac:dyDescent="0.35">
      <c r="B317" s="19" t="s">
        <v>14</v>
      </c>
      <c r="C317" s="20">
        <v>487214169.7699998</v>
      </c>
      <c r="D317" s="20">
        <v>0</v>
      </c>
      <c r="E317" s="20">
        <v>0</v>
      </c>
      <c r="F317" s="20">
        <v>456689.35000000003</v>
      </c>
      <c r="G317" s="20">
        <v>487670859.11999977</v>
      </c>
      <c r="I317" s="19" t="s">
        <v>14</v>
      </c>
      <c r="J317" s="20">
        <v>109144920.12000002</v>
      </c>
      <c r="K317" s="20">
        <v>0</v>
      </c>
      <c r="L317" s="20">
        <v>0</v>
      </c>
      <c r="M317" s="20">
        <v>416029.48000000004</v>
      </c>
      <c r="N317" s="20">
        <v>109560949.60000004</v>
      </c>
      <c r="P317" s="19" t="s">
        <v>14</v>
      </c>
      <c r="Q317" s="20">
        <v>107530532.77999997</v>
      </c>
      <c r="R317" s="20">
        <v>0</v>
      </c>
      <c r="S317" s="20">
        <v>0</v>
      </c>
      <c r="T317" s="20">
        <v>38830.449999999939</v>
      </c>
      <c r="U317" s="20">
        <v>107569363.22999997</v>
      </c>
      <c r="W317" s="19" t="s">
        <v>14</v>
      </c>
      <c r="X317" s="20">
        <v>216675452.90000001</v>
      </c>
      <c r="Y317" s="20">
        <v>0</v>
      </c>
      <c r="Z317" s="20">
        <v>0</v>
      </c>
      <c r="AA317" s="20">
        <v>454859.92999999993</v>
      </c>
      <c r="AB317" s="20">
        <v>217130312.83000001</v>
      </c>
      <c r="AD317" s="19" t="s">
        <v>14</v>
      </c>
      <c r="AE317" s="20">
        <v>145313875.34000003</v>
      </c>
      <c r="AF317" s="20">
        <v>0</v>
      </c>
      <c r="AG317" s="20">
        <v>0</v>
      </c>
      <c r="AH317" s="20">
        <v>12561.830000000129</v>
      </c>
      <c r="AI317" s="20">
        <v>145326437.17000005</v>
      </c>
      <c r="AJ317" s="3">
        <v>362456750.00000006</v>
      </c>
      <c r="AK317" s="19" t="s">
        <v>14</v>
      </c>
      <c r="AL317" s="20">
        <v>125224841.52999976</v>
      </c>
      <c r="AM317" s="20">
        <v>0</v>
      </c>
      <c r="AN317" s="20">
        <v>0</v>
      </c>
      <c r="AO317" s="20">
        <v>-10732.410000000054</v>
      </c>
      <c r="AP317" s="20">
        <v>125214109.11999977</v>
      </c>
    </row>
    <row r="318" spans="2:42" x14ac:dyDescent="0.35">
      <c r="C318" s="2"/>
      <c r="D318" s="2"/>
      <c r="E318" s="2"/>
      <c r="F318" s="2"/>
      <c r="G318" s="2"/>
      <c r="J318" s="2"/>
      <c r="K318" s="2"/>
      <c r="L318" s="2"/>
      <c r="M318" s="2"/>
      <c r="N318" s="2"/>
      <c r="Q318" s="2"/>
      <c r="R318" s="2"/>
      <c r="S318" s="2"/>
      <c r="T318" s="2"/>
      <c r="U318" s="2"/>
      <c r="X318" s="2"/>
      <c r="Y318" s="2"/>
      <c r="Z318" s="2"/>
      <c r="AA318" s="2"/>
      <c r="AB318" s="2"/>
      <c r="AE318" s="2"/>
      <c r="AF318" s="2"/>
      <c r="AG318" s="2"/>
      <c r="AH318" s="2"/>
      <c r="AI318" s="2"/>
      <c r="AJ318" s="3">
        <v>0</v>
      </c>
      <c r="AL318" s="2"/>
      <c r="AM318" s="2"/>
      <c r="AN318" s="2"/>
      <c r="AO318" s="2"/>
      <c r="AP318" s="2"/>
    </row>
    <row r="319" spans="2:42" x14ac:dyDescent="0.35">
      <c r="C319" s="2"/>
      <c r="D319" s="2"/>
      <c r="E319" s="2"/>
      <c r="F319" s="2"/>
      <c r="G319" s="2"/>
      <c r="J319" s="2"/>
      <c r="K319" s="2"/>
      <c r="L319" s="2"/>
      <c r="M319" s="2"/>
      <c r="N319" s="2"/>
      <c r="Q319" s="2"/>
      <c r="R319" s="2"/>
      <c r="S319" s="2"/>
      <c r="T319" s="2"/>
      <c r="U319" s="2"/>
      <c r="X319" s="2"/>
      <c r="Y319" s="2"/>
      <c r="Z319" s="2"/>
      <c r="AA319" s="2"/>
      <c r="AB319" s="2"/>
      <c r="AE319" s="2"/>
      <c r="AF319" s="2"/>
      <c r="AG319" s="2"/>
      <c r="AH319" s="2"/>
      <c r="AI319" s="2"/>
      <c r="AJ319" s="3">
        <v>0</v>
      </c>
      <c r="AL319" s="2"/>
      <c r="AM319" s="2"/>
      <c r="AN319" s="2"/>
      <c r="AO319" s="2"/>
      <c r="AP319" s="2"/>
    </row>
    <row r="320" spans="2:42" x14ac:dyDescent="0.35">
      <c r="B320" t="s">
        <v>15</v>
      </c>
      <c r="C320" s="2">
        <v>234183192.45999998</v>
      </c>
      <c r="D320" s="2">
        <v>0</v>
      </c>
      <c r="E320" s="2">
        <v>0</v>
      </c>
      <c r="F320" s="2">
        <v>14263844.899999999</v>
      </c>
      <c r="G320" s="2">
        <v>248447037.35999998</v>
      </c>
      <c r="I320" t="s">
        <v>15</v>
      </c>
      <c r="J320" s="2">
        <v>61545212.540000007</v>
      </c>
      <c r="K320" s="2">
        <v>0</v>
      </c>
      <c r="L320" s="2">
        <v>0</v>
      </c>
      <c r="M320" s="2">
        <v>3425448.54</v>
      </c>
      <c r="N320" s="2">
        <v>64970661.080000006</v>
      </c>
      <c r="P320" t="s">
        <v>15</v>
      </c>
      <c r="Q320" s="2">
        <v>36552704.920000017</v>
      </c>
      <c r="R320" s="2">
        <v>0</v>
      </c>
      <c r="S320" s="2">
        <v>0</v>
      </c>
      <c r="T320" s="2">
        <v>3362311.4499999993</v>
      </c>
      <c r="U320" s="2">
        <v>39915016.37000002</v>
      </c>
      <c r="W320" t="s">
        <v>15</v>
      </c>
      <c r="X320" s="2">
        <v>98097917.460000023</v>
      </c>
      <c r="Y320" s="2">
        <v>0</v>
      </c>
      <c r="Z320" s="2">
        <v>0</v>
      </c>
      <c r="AA320" s="2">
        <v>6787759.9899999993</v>
      </c>
      <c r="AB320" s="2">
        <v>104885677.45000002</v>
      </c>
      <c r="AD320" t="s">
        <v>15</v>
      </c>
      <c r="AE320" s="2">
        <v>55403584.349999979</v>
      </c>
      <c r="AF320" s="2">
        <v>0</v>
      </c>
      <c r="AG320" s="2">
        <v>0</v>
      </c>
      <c r="AH320" s="2">
        <v>3636138.1900000023</v>
      </c>
      <c r="AI320" s="2">
        <v>59039722.539999984</v>
      </c>
      <c r="AJ320" s="3">
        <v>163925399.99000001</v>
      </c>
      <c r="AK320" t="s">
        <v>15</v>
      </c>
      <c r="AL320" s="2">
        <v>80681690.649999991</v>
      </c>
      <c r="AM320" s="2">
        <v>0</v>
      </c>
      <c r="AN320" s="2">
        <v>0</v>
      </c>
      <c r="AO320" s="2">
        <v>3839946.7199999979</v>
      </c>
      <c r="AP320" s="2">
        <v>84521637.36999999</v>
      </c>
    </row>
    <row r="321" spans="2:42" x14ac:dyDescent="0.35">
      <c r="B321" t="s">
        <v>16</v>
      </c>
      <c r="C321" s="2">
        <v>-83437473.309999987</v>
      </c>
      <c r="D321" s="2">
        <v>0</v>
      </c>
      <c r="E321" s="2">
        <v>0</v>
      </c>
      <c r="F321" s="2">
        <v>0</v>
      </c>
      <c r="G321" s="2">
        <v>-83437473.309999987</v>
      </c>
      <c r="I321" t="s">
        <v>16</v>
      </c>
      <c r="J321" s="2">
        <v>-21269197.590000007</v>
      </c>
      <c r="K321" s="2">
        <v>0</v>
      </c>
      <c r="L321" s="2">
        <v>0</v>
      </c>
      <c r="M321" s="2">
        <v>0</v>
      </c>
      <c r="N321" s="2">
        <v>-21269197.590000007</v>
      </c>
      <c r="P321" t="s">
        <v>16</v>
      </c>
      <c r="Q321" s="2">
        <v>-15984047.89999998</v>
      </c>
      <c r="R321" s="2">
        <v>0</v>
      </c>
      <c r="S321" s="2">
        <v>0</v>
      </c>
      <c r="T321" s="2">
        <v>0</v>
      </c>
      <c r="U321" s="2">
        <v>-15984047.89999998</v>
      </c>
      <c r="W321" t="s">
        <v>16</v>
      </c>
      <c r="X321" s="2">
        <v>-37253245.489999987</v>
      </c>
      <c r="Y321" s="2">
        <v>0</v>
      </c>
      <c r="Z321" s="2">
        <v>0</v>
      </c>
      <c r="AA321" s="2">
        <v>0</v>
      </c>
      <c r="AB321" s="2">
        <v>-37253245.489999987</v>
      </c>
      <c r="AD321" t="s">
        <v>16</v>
      </c>
      <c r="AE321" s="2">
        <v>-24351895.760000013</v>
      </c>
      <c r="AF321" s="2">
        <v>0</v>
      </c>
      <c r="AG321" s="2">
        <v>0</v>
      </c>
      <c r="AH321" s="2">
        <v>0</v>
      </c>
      <c r="AI321" s="2">
        <v>-24351895.760000013</v>
      </c>
      <c r="AJ321" s="3">
        <v>-61605141.25</v>
      </c>
      <c r="AK321" t="s">
        <v>16</v>
      </c>
      <c r="AL321" s="2">
        <v>-21832332.059999987</v>
      </c>
      <c r="AM321" s="2">
        <v>0</v>
      </c>
      <c r="AN321" s="2">
        <v>0</v>
      </c>
      <c r="AO321" s="2">
        <v>0</v>
      </c>
      <c r="AP321" s="2">
        <v>-21832332.059999987</v>
      </c>
    </row>
    <row r="322" spans="2:42" x14ac:dyDescent="0.35">
      <c r="B322" s="19" t="s">
        <v>17</v>
      </c>
      <c r="C322" s="20">
        <v>150745719.14999998</v>
      </c>
      <c r="D322" s="20">
        <v>0</v>
      </c>
      <c r="E322" s="20">
        <v>0</v>
      </c>
      <c r="F322" s="20">
        <v>14263844.899999999</v>
      </c>
      <c r="G322" s="20">
        <v>165009564.05000001</v>
      </c>
      <c r="I322" s="19" t="s">
        <v>17</v>
      </c>
      <c r="J322" s="20">
        <v>40276014.950000003</v>
      </c>
      <c r="K322" s="20">
        <v>0</v>
      </c>
      <c r="L322" s="20">
        <v>0</v>
      </c>
      <c r="M322" s="20">
        <v>3425448.54</v>
      </c>
      <c r="N322" s="20">
        <v>43701463.489999995</v>
      </c>
      <c r="P322" s="19" t="s">
        <v>17</v>
      </c>
      <c r="Q322" s="20">
        <v>20568657.020000037</v>
      </c>
      <c r="R322" s="20">
        <v>0</v>
      </c>
      <c r="S322" s="20">
        <v>0</v>
      </c>
      <c r="T322" s="20">
        <v>3362311.4499999993</v>
      </c>
      <c r="U322" s="20">
        <v>23930968.47000004</v>
      </c>
      <c r="W322" s="19" t="s">
        <v>17</v>
      </c>
      <c r="X322" s="20">
        <v>60844671.970000036</v>
      </c>
      <c r="Y322" s="20">
        <v>0</v>
      </c>
      <c r="Z322" s="20">
        <v>0</v>
      </c>
      <c r="AA322" s="20">
        <v>6787759.9899999993</v>
      </c>
      <c r="AB322" s="20">
        <v>67632431.960000038</v>
      </c>
      <c r="AD322" s="19" t="s">
        <v>17</v>
      </c>
      <c r="AE322" s="20">
        <v>31051688.589999966</v>
      </c>
      <c r="AF322" s="20">
        <v>0</v>
      </c>
      <c r="AG322" s="20">
        <v>0</v>
      </c>
      <c r="AH322" s="20">
        <v>3636138.1900000023</v>
      </c>
      <c r="AI322" s="20">
        <v>34687826.779999971</v>
      </c>
      <c r="AJ322" s="3">
        <v>102320258.74000001</v>
      </c>
      <c r="AK322" s="19" t="s">
        <v>17</v>
      </c>
      <c r="AL322" s="20">
        <v>58849358.590000004</v>
      </c>
      <c r="AM322" s="20">
        <v>0</v>
      </c>
      <c r="AN322" s="20">
        <v>0</v>
      </c>
      <c r="AO322" s="20">
        <v>3839946.7199999979</v>
      </c>
      <c r="AP322" s="20">
        <v>62689305.310000002</v>
      </c>
    </row>
    <row r="323" spans="2:42" x14ac:dyDescent="0.35">
      <c r="C323" s="2"/>
      <c r="D323" s="2"/>
      <c r="E323" s="2"/>
      <c r="F323" s="2"/>
      <c r="G323" s="2"/>
      <c r="J323" s="2"/>
      <c r="K323" s="2"/>
      <c r="L323" s="2"/>
      <c r="M323" s="2"/>
      <c r="N323" s="2"/>
      <c r="Q323" s="2"/>
      <c r="R323" s="2"/>
      <c r="S323" s="2"/>
      <c r="T323" s="2"/>
      <c r="U323" s="2"/>
      <c r="X323" s="2"/>
      <c r="Y323" s="2"/>
      <c r="Z323" s="2"/>
      <c r="AA323" s="2"/>
      <c r="AB323" s="2"/>
      <c r="AE323" s="2"/>
      <c r="AF323" s="2"/>
      <c r="AG323" s="2"/>
      <c r="AH323" s="2"/>
      <c r="AI323" s="2"/>
      <c r="AJ323" s="3">
        <v>0</v>
      </c>
      <c r="AL323" s="2"/>
      <c r="AM323" s="2"/>
      <c r="AN323" s="2"/>
      <c r="AO323" s="2"/>
      <c r="AP323" s="2"/>
    </row>
    <row r="324" spans="2:42" x14ac:dyDescent="0.35">
      <c r="C324" s="2"/>
      <c r="D324" s="2"/>
      <c r="E324" s="2"/>
      <c r="F324" s="2"/>
      <c r="G324" s="2"/>
      <c r="J324" s="2"/>
      <c r="K324" s="2"/>
      <c r="L324" s="2"/>
      <c r="M324" s="2"/>
      <c r="N324" s="2"/>
      <c r="Q324" s="2"/>
      <c r="R324" s="2"/>
      <c r="S324" s="2"/>
      <c r="T324" s="2"/>
      <c r="U324" s="2"/>
      <c r="X324" s="2"/>
      <c r="Y324" s="2"/>
      <c r="Z324" s="2"/>
      <c r="AA324" s="2"/>
      <c r="AB324" s="2"/>
      <c r="AE324" s="2"/>
      <c r="AF324" s="2"/>
      <c r="AG324" s="2"/>
      <c r="AH324" s="2"/>
      <c r="AI324" s="2"/>
      <c r="AJ324" s="3">
        <v>0</v>
      </c>
      <c r="AL324" s="2"/>
      <c r="AM324" s="2"/>
      <c r="AN324" s="2"/>
      <c r="AO324" s="2"/>
      <c r="AP324" s="2"/>
    </row>
    <row r="325" spans="2:42" x14ac:dyDescent="0.35">
      <c r="B325" s="16" t="s">
        <v>20</v>
      </c>
      <c r="C325" s="17">
        <v>10385698.217857383</v>
      </c>
      <c r="D325" s="17">
        <v>0</v>
      </c>
      <c r="E325" s="17">
        <v>0</v>
      </c>
      <c r="F325" s="17">
        <v>-8013024.6126419734</v>
      </c>
      <c r="G325" s="17">
        <v>2372673.6052154098</v>
      </c>
      <c r="I325" s="16" t="s">
        <v>20</v>
      </c>
      <c r="J325" s="17">
        <v>6681269.6788199991</v>
      </c>
      <c r="K325" s="17">
        <v>0</v>
      </c>
      <c r="L325" s="17">
        <v>0</v>
      </c>
      <c r="M325" s="17">
        <v>-2048796.3189931887</v>
      </c>
      <c r="N325" s="17">
        <v>4632473.3598268107</v>
      </c>
      <c r="P325" s="16" t="s">
        <v>20</v>
      </c>
      <c r="Q325" s="17">
        <v>2692425.1939200033</v>
      </c>
      <c r="R325" s="17">
        <v>0</v>
      </c>
      <c r="S325" s="17">
        <v>0</v>
      </c>
      <c r="T325" s="17">
        <v>-956217.50355778518</v>
      </c>
      <c r="U325" s="17">
        <v>1736207.6903622181</v>
      </c>
      <c r="W325" s="16" t="s">
        <v>20</v>
      </c>
      <c r="X325" s="17">
        <v>9373694.8727400023</v>
      </c>
      <c r="Y325" s="17">
        <v>0</v>
      </c>
      <c r="Z325" s="17">
        <v>0</v>
      </c>
      <c r="AA325" s="17">
        <v>-3005013.8225509739</v>
      </c>
      <c r="AB325" s="17">
        <v>6368681.0501890285</v>
      </c>
      <c r="AD325" s="16" t="s">
        <v>20</v>
      </c>
      <c r="AE325" s="17">
        <v>802734.52400421165</v>
      </c>
      <c r="AF325" s="17">
        <v>0</v>
      </c>
      <c r="AG325" s="17">
        <v>0</v>
      </c>
      <c r="AH325" s="17">
        <v>-1446375.5622917283</v>
      </c>
      <c r="AI325" s="17">
        <v>-643641.03828751668</v>
      </c>
      <c r="AJ325" s="3">
        <v>5725040.0119015118</v>
      </c>
      <c r="AK325" s="16" t="s">
        <v>20</v>
      </c>
      <c r="AL325" s="17">
        <v>209268.82111316919</v>
      </c>
      <c r="AM325" s="17">
        <v>0</v>
      </c>
      <c r="AN325" s="17">
        <v>0</v>
      </c>
      <c r="AO325" s="17">
        <v>-3561635.2277992712</v>
      </c>
      <c r="AP325" s="17">
        <v>-3352366.406686102</v>
      </c>
    </row>
    <row r="326" spans="2:42" x14ac:dyDescent="0.35">
      <c r="C326" s="2"/>
      <c r="D326" s="2"/>
      <c r="E326" s="2"/>
      <c r="F326" s="2"/>
      <c r="G326" s="2"/>
      <c r="J326" s="2"/>
      <c r="K326" s="2"/>
      <c r="L326" s="2"/>
      <c r="M326" s="2"/>
      <c r="N326" s="2"/>
      <c r="Q326" s="2"/>
      <c r="R326" s="2"/>
      <c r="S326" s="2"/>
      <c r="T326" s="2"/>
      <c r="U326" s="2"/>
      <c r="X326" s="2"/>
      <c r="Y326" s="2"/>
      <c r="Z326" s="2"/>
      <c r="AA326" s="2"/>
      <c r="AB326" s="2"/>
      <c r="AE326" s="2"/>
      <c r="AF326" s="2"/>
      <c r="AG326" s="2"/>
      <c r="AH326" s="2"/>
      <c r="AI326" s="2"/>
      <c r="AJ326" s="3">
        <v>0</v>
      </c>
      <c r="AL326" s="2"/>
      <c r="AM326" s="2"/>
      <c r="AN326" s="2"/>
      <c r="AO326" s="2"/>
      <c r="AP326" s="2"/>
    </row>
    <row r="327" spans="2:42" x14ac:dyDescent="0.35">
      <c r="C327" s="2"/>
      <c r="D327" s="2"/>
      <c r="E327" s="2"/>
      <c r="F327" s="2"/>
      <c r="G327" s="2"/>
      <c r="J327" s="2"/>
      <c r="K327" s="2"/>
      <c r="L327" s="2"/>
      <c r="M327" s="2"/>
      <c r="N327" s="2"/>
      <c r="Q327" s="2"/>
      <c r="R327" s="2"/>
      <c r="S327" s="2"/>
      <c r="T327" s="2"/>
      <c r="U327" s="2"/>
      <c r="X327" s="2"/>
      <c r="Y327" s="2"/>
      <c r="Z327" s="2"/>
      <c r="AA327" s="2"/>
      <c r="AB327" s="2"/>
      <c r="AE327" s="2"/>
      <c r="AF327" s="2"/>
      <c r="AG327" s="2"/>
      <c r="AH327" s="2"/>
      <c r="AI327" s="2"/>
      <c r="AJ327" s="3">
        <v>0</v>
      </c>
      <c r="AL327" s="2"/>
      <c r="AM327" s="2"/>
      <c r="AN327" s="2"/>
      <c r="AO327" s="2"/>
      <c r="AP327" s="2"/>
    </row>
    <row r="328" spans="2:42" x14ac:dyDescent="0.35">
      <c r="C328" s="2"/>
      <c r="D328" s="2"/>
      <c r="E328" s="2"/>
      <c r="F328" s="2"/>
      <c r="G328" s="2"/>
      <c r="J328" s="2"/>
      <c r="K328" s="2"/>
      <c r="L328" s="2"/>
      <c r="M328" s="2"/>
      <c r="N328" s="2"/>
      <c r="Q328" s="2"/>
      <c r="R328" s="2"/>
      <c r="S328" s="2"/>
      <c r="T328" s="2"/>
      <c r="U328" s="2"/>
      <c r="X328" s="2"/>
      <c r="Y328" s="2"/>
      <c r="Z328" s="2"/>
      <c r="AA328" s="2"/>
      <c r="AB328" s="2"/>
      <c r="AE328" s="2"/>
      <c r="AF328" s="2"/>
      <c r="AG328" s="2"/>
      <c r="AH328" s="2"/>
      <c r="AI328" s="2"/>
      <c r="AJ328" s="3">
        <v>0</v>
      </c>
      <c r="AL328" s="2"/>
      <c r="AM328" s="2"/>
      <c r="AN328" s="2"/>
      <c r="AO328" s="2"/>
      <c r="AP328" s="2"/>
    </row>
    <row r="329" spans="2:42" x14ac:dyDescent="0.35">
      <c r="B329" t="s">
        <v>0</v>
      </c>
      <c r="C329" s="2">
        <v>105959048.91999999</v>
      </c>
      <c r="D329" s="2">
        <v>0</v>
      </c>
      <c r="E329" s="2">
        <v>0</v>
      </c>
      <c r="F329" s="2">
        <v>0</v>
      </c>
      <c r="G329" s="2">
        <v>105959048.91999999</v>
      </c>
      <c r="I329" t="s">
        <v>0</v>
      </c>
      <c r="J329" s="2">
        <v>39475983.409999996</v>
      </c>
      <c r="K329" s="2">
        <v>0</v>
      </c>
      <c r="L329" s="2">
        <v>0</v>
      </c>
      <c r="M329" s="2">
        <v>0</v>
      </c>
      <c r="N329" s="2">
        <v>39475983.409999996</v>
      </c>
      <c r="P329" t="s">
        <v>0</v>
      </c>
      <c r="Q329" s="2">
        <v>30978518.640000001</v>
      </c>
      <c r="R329" s="2">
        <v>0</v>
      </c>
      <c r="S329" s="2">
        <v>0</v>
      </c>
      <c r="T329" s="2">
        <v>0</v>
      </c>
      <c r="U329" s="2">
        <v>30978518.640000001</v>
      </c>
      <c r="W329" t="s">
        <v>0</v>
      </c>
      <c r="X329" s="2">
        <v>70454502.049999997</v>
      </c>
      <c r="Y329" s="2">
        <v>0</v>
      </c>
      <c r="Z329" s="2">
        <v>0</v>
      </c>
      <c r="AA329" s="2">
        <v>0</v>
      </c>
      <c r="AB329" s="2">
        <v>70454502.049999997</v>
      </c>
      <c r="AD329" t="s">
        <v>0</v>
      </c>
      <c r="AE329" s="2">
        <v>35504546.86999999</v>
      </c>
      <c r="AF329" s="2">
        <v>0</v>
      </c>
      <c r="AG329" s="2">
        <v>0</v>
      </c>
      <c r="AH329" s="2">
        <v>0</v>
      </c>
      <c r="AI329" s="2">
        <v>35504546.86999999</v>
      </c>
      <c r="AJ329" s="3">
        <v>105959048.91999999</v>
      </c>
      <c r="AK329" t="s">
        <v>0</v>
      </c>
      <c r="AL329" s="2">
        <v>0</v>
      </c>
      <c r="AM329" s="2">
        <v>0</v>
      </c>
      <c r="AN329" s="2">
        <v>0</v>
      </c>
      <c r="AO329" s="2">
        <v>0</v>
      </c>
      <c r="AP329" s="2">
        <v>0</v>
      </c>
    </row>
    <row r="330" spans="2:42" x14ac:dyDescent="0.35">
      <c r="B330" t="s">
        <v>2</v>
      </c>
      <c r="C330" s="2">
        <v>-105959048.86</v>
      </c>
      <c r="D330" s="2">
        <v>0</v>
      </c>
      <c r="E330" s="2">
        <v>0</v>
      </c>
      <c r="F330" s="2">
        <v>0</v>
      </c>
      <c r="G330" s="2">
        <v>-105959048.86</v>
      </c>
      <c r="I330" t="s">
        <v>2</v>
      </c>
      <c r="J330" s="2">
        <v>-39475983.349999994</v>
      </c>
      <c r="K330" s="2">
        <v>0</v>
      </c>
      <c r="L330" s="2">
        <v>0</v>
      </c>
      <c r="M330" s="2">
        <v>0</v>
      </c>
      <c r="N330" s="2">
        <v>-39475983.349999994</v>
      </c>
      <c r="P330" t="s">
        <v>2</v>
      </c>
      <c r="Q330" s="2">
        <v>-30978518.640000001</v>
      </c>
      <c r="R330" s="2">
        <v>0</v>
      </c>
      <c r="S330" s="2">
        <v>0</v>
      </c>
      <c r="T330" s="2">
        <v>0</v>
      </c>
      <c r="U330" s="2">
        <v>-30978518.640000001</v>
      </c>
      <c r="W330" t="s">
        <v>2</v>
      </c>
      <c r="X330" s="2">
        <v>-70454501.989999995</v>
      </c>
      <c r="Y330" s="2">
        <v>0</v>
      </c>
      <c r="Z330" s="2">
        <v>0</v>
      </c>
      <c r="AA330" s="2">
        <v>0</v>
      </c>
      <c r="AB330" s="2">
        <v>-70454501.989999995</v>
      </c>
      <c r="AD330" t="s">
        <v>2</v>
      </c>
      <c r="AE330" s="2">
        <v>-35504546.870000005</v>
      </c>
      <c r="AF330" s="2">
        <v>0</v>
      </c>
      <c r="AG330" s="2">
        <v>0</v>
      </c>
      <c r="AH330" s="2">
        <v>0</v>
      </c>
      <c r="AI330" s="2">
        <v>-35504546.870000005</v>
      </c>
      <c r="AJ330" s="3">
        <v>-105959048.86</v>
      </c>
      <c r="AK330" t="s">
        <v>2</v>
      </c>
      <c r="AL330" s="2">
        <v>0</v>
      </c>
      <c r="AM330" s="2">
        <v>0</v>
      </c>
      <c r="AN330" s="2">
        <v>0</v>
      </c>
      <c r="AO330" s="2">
        <v>0</v>
      </c>
      <c r="AP330" s="2">
        <v>0</v>
      </c>
    </row>
    <row r="331" spans="2:42" x14ac:dyDescent="0.35">
      <c r="B331" s="19" t="s">
        <v>21</v>
      </c>
      <c r="C331" s="20">
        <v>5.9999987483024597E-2</v>
      </c>
      <c r="D331" s="20">
        <v>0</v>
      </c>
      <c r="E331" s="20">
        <v>0</v>
      </c>
      <c r="F331" s="20">
        <v>0</v>
      </c>
      <c r="G331" s="20">
        <v>5.9999987483024597E-2</v>
      </c>
      <c r="I331" s="19" t="s">
        <v>21</v>
      </c>
      <c r="J331" s="20">
        <v>6.0000002384185791E-2</v>
      </c>
      <c r="K331" s="20">
        <v>0</v>
      </c>
      <c r="L331" s="20">
        <v>0</v>
      </c>
      <c r="M331" s="20">
        <v>0</v>
      </c>
      <c r="N331" s="20">
        <v>6.0000002384185791E-2</v>
      </c>
      <c r="P331" s="19" t="s">
        <v>21</v>
      </c>
      <c r="Q331" s="20">
        <v>0</v>
      </c>
      <c r="R331" s="20">
        <v>0</v>
      </c>
      <c r="S331" s="20">
        <v>0</v>
      </c>
      <c r="T331" s="20">
        <v>0</v>
      </c>
      <c r="U331" s="20">
        <v>0</v>
      </c>
      <c r="W331" s="19" t="s">
        <v>21</v>
      </c>
      <c r="X331" s="20">
        <v>6.0000002384185791E-2</v>
      </c>
      <c r="Y331" s="20">
        <v>0</v>
      </c>
      <c r="Z331" s="20">
        <v>0</v>
      </c>
      <c r="AA331" s="20">
        <v>0</v>
      </c>
      <c r="AB331" s="20">
        <v>6.0000002384185791E-2</v>
      </c>
      <c r="AD331" s="19" t="s">
        <v>21</v>
      </c>
      <c r="AE331" s="20">
        <v>0</v>
      </c>
      <c r="AF331" s="20">
        <v>0</v>
      </c>
      <c r="AG331" s="20">
        <v>0</v>
      </c>
      <c r="AH331" s="20">
        <v>0</v>
      </c>
      <c r="AI331" s="20">
        <v>0</v>
      </c>
      <c r="AJ331" s="3">
        <v>6.0000002384185791E-2</v>
      </c>
      <c r="AK331" s="19" t="s">
        <v>21</v>
      </c>
      <c r="AL331" s="20">
        <v>0</v>
      </c>
      <c r="AM331" s="20">
        <v>0</v>
      </c>
      <c r="AN331" s="20">
        <v>0</v>
      </c>
      <c r="AO331" s="20">
        <v>0</v>
      </c>
      <c r="AP331" s="20">
        <v>0</v>
      </c>
    </row>
    <row r="332" spans="2:42" x14ac:dyDescent="0.35">
      <c r="C332" s="2"/>
      <c r="D332" s="2"/>
      <c r="E332" s="2"/>
      <c r="F332" s="2"/>
      <c r="G332" s="2"/>
      <c r="J332" s="2"/>
      <c r="K332" s="2"/>
      <c r="L332" s="2"/>
      <c r="M332" s="2"/>
      <c r="N332" s="2"/>
      <c r="Q332" s="2"/>
      <c r="R332" s="2"/>
      <c r="S332" s="2"/>
      <c r="T332" s="2"/>
      <c r="U332" s="2"/>
      <c r="X332" s="2"/>
      <c r="Y332" s="2"/>
      <c r="Z332" s="2"/>
      <c r="AA332" s="2"/>
      <c r="AB332" s="2"/>
      <c r="AE332" s="2"/>
      <c r="AF332" s="2"/>
      <c r="AG332" s="2"/>
      <c r="AH332" s="2"/>
      <c r="AI332" s="2"/>
      <c r="AJ332" s="3">
        <v>0</v>
      </c>
      <c r="AL332" s="2"/>
      <c r="AM332" s="2"/>
      <c r="AN332" s="2"/>
      <c r="AO332" s="2"/>
      <c r="AP332" s="2"/>
    </row>
    <row r="333" spans="2:42" x14ac:dyDescent="0.35">
      <c r="C333" s="2"/>
      <c r="D333" s="2"/>
      <c r="E333" s="2"/>
      <c r="F333" s="2"/>
      <c r="G333" s="2"/>
      <c r="J333" s="2"/>
      <c r="K333" s="2"/>
      <c r="L333" s="2"/>
      <c r="M333" s="2"/>
      <c r="N333" s="2"/>
      <c r="Q333" s="2"/>
      <c r="R333" s="2"/>
      <c r="S333" s="2"/>
      <c r="T333" s="2"/>
      <c r="U333" s="2"/>
      <c r="X333" s="2"/>
      <c r="Y333" s="2"/>
      <c r="Z333" s="2"/>
      <c r="AA333" s="2"/>
      <c r="AB333" s="2"/>
      <c r="AE333" s="2"/>
      <c r="AF333" s="2"/>
      <c r="AG333" s="2"/>
      <c r="AH333" s="2"/>
      <c r="AI333" s="2"/>
      <c r="AJ333" s="3">
        <v>0</v>
      </c>
      <c r="AL333" s="2"/>
      <c r="AM333" s="2"/>
      <c r="AN333" s="2"/>
      <c r="AO333" s="2"/>
      <c r="AP333" s="2"/>
    </row>
    <row r="334" spans="2:42" x14ac:dyDescent="0.35">
      <c r="B334" t="s">
        <v>24</v>
      </c>
      <c r="C334" s="2">
        <v>0</v>
      </c>
      <c r="D334" s="2">
        <v>948315995</v>
      </c>
      <c r="E334" s="2">
        <v>0</v>
      </c>
      <c r="F334" s="2">
        <v>0</v>
      </c>
      <c r="G334" s="2">
        <v>948315995</v>
      </c>
      <c r="I334" t="s">
        <v>24</v>
      </c>
      <c r="J334" s="2">
        <v>0</v>
      </c>
      <c r="K334" s="2">
        <v>252032708</v>
      </c>
      <c r="L334" s="2">
        <v>0</v>
      </c>
      <c r="M334" s="2">
        <v>0</v>
      </c>
      <c r="N334" s="2">
        <v>252032708</v>
      </c>
      <c r="P334" t="s">
        <v>24</v>
      </c>
      <c r="Q334" s="2">
        <v>0</v>
      </c>
      <c r="R334" s="2">
        <v>252301469</v>
      </c>
      <c r="S334" s="2">
        <v>0</v>
      </c>
      <c r="T334" s="2">
        <v>0</v>
      </c>
      <c r="U334" s="2">
        <v>252301469</v>
      </c>
      <c r="W334" t="s">
        <v>24</v>
      </c>
      <c r="X334" s="2">
        <v>0</v>
      </c>
      <c r="Y334" s="2">
        <v>504334177</v>
      </c>
      <c r="Z334" s="2">
        <v>0</v>
      </c>
      <c r="AA334" s="2">
        <v>0</v>
      </c>
      <c r="AB334" s="2">
        <v>504334177</v>
      </c>
      <c r="AD334" t="s">
        <v>24</v>
      </c>
      <c r="AE334" s="2">
        <v>0</v>
      </c>
      <c r="AF334" s="2">
        <v>219267058</v>
      </c>
      <c r="AG334" s="2">
        <v>0</v>
      </c>
      <c r="AH334" s="2">
        <v>0</v>
      </c>
      <c r="AI334" s="2">
        <v>219267058</v>
      </c>
      <c r="AJ334" s="3">
        <v>723601235</v>
      </c>
      <c r="AK334" t="s">
        <v>24</v>
      </c>
      <c r="AL334" s="2">
        <v>0</v>
      </c>
      <c r="AM334" s="2">
        <v>224714760</v>
      </c>
      <c r="AN334" s="2">
        <v>0</v>
      </c>
      <c r="AO334" s="2">
        <v>0</v>
      </c>
      <c r="AP334" s="2">
        <v>224714760</v>
      </c>
    </row>
    <row r="335" spans="2:42" x14ac:dyDescent="0.35">
      <c r="B335" t="s">
        <v>25</v>
      </c>
      <c r="C335" s="2">
        <v>0</v>
      </c>
      <c r="D335" s="2">
        <v>-105733553</v>
      </c>
      <c r="E335" s="2">
        <v>0</v>
      </c>
      <c r="F335" s="2">
        <v>0</v>
      </c>
      <c r="G335" s="2">
        <v>-105733553</v>
      </c>
      <c r="I335" t="s">
        <v>25</v>
      </c>
      <c r="J335" s="2">
        <v>0</v>
      </c>
      <c r="K335" s="2">
        <v>-43926192</v>
      </c>
      <c r="L335" s="2">
        <v>0</v>
      </c>
      <c r="M335" s="2">
        <v>0</v>
      </c>
      <c r="N335" s="2">
        <v>-43926192</v>
      </c>
      <c r="P335" t="s">
        <v>25</v>
      </c>
      <c r="Q335" s="2">
        <v>0</v>
      </c>
      <c r="R335" s="2">
        <v>-55914262</v>
      </c>
      <c r="S335" s="2">
        <v>0</v>
      </c>
      <c r="T335" s="2">
        <v>0</v>
      </c>
      <c r="U335" s="2">
        <v>-55914262</v>
      </c>
      <c r="W335" t="s">
        <v>25</v>
      </c>
      <c r="X335" s="2">
        <v>0</v>
      </c>
      <c r="Y335" s="2">
        <v>-99840454</v>
      </c>
      <c r="Z335" s="2">
        <v>0</v>
      </c>
      <c r="AA335" s="2">
        <v>0</v>
      </c>
      <c r="AB335" s="2">
        <v>-99840454</v>
      </c>
      <c r="AD335" t="s">
        <v>25</v>
      </c>
      <c r="AE335" s="2">
        <v>0</v>
      </c>
      <c r="AF335" s="2">
        <v>1178020</v>
      </c>
      <c r="AG335" s="2">
        <v>0</v>
      </c>
      <c r="AH335" s="2">
        <v>0</v>
      </c>
      <c r="AI335" s="2">
        <v>1178020</v>
      </c>
      <c r="AJ335" s="3">
        <v>-98662434</v>
      </c>
      <c r="AK335" t="s">
        <v>25</v>
      </c>
      <c r="AL335" s="2">
        <v>0</v>
      </c>
      <c r="AM335" s="2">
        <v>-7071119</v>
      </c>
      <c r="AN335" s="2">
        <v>0</v>
      </c>
      <c r="AO335" s="2">
        <v>0</v>
      </c>
      <c r="AP335" s="2">
        <v>-7071119</v>
      </c>
    </row>
    <row r="336" spans="2:42" x14ac:dyDescent="0.35">
      <c r="B336" t="s">
        <v>26</v>
      </c>
      <c r="C336" s="2">
        <v>0</v>
      </c>
      <c r="D336" s="2">
        <v>-284414634</v>
      </c>
      <c r="E336" s="2">
        <v>0</v>
      </c>
      <c r="F336" s="2">
        <v>0</v>
      </c>
      <c r="G336" s="2">
        <v>-284414634</v>
      </c>
      <c r="I336" t="s">
        <v>26</v>
      </c>
      <c r="J336" s="2">
        <v>0</v>
      </c>
      <c r="K336" s="2">
        <v>-70031924</v>
      </c>
      <c r="L336" s="2">
        <v>0</v>
      </c>
      <c r="M336" s="2">
        <v>0</v>
      </c>
      <c r="N336" s="2">
        <v>-70031924</v>
      </c>
      <c r="P336" t="s">
        <v>26</v>
      </c>
      <c r="Q336" s="2">
        <v>0</v>
      </c>
      <c r="R336" s="2">
        <v>-67048069</v>
      </c>
      <c r="S336" s="2">
        <v>0</v>
      </c>
      <c r="T336" s="2">
        <v>0</v>
      </c>
      <c r="U336" s="2">
        <v>-67048069</v>
      </c>
      <c r="W336" t="s">
        <v>26</v>
      </c>
      <c r="X336" s="2">
        <v>0</v>
      </c>
      <c r="Y336" s="2">
        <v>-137079993</v>
      </c>
      <c r="Z336" s="2">
        <v>0</v>
      </c>
      <c r="AA336" s="2">
        <v>0</v>
      </c>
      <c r="AB336" s="2">
        <v>-137079993</v>
      </c>
      <c r="AD336" t="s">
        <v>26</v>
      </c>
      <c r="AE336" s="2">
        <v>0</v>
      </c>
      <c r="AF336" s="2">
        <v>-74031174</v>
      </c>
      <c r="AG336" s="2">
        <v>0</v>
      </c>
      <c r="AH336" s="2">
        <v>0</v>
      </c>
      <c r="AI336" s="2">
        <v>-74031174</v>
      </c>
      <c r="AJ336" s="3">
        <v>-211111167</v>
      </c>
      <c r="AK336" t="s">
        <v>26</v>
      </c>
      <c r="AL336" s="2">
        <v>0</v>
      </c>
      <c r="AM336" s="2">
        <v>-73303467</v>
      </c>
      <c r="AN336" s="2">
        <v>0</v>
      </c>
      <c r="AO336" s="2">
        <v>0</v>
      </c>
      <c r="AP336" s="2">
        <v>-73303467</v>
      </c>
    </row>
    <row r="337" spans="2:42" x14ac:dyDescent="0.35">
      <c r="B337" s="19" t="s">
        <v>101</v>
      </c>
      <c r="C337" s="20">
        <v>0</v>
      </c>
      <c r="D337" s="20">
        <v>558167808</v>
      </c>
      <c r="E337" s="20">
        <v>0</v>
      </c>
      <c r="F337" s="20">
        <v>0</v>
      </c>
      <c r="G337" s="20">
        <v>558167808</v>
      </c>
      <c r="I337" s="19" t="s">
        <v>101</v>
      </c>
      <c r="J337" s="20">
        <v>0</v>
      </c>
      <c r="K337" s="20">
        <v>138074592</v>
      </c>
      <c r="L337" s="20">
        <v>0</v>
      </c>
      <c r="M337" s="20">
        <v>0</v>
      </c>
      <c r="N337" s="20">
        <v>138074592</v>
      </c>
      <c r="P337" s="19" t="s">
        <v>101</v>
      </c>
      <c r="Q337" s="20">
        <v>0</v>
      </c>
      <c r="R337" s="20">
        <v>129339138</v>
      </c>
      <c r="S337" s="20">
        <v>0</v>
      </c>
      <c r="T337" s="20">
        <v>0</v>
      </c>
      <c r="U337" s="20">
        <v>129339138</v>
      </c>
      <c r="W337" s="19" t="s">
        <v>101</v>
      </c>
      <c r="X337" s="20">
        <v>0</v>
      </c>
      <c r="Y337" s="20">
        <v>267413730</v>
      </c>
      <c r="Z337" s="20">
        <v>0</v>
      </c>
      <c r="AA337" s="20">
        <v>0</v>
      </c>
      <c r="AB337" s="20">
        <v>267413730</v>
      </c>
      <c r="AD337" s="19" t="s">
        <v>101</v>
      </c>
      <c r="AE337" s="20">
        <v>0</v>
      </c>
      <c r="AF337" s="20">
        <v>146413904</v>
      </c>
      <c r="AG337" s="20">
        <v>0</v>
      </c>
      <c r="AH337" s="20">
        <v>0</v>
      </c>
      <c r="AI337" s="20">
        <v>146413904</v>
      </c>
      <c r="AJ337" s="3">
        <v>413827634</v>
      </c>
      <c r="AK337" s="19" t="s">
        <v>152</v>
      </c>
      <c r="AL337" s="20">
        <v>0</v>
      </c>
      <c r="AM337" s="20">
        <v>144340174</v>
      </c>
      <c r="AN337" s="20">
        <v>0</v>
      </c>
      <c r="AO337" s="20">
        <v>0</v>
      </c>
      <c r="AP337" s="20">
        <v>144340174</v>
      </c>
    </row>
    <row r="338" spans="2:42" x14ac:dyDescent="0.35">
      <c r="C338" s="2"/>
      <c r="D338" s="2"/>
      <c r="E338" s="2"/>
      <c r="F338" s="2"/>
      <c r="G338" s="2"/>
      <c r="J338" s="2"/>
      <c r="K338" s="2"/>
      <c r="L338" s="2"/>
      <c r="M338" s="2"/>
      <c r="N338" s="2"/>
      <c r="Q338" s="2"/>
      <c r="R338" s="2"/>
      <c r="S338" s="2"/>
      <c r="T338" s="2"/>
      <c r="U338" s="2"/>
      <c r="X338" s="2"/>
      <c r="Y338" s="2"/>
      <c r="Z338" s="2"/>
      <c r="AA338" s="2"/>
      <c r="AB338" s="2"/>
      <c r="AE338" s="2"/>
      <c r="AF338" s="2"/>
      <c r="AG338" s="2"/>
      <c r="AH338" s="2"/>
      <c r="AI338" s="2"/>
      <c r="AJ338" s="3">
        <v>0</v>
      </c>
      <c r="AL338" s="2"/>
      <c r="AM338" s="2"/>
      <c r="AN338" s="2"/>
      <c r="AO338" s="2"/>
      <c r="AP338" s="2"/>
    </row>
    <row r="339" spans="2:42" x14ac:dyDescent="0.35">
      <c r="C339" s="2"/>
      <c r="D339" s="2"/>
      <c r="E339" s="2"/>
      <c r="F339" s="2"/>
      <c r="G339" s="2"/>
      <c r="J339" s="2"/>
      <c r="K339" s="2"/>
      <c r="L339" s="2"/>
      <c r="M339" s="2"/>
      <c r="N339" s="2"/>
      <c r="Q339" s="2"/>
      <c r="R339" s="2"/>
      <c r="S339" s="2"/>
      <c r="T339" s="2"/>
      <c r="U339" s="2"/>
      <c r="X339" s="2"/>
      <c r="Y339" s="2"/>
      <c r="Z339" s="2"/>
      <c r="AA339" s="2"/>
      <c r="AB339" s="2"/>
      <c r="AE339" s="2"/>
      <c r="AF339" s="2"/>
      <c r="AG339" s="2"/>
      <c r="AH339" s="2"/>
      <c r="AI339" s="2"/>
      <c r="AJ339" s="3">
        <v>0</v>
      </c>
      <c r="AL339" s="2"/>
      <c r="AM339" s="2"/>
      <c r="AN339" s="2"/>
      <c r="AO339" s="2"/>
      <c r="AP339" s="2"/>
    </row>
    <row r="340" spans="2:42" x14ac:dyDescent="0.35">
      <c r="B340" t="s">
        <v>27</v>
      </c>
      <c r="C340" s="2">
        <v>0</v>
      </c>
      <c r="D340" s="2">
        <v>-287323739</v>
      </c>
      <c r="E340" s="2">
        <v>0</v>
      </c>
      <c r="F340" s="2">
        <v>0</v>
      </c>
      <c r="G340" s="2">
        <v>-287323739</v>
      </c>
      <c r="I340" t="s">
        <v>27</v>
      </c>
      <c r="J340" s="2">
        <v>0</v>
      </c>
      <c r="K340" s="2">
        <v>-58856811</v>
      </c>
      <c r="L340" s="2">
        <v>0</v>
      </c>
      <c r="M340" s="2">
        <v>0</v>
      </c>
      <c r="N340" s="2">
        <v>-58856811</v>
      </c>
      <c r="P340" t="s">
        <v>27</v>
      </c>
      <c r="Q340" s="2">
        <v>0</v>
      </c>
      <c r="R340" s="2">
        <v>-64261591</v>
      </c>
      <c r="S340" s="2">
        <v>0</v>
      </c>
      <c r="T340" s="2">
        <v>0</v>
      </c>
      <c r="U340" s="2">
        <v>-64261591</v>
      </c>
      <c r="W340" t="s">
        <v>27</v>
      </c>
      <c r="X340" s="2">
        <v>0</v>
      </c>
      <c r="Y340" s="2">
        <v>-123118402</v>
      </c>
      <c r="Z340" s="2">
        <v>0</v>
      </c>
      <c r="AA340" s="2">
        <v>0</v>
      </c>
      <c r="AB340" s="2">
        <v>-123118402</v>
      </c>
      <c r="AD340" t="s">
        <v>27</v>
      </c>
      <c r="AE340" s="2">
        <v>0</v>
      </c>
      <c r="AF340" s="2">
        <v>-81267006</v>
      </c>
      <c r="AG340" s="2">
        <v>0</v>
      </c>
      <c r="AH340" s="2">
        <v>0</v>
      </c>
      <c r="AI340" s="2">
        <v>-81267006</v>
      </c>
      <c r="AJ340" s="3">
        <v>-204385408</v>
      </c>
      <c r="AK340" t="s">
        <v>27</v>
      </c>
      <c r="AL340" s="2">
        <v>0</v>
      </c>
      <c r="AM340" s="2">
        <v>-82938331</v>
      </c>
      <c r="AN340" s="2">
        <v>0</v>
      </c>
      <c r="AO340" s="2">
        <v>0</v>
      </c>
      <c r="AP340" s="2">
        <v>-82938331</v>
      </c>
    </row>
    <row r="341" spans="2:42" x14ac:dyDescent="0.35">
      <c r="B341" t="s">
        <v>28</v>
      </c>
      <c r="C341" s="2">
        <v>0</v>
      </c>
      <c r="D341" s="2">
        <v>-174934410</v>
      </c>
      <c r="E341" s="2">
        <v>0</v>
      </c>
      <c r="F341" s="2">
        <v>0</v>
      </c>
      <c r="G341" s="2">
        <v>-174934410</v>
      </c>
      <c r="I341" t="s">
        <v>28</v>
      </c>
      <c r="J341" s="2">
        <v>0</v>
      </c>
      <c r="K341" s="2">
        <v>-46988415</v>
      </c>
      <c r="L341" s="2">
        <v>0</v>
      </c>
      <c r="M341" s="2">
        <v>0</v>
      </c>
      <c r="N341" s="2">
        <v>-46988415</v>
      </c>
      <c r="P341" t="s">
        <v>28</v>
      </c>
      <c r="Q341" s="2">
        <v>0</v>
      </c>
      <c r="R341" s="2">
        <v>-40785007</v>
      </c>
      <c r="S341" s="2">
        <v>0</v>
      </c>
      <c r="T341" s="2">
        <v>0</v>
      </c>
      <c r="U341" s="2">
        <v>-40785007</v>
      </c>
      <c r="W341" t="s">
        <v>28</v>
      </c>
      <c r="X341" s="2">
        <v>0</v>
      </c>
      <c r="Y341" s="2">
        <v>-87773422</v>
      </c>
      <c r="Z341" s="2">
        <v>0</v>
      </c>
      <c r="AA341" s="2">
        <v>0</v>
      </c>
      <c r="AB341" s="2">
        <v>-87773422</v>
      </c>
      <c r="AD341" t="s">
        <v>28</v>
      </c>
      <c r="AE341" s="2">
        <v>0</v>
      </c>
      <c r="AF341" s="2">
        <v>-41849039</v>
      </c>
      <c r="AG341" s="2">
        <v>0</v>
      </c>
      <c r="AH341" s="2">
        <v>0</v>
      </c>
      <c r="AI341" s="2">
        <v>-41849039</v>
      </c>
      <c r="AJ341" s="3">
        <v>-129622461</v>
      </c>
      <c r="AK341" t="s">
        <v>28</v>
      </c>
      <c r="AL341" s="2">
        <v>0</v>
      </c>
      <c r="AM341" s="2">
        <v>-45311949</v>
      </c>
      <c r="AN341" s="2">
        <v>0</v>
      </c>
      <c r="AO341" s="2">
        <v>0</v>
      </c>
      <c r="AP341" s="2">
        <v>-45311949</v>
      </c>
    </row>
    <row r="342" spans="2:42" x14ac:dyDescent="0.35">
      <c r="B342" t="s">
        <v>29</v>
      </c>
      <c r="C342" s="2">
        <v>0</v>
      </c>
      <c r="D342" s="2">
        <v>9573444</v>
      </c>
      <c r="E342" s="2">
        <v>0</v>
      </c>
      <c r="F342" s="2">
        <v>0</v>
      </c>
      <c r="G342" s="2">
        <v>9573444</v>
      </c>
      <c r="I342" t="s">
        <v>29</v>
      </c>
      <c r="J342" s="2">
        <v>0</v>
      </c>
      <c r="K342" s="2">
        <v>2573106</v>
      </c>
      <c r="L342" s="2">
        <v>0</v>
      </c>
      <c r="M342" s="2">
        <v>0</v>
      </c>
      <c r="N342" s="2">
        <v>2573106</v>
      </c>
      <c r="P342" t="s">
        <v>29</v>
      </c>
      <c r="Q342" s="2">
        <v>0</v>
      </c>
      <c r="R342" s="2">
        <v>2201799</v>
      </c>
      <c r="S342" s="2">
        <v>0</v>
      </c>
      <c r="T342" s="2">
        <v>0</v>
      </c>
      <c r="U342" s="2">
        <v>2201799</v>
      </c>
      <c r="W342" t="s">
        <v>29</v>
      </c>
      <c r="X342" s="2">
        <v>0</v>
      </c>
      <c r="Y342" s="2">
        <v>4774905</v>
      </c>
      <c r="Z342" s="2">
        <v>0</v>
      </c>
      <c r="AA342" s="2">
        <v>0</v>
      </c>
      <c r="AB342" s="2">
        <v>4774905</v>
      </c>
      <c r="AD342" t="s">
        <v>29</v>
      </c>
      <c r="AE342" s="2">
        <v>0</v>
      </c>
      <c r="AF342" s="2">
        <v>2467252</v>
      </c>
      <c r="AG342" s="2">
        <v>0</v>
      </c>
      <c r="AH342" s="2">
        <v>0</v>
      </c>
      <c r="AI342" s="2">
        <v>2467252</v>
      </c>
      <c r="AJ342" s="3">
        <v>7242157</v>
      </c>
      <c r="AK342" t="s">
        <v>29</v>
      </c>
      <c r="AL342" s="2">
        <v>0</v>
      </c>
      <c r="AM342" s="2">
        <v>2331287</v>
      </c>
      <c r="AN342" s="2">
        <v>0</v>
      </c>
      <c r="AO342" s="2">
        <v>0</v>
      </c>
      <c r="AP342" s="2">
        <v>2331287</v>
      </c>
    </row>
    <row r="343" spans="2:42" x14ac:dyDescent="0.35">
      <c r="B343" t="s">
        <v>30</v>
      </c>
      <c r="C343" s="2">
        <v>0</v>
      </c>
      <c r="D343" s="2">
        <v>-8685464</v>
      </c>
      <c r="E343" s="2">
        <v>0</v>
      </c>
      <c r="F343" s="2">
        <v>0</v>
      </c>
      <c r="G343" s="2">
        <v>-8685464</v>
      </c>
      <c r="I343" t="s">
        <v>30</v>
      </c>
      <c r="J343" s="2">
        <v>0</v>
      </c>
      <c r="K343" s="2">
        <v>-900482</v>
      </c>
      <c r="L343" s="2">
        <v>0</v>
      </c>
      <c r="M343" s="2">
        <v>0</v>
      </c>
      <c r="N343" s="2">
        <v>-900482</v>
      </c>
      <c r="P343" t="s">
        <v>30</v>
      </c>
      <c r="Q343" s="2">
        <v>0</v>
      </c>
      <c r="R343" s="2">
        <v>-1660835</v>
      </c>
      <c r="S343" s="2">
        <v>0</v>
      </c>
      <c r="T343" s="2">
        <v>0</v>
      </c>
      <c r="U343" s="2">
        <v>-1660835</v>
      </c>
      <c r="W343" t="s">
        <v>30</v>
      </c>
      <c r="X343" s="2">
        <v>0</v>
      </c>
      <c r="Y343" s="2">
        <v>-2561317</v>
      </c>
      <c r="Z343" s="2">
        <v>0</v>
      </c>
      <c r="AA343" s="2">
        <v>0</v>
      </c>
      <c r="AB343" s="2">
        <v>-2561317</v>
      </c>
      <c r="AD343" t="s">
        <v>30</v>
      </c>
      <c r="AE343" s="2">
        <v>0</v>
      </c>
      <c r="AF343" s="2">
        <v>-1774555</v>
      </c>
      <c r="AG343" s="2">
        <v>0</v>
      </c>
      <c r="AH343" s="2">
        <v>0</v>
      </c>
      <c r="AI343" s="2">
        <v>-1774555</v>
      </c>
      <c r="AJ343" s="3">
        <v>-4335872</v>
      </c>
      <c r="AK343" t="s">
        <v>30</v>
      </c>
      <c r="AL343" s="2">
        <v>0</v>
      </c>
      <c r="AM343" s="2">
        <v>-4349592</v>
      </c>
      <c r="AN343" s="2">
        <v>0</v>
      </c>
      <c r="AO343" s="2">
        <v>0</v>
      </c>
      <c r="AP343" s="2">
        <v>-4349592</v>
      </c>
    </row>
    <row r="344" spans="2:42" x14ac:dyDescent="0.35">
      <c r="B344" s="19" t="s">
        <v>90</v>
      </c>
      <c r="C344" s="20">
        <v>0</v>
      </c>
      <c r="D344" s="20">
        <v>-461370169</v>
      </c>
      <c r="E344" s="20">
        <v>0</v>
      </c>
      <c r="F344" s="20">
        <v>0</v>
      </c>
      <c r="G344" s="20">
        <v>-461370169</v>
      </c>
      <c r="I344" s="19" t="s">
        <v>90</v>
      </c>
      <c r="J344" s="20">
        <v>0</v>
      </c>
      <c r="K344" s="20">
        <v>-104172602</v>
      </c>
      <c r="L344" s="20">
        <v>0</v>
      </c>
      <c r="M344" s="20">
        <v>0</v>
      </c>
      <c r="N344" s="20">
        <v>-104172602</v>
      </c>
      <c r="P344" s="19" t="s">
        <v>90</v>
      </c>
      <c r="Q344" s="20">
        <v>0</v>
      </c>
      <c r="R344" s="20">
        <v>-104505634</v>
      </c>
      <c r="S344" s="20">
        <v>0</v>
      </c>
      <c r="T344" s="20">
        <v>0</v>
      </c>
      <c r="U344" s="20">
        <v>-104505634</v>
      </c>
      <c r="W344" s="19" t="s">
        <v>90</v>
      </c>
      <c r="X344" s="20">
        <v>0</v>
      </c>
      <c r="Y344" s="20">
        <v>-208678236</v>
      </c>
      <c r="Z344" s="20">
        <v>0</v>
      </c>
      <c r="AA344" s="20">
        <v>0</v>
      </c>
      <c r="AB344" s="20">
        <v>-208678236</v>
      </c>
      <c r="AD344" s="19" t="s">
        <v>90</v>
      </c>
      <c r="AE344" s="20">
        <v>0</v>
      </c>
      <c r="AF344" s="20">
        <v>-122423348</v>
      </c>
      <c r="AG344" s="20">
        <v>0</v>
      </c>
      <c r="AH344" s="20">
        <v>0</v>
      </c>
      <c r="AI344" s="20">
        <v>-122423348</v>
      </c>
      <c r="AJ344" s="3">
        <v>-331101584</v>
      </c>
      <c r="AK344" s="19" t="s">
        <v>90</v>
      </c>
      <c r="AL344" s="20">
        <v>0</v>
      </c>
      <c r="AM344" s="20">
        <v>-130268585</v>
      </c>
      <c r="AN344" s="20">
        <v>0</v>
      </c>
      <c r="AO344" s="20">
        <v>0</v>
      </c>
      <c r="AP344" s="20">
        <v>-130268585</v>
      </c>
    </row>
    <row r="345" spans="2:42" x14ac:dyDescent="0.35">
      <c r="C345" s="2"/>
      <c r="D345" s="2"/>
      <c r="E345" s="2"/>
      <c r="F345" s="2"/>
      <c r="G345" s="2"/>
      <c r="J345" s="2"/>
      <c r="K345" s="2"/>
      <c r="L345" s="2"/>
      <c r="M345" s="2"/>
      <c r="N345" s="2"/>
      <c r="Q345" s="2"/>
      <c r="R345" s="2"/>
      <c r="S345" s="2"/>
      <c r="T345" s="2"/>
      <c r="U345" s="2"/>
      <c r="X345" s="2"/>
      <c r="Y345" s="2"/>
      <c r="Z345" s="2"/>
      <c r="AA345" s="2"/>
      <c r="AB345" s="2"/>
      <c r="AE345" s="2"/>
      <c r="AF345" s="2"/>
      <c r="AG345" s="2"/>
      <c r="AH345" s="2"/>
      <c r="AI345" s="2"/>
      <c r="AJ345" s="3">
        <v>0</v>
      </c>
      <c r="AL345" s="2"/>
      <c r="AM345" s="2"/>
      <c r="AN345" s="2"/>
      <c r="AO345" s="2"/>
      <c r="AP345" s="2"/>
    </row>
    <row r="346" spans="2:42" x14ac:dyDescent="0.35">
      <c r="C346" s="2"/>
      <c r="D346" s="2"/>
      <c r="E346" s="2"/>
      <c r="F346" s="2"/>
      <c r="G346" s="2"/>
      <c r="J346" s="2"/>
      <c r="K346" s="2"/>
      <c r="L346" s="2"/>
      <c r="M346" s="2"/>
      <c r="N346" s="2"/>
      <c r="Q346" s="2"/>
      <c r="R346" s="2"/>
      <c r="S346" s="2"/>
      <c r="T346" s="2"/>
      <c r="U346" s="2"/>
      <c r="X346" s="2"/>
      <c r="Y346" s="2"/>
      <c r="Z346" s="2"/>
      <c r="AA346" s="2"/>
      <c r="AB346" s="2"/>
      <c r="AE346" s="2"/>
      <c r="AF346" s="2"/>
      <c r="AG346" s="2"/>
      <c r="AH346" s="2"/>
      <c r="AI346" s="2"/>
      <c r="AJ346" s="3">
        <v>0</v>
      </c>
      <c r="AL346" s="2"/>
      <c r="AM346" s="2"/>
      <c r="AN346" s="2"/>
      <c r="AO346" s="2"/>
      <c r="AP346" s="2"/>
    </row>
    <row r="347" spans="2:42" x14ac:dyDescent="0.35">
      <c r="B347" s="16" t="s">
        <v>89</v>
      </c>
      <c r="C347" s="17">
        <v>0</v>
      </c>
      <c r="D347" s="17">
        <v>63707215</v>
      </c>
      <c r="E347" s="17">
        <v>1249164.95</v>
      </c>
      <c r="F347" s="17">
        <v>0</v>
      </c>
      <c r="G347" s="17">
        <v>64956379.950000003</v>
      </c>
      <c r="I347" s="16" t="s">
        <v>89</v>
      </c>
      <c r="J347" s="17">
        <v>0</v>
      </c>
      <c r="K347" s="17">
        <v>13474441</v>
      </c>
      <c r="L347" s="17">
        <v>997620.4</v>
      </c>
      <c r="M347" s="17">
        <v>0</v>
      </c>
      <c r="N347" s="17">
        <v>14472061.4</v>
      </c>
      <c r="P347" s="16" t="s">
        <v>89</v>
      </c>
      <c r="Q347" s="17">
        <v>0</v>
      </c>
      <c r="R347" s="17">
        <v>14847685</v>
      </c>
      <c r="S347" s="17">
        <v>94532.449999999837</v>
      </c>
      <c r="T347" s="17">
        <v>0</v>
      </c>
      <c r="U347" s="17">
        <v>14942217.449999999</v>
      </c>
      <c r="W347" s="16" t="s">
        <v>89</v>
      </c>
      <c r="X347" s="17">
        <v>0</v>
      </c>
      <c r="Y347" s="17">
        <v>28322126</v>
      </c>
      <c r="Z347" s="17">
        <v>1092152.8499999999</v>
      </c>
      <c r="AA347" s="17">
        <v>0</v>
      </c>
      <c r="AB347" s="17">
        <v>29414278.850000001</v>
      </c>
      <c r="AD347" s="16" t="s">
        <v>89</v>
      </c>
      <c r="AE347" s="17">
        <v>0</v>
      </c>
      <c r="AF347" s="17">
        <v>16667039</v>
      </c>
      <c r="AG347" s="17">
        <v>57457.460000000196</v>
      </c>
      <c r="AH347" s="17">
        <v>0</v>
      </c>
      <c r="AI347" s="17">
        <v>16724496.460000001</v>
      </c>
      <c r="AJ347" s="3">
        <v>46138775.310000002</v>
      </c>
      <c r="AK347" s="16" t="s">
        <v>89</v>
      </c>
      <c r="AL347" s="17">
        <v>0</v>
      </c>
      <c r="AM347" s="17">
        <v>18718050</v>
      </c>
      <c r="AN347" s="17">
        <v>99554.639999999898</v>
      </c>
      <c r="AO347" s="17">
        <v>0</v>
      </c>
      <c r="AP347" s="17">
        <v>18817604.640000001</v>
      </c>
    </row>
    <row r="348" spans="2:42" x14ac:dyDescent="0.35">
      <c r="C348" s="2"/>
      <c r="D348" s="2"/>
      <c r="E348" s="2"/>
      <c r="F348" s="2"/>
      <c r="G348" s="2"/>
      <c r="J348" s="2"/>
      <c r="K348" s="2"/>
      <c r="L348" s="2"/>
      <c r="M348" s="2"/>
      <c r="N348" s="2"/>
      <c r="Q348" s="2"/>
      <c r="R348" s="2"/>
      <c r="S348" s="2"/>
      <c r="T348" s="2"/>
      <c r="U348" s="2"/>
      <c r="X348" s="2"/>
      <c r="Y348" s="2"/>
      <c r="Z348" s="2"/>
      <c r="AA348" s="2"/>
      <c r="AB348" s="2"/>
      <c r="AE348" s="2"/>
      <c r="AF348" s="2"/>
      <c r="AG348" s="2"/>
      <c r="AH348" s="2"/>
      <c r="AI348" s="2"/>
      <c r="AJ348" s="3">
        <v>0</v>
      </c>
      <c r="AL348" s="2"/>
      <c r="AM348" s="2"/>
      <c r="AN348" s="2"/>
      <c r="AO348" s="2"/>
      <c r="AP348" s="2"/>
    </row>
    <row r="349" spans="2:42" x14ac:dyDescent="0.35">
      <c r="C349" s="2"/>
      <c r="D349" s="2"/>
      <c r="E349" s="2"/>
      <c r="F349" s="2"/>
      <c r="G349" s="2"/>
      <c r="J349" s="2"/>
      <c r="K349" s="2"/>
      <c r="L349" s="2"/>
      <c r="M349" s="2"/>
      <c r="N349" s="2"/>
      <c r="Q349" s="2"/>
      <c r="R349" s="2"/>
      <c r="S349" s="2"/>
      <c r="T349" s="2"/>
      <c r="U349" s="2"/>
      <c r="X349" s="2"/>
      <c r="Y349" s="2"/>
      <c r="Z349" s="2"/>
      <c r="AA349" s="2"/>
      <c r="AB349" s="2"/>
      <c r="AE349" s="2"/>
      <c r="AF349" s="2"/>
      <c r="AG349" s="2"/>
      <c r="AH349" s="2"/>
      <c r="AI349" s="2"/>
      <c r="AJ349" s="3">
        <v>0</v>
      </c>
      <c r="AL349" s="2"/>
      <c r="AM349" s="2"/>
      <c r="AN349" s="2"/>
      <c r="AO349" s="2"/>
      <c r="AP349" s="2"/>
    </row>
    <row r="350" spans="2:42" x14ac:dyDescent="0.35">
      <c r="C350" s="2"/>
      <c r="D350" s="2"/>
      <c r="E350" s="2"/>
      <c r="F350" s="2"/>
      <c r="G350" s="2"/>
      <c r="J350" s="2"/>
      <c r="K350" s="2"/>
      <c r="L350" s="2"/>
      <c r="M350" s="2"/>
      <c r="N350" s="2"/>
      <c r="Q350" s="2"/>
      <c r="R350" s="2"/>
      <c r="S350" s="2"/>
      <c r="T350" s="2"/>
      <c r="U350" s="2"/>
      <c r="X350" s="2"/>
      <c r="Y350" s="2"/>
      <c r="Z350" s="2"/>
      <c r="AA350" s="2"/>
      <c r="AB350" s="2"/>
      <c r="AE350" s="2"/>
      <c r="AF350" s="2"/>
      <c r="AG350" s="2"/>
      <c r="AH350" s="2"/>
      <c r="AI350" s="2"/>
      <c r="AJ350" s="3">
        <v>0</v>
      </c>
      <c r="AL350" s="2"/>
      <c r="AM350" s="2"/>
      <c r="AN350" s="2"/>
      <c r="AO350" s="2"/>
      <c r="AP350" s="2"/>
    </row>
    <row r="351" spans="2:42" x14ac:dyDescent="0.35">
      <c r="B351" t="s">
        <v>31</v>
      </c>
      <c r="C351" s="2">
        <v>0</v>
      </c>
      <c r="D351" s="2">
        <v>1576492</v>
      </c>
      <c r="E351" s="2">
        <v>40536143.550000004</v>
      </c>
      <c r="F351" s="2">
        <v>0</v>
      </c>
      <c r="G351" s="2">
        <v>42112635.550000004</v>
      </c>
      <c r="I351" t="s">
        <v>31</v>
      </c>
      <c r="J351" s="2">
        <v>0</v>
      </c>
      <c r="K351" s="2">
        <v>136513</v>
      </c>
      <c r="L351" s="2">
        <v>10279678.82</v>
      </c>
      <c r="M351" s="2">
        <v>0</v>
      </c>
      <c r="N351" s="2">
        <v>10416191.82</v>
      </c>
      <c r="P351" t="s">
        <v>31</v>
      </c>
      <c r="Q351" s="2">
        <v>0</v>
      </c>
      <c r="R351" s="2">
        <v>448731</v>
      </c>
      <c r="S351" s="2">
        <v>9597941.8500000052</v>
      </c>
      <c r="T351" s="2">
        <v>0</v>
      </c>
      <c r="U351" s="2">
        <v>10046672.850000005</v>
      </c>
      <c r="W351" t="s">
        <v>31</v>
      </c>
      <c r="X351" s="2">
        <v>0</v>
      </c>
      <c r="Y351" s="2">
        <v>585244</v>
      </c>
      <c r="Z351" s="2">
        <v>19877620.670000006</v>
      </c>
      <c r="AA351" s="2">
        <v>0</v>
      </c>
      <c r="AB351" s="2">
        <v>20462864.670000006</v>
      </c>
      <c r="AD351" t="s">
        <v>31</v>
      </c>
      <c r="AE351" s="2">
        <v>0</v>
      </c>
      <c r="AF351" s="2">
        <v>473820</v>
      </c>
      <c r="AG351" s="2">
        <v>10615225.460000001</v>
      </c>
      <c r="AH351" s="2">
        <v>0</v>
      </c>
      <c r="AI351" s="2">
        <v>11089045.460000001</v>
      </c>
      <c r="AJ351" s="3">
        <v>31551910.130000006</v>
      </c>
      <c r="AK351" t="s">
        <v>31</v>
      </c>
      <c r="AL351" s="2">
        <v>0</v>
      </c>
      <c r="AM351" s="2">
        <v>517428</v>
      </c>
      <c r="AN351" s="2">
        <v>10043297.419999998</v>
      </c>
      <c r="AO351" s="2">
        <v>0</v>
      </c>
      <c r="AP351" s="2">
        <v>10560725.419999998</v>
      </c>
    </row>
    <row r="352" spans="2:42" x14ac:dyDescent="0.35">
      <c r="B352" t="s">
        <v>32</v>
      </c>
      <c r="C352" s="2">
        <v>0</v>
      </c>
      <c r="D352" s="2">
        <v>0</v>
      </c>
      <c r="E352" s="2">
        <v>-8594144.5299999993</v>
      </c>
      <c r="F352" s="2">
        <v>0</v>
      </c>
      <c r="G352" s="2">
        <v>-8594144.5299999993</v>
      </c>
      <c r="I352" t="s">
        <v>32</v>
      </c>
      <c r="J352" s="2">
        <v>0</v>
      </c>
      <c r="K352" s="2">
        <v>0</v>
      </c>
      <c r="L352" s="2">
        <v>-1929293.8200000003</v>
      </c>
      <c r="M352" s="2">
        <v>0</v>
      </c>
      <c r="N352" s="2">
        <v>-1929293.8200000003</v>
      </c>
      <c r="P352" t="s">
        <v>32</v>
      </c>
      <c r="Q352" s="2">
        <v>0</v>
      </c>
      <c r="R352" s="2">
        <v>0</v>
      </c>
      <c r="S352" s="2">
        <v>-2042336.0799999991</v>
      </c>
      <c r="T352" s="2">
        <v>0</v>
      </c>
      <c r="U352" s="2">
        <v>-2042336.0799999991</v>
      </c>
      <c r="W352" t="s">
        <v>32</v>
      </c>
      <c r="X352" s="2">
        <v>0</v>
      </c>
      <c r="Y352" s="2">
        <v>0</v>
      </c>
      <c r="Z352" s="2">
        <v>-3971629.8999999994</v>
      </c>
      <c r="AA352" s="2">
        <v>0</v>
      </c>
      <c r="AB352" s="2">
        <v>-3971629.8999999994</v>
      </c>
      <c r="AD352" t="s">
        <v>32</v>
      </c>
      <c r="AE352" s="2">
        <v>0</v>
      </c>
      <c r="AF352" s="2">
        <v>0</v>
      </c>
      <c r="AG352" s="2">
        <v>-2181800.6500000004</v>
      </c>
      <c r="AH352" s="2">
        <v>0</v>
      </c>
      <c r="AI352" s="2">
        <v>-2181800.6500000004</v>
      </c>
      <c r="AJ352" s="3">
        <v>-6153430.5499999998</v>
      </c>
      <c r="AK352" t="s">
        <v>32</v>
      </c>
      <c r="AL352" s="2">
        <v>0</v>
      </c>
      <c r="AM352" s="2">
        <v>0</v>
      </c>
      <c r="AN352" s="2">
        <v>-2440713.9799999995</v>
      </c>
      <c r="AO352" s="2">
        <v>0</v>
      </c>
      <c r="AP352" s="2">
        <v>-2440713.9799999995</v>
      </c>
    </row>
    <row r="353" spans="2:42" x14ac:dyDescent="0.35">
      <c r="B353" s="19" t="s">
        <v>33</v>
      </c>
      <c r="C353" s="20">
        <v>0</v>
      </c>
      <c r="D353" s="20">
        <v>1576492</v>
      </c>
      <c r="E353" s="20">
        <v>31941999.020000003</v>
      </c>
      <c r="F353" s="20">
        <v>0</v>
      </c>
      <c r="G353" s="20">
        <v>33518491.020000003</v>
      </c>
      <c r="I353" s="19" t="s">
        <v>33</v>
      </c>
      <c r="J353" s="20">
        <v>0</v>
      </c>
      <c r="K353" s="20">
        <v>136513</v>
      </c>
      <c r="L353" s="20">
        <v>8350385</v>
      </c>
      <c r="M353" s="20">
        <v>0</v>
      </c>
      <c r="N353" s="20">
        <v>8486898</v>
      </c>
      <c r="P353" s="19" t="s">
        <v>33</v>
      </c>
      <c r="Q353" s="20">
        <v>0</v>
      </c>
      <c r="R353" s="20">
        <v>448731</v>
      </c>
      <c r="S353" s="20">
        <v>7555605.7700000061</v>
      </c>
      <c r="T353" s="20">
        <v>0</v>
      </c>
      <c r="U353" s="20">
        <v>8004336.7700000061</v>
      </c>
      <c r="W353" s="19" t="s">
        <v>33</v>
      </c>
      <c r="X353" s="20">
        <v>0</v>
      </c>
      <c r="Y353" s="20">
        <v>585244</v>
      </c>
      <c r="Z353" s="20">
        <v>15905990.770000007</v>
      </c>
      <c r="AA353" s="20">
        <v>0</v>
      </c>
      <c r="AB353" s="20">
        <v>16491234.770000007</v>
      </c>
      <c r="AD353" s="19" t="s">
        <v>33</v>
      </c>
      <c r="AE353" s="20">
        <v>0</v>
      </c>
      <c r="AF353" s="20">
        <v>473820</v>
      </c>
      <c r="AG353" s="20">
        <v>8433424.8100000005</v>
      </c>
      <c r="AH353" s="20">
        <v>0</v>
      </c>
      <c r="AI353" s="20">
        <v>8907244.8100000005</v>
      </c>
      <c r="AJ353" s="3">
        <v>25398479.580000006</v>
      </c>
      <c r="AK353" s="19" t="s">
        <v>33</v>
      </c>
      <c r="AL353" s="20">
        <v>0</v>
      </c>
      <c r="AM353" s="20">
        <v>517428</v>
      </c>
      <c r="AN353" s="20">
        <v>7602583.4399999985</v>
      </c>
      <c r="AO353" s="20">
        <v>0</v>
      </c>
      <c r="AP353" s="20">
        <v>8120011.4399999985</v>
      </c>
    </row>
    <row r="354" spans="2:42" x14ac:dyDescent="0.35">
      <c r="C354" s="2"/>
      <c r="D354" s="2"/>
      <c r="E354" s="2"/>
      <c r="F354" s="2"/>
      <c r="G354" s="2"/>
      <c r="J354" s="2"/>
      <c r="K354" s="2"/>
      <c r="L354" s="2"/>
      <c r="M354" s="2"/>
      <c r="N354" s="2"/>
      <c r="Q354" s="2"/>
      <c r="R354" s="2"/>
      <c r="S354" s="2"/>
      <c r="T354" s="2"/>
      <c r="U354" s="2"/>
      <c r="X354" s="2"/>
      <c r="Y354" s="2"/>
      <c r="Z354" s="2"/>
      <c r="AA354" s="2"/>
      <c r="AB354" s="2"/>
      <c r="AE354" s="2"/>
      <c r="AF354" s="2"/>
      <c r="AG354" s="2"/>
      <c r="AH354" s="2"/>
      <c r="AI354" s="2"/>
      <c r="AJ354" s="3">
        <v>0</v>
      </c>
      <c r="AL354" s="2"/>
      <c r="AM354" s="2"/>
      <c r="AN354" s="2"/>
      <c r="AO354" s="2"/>
      <c r="AP354" s="2"/>
    </row>
    <row r="355" spans="2:42" x14ac:dyDescent="0.35">
      <c r="C355" s="2"/>
      <c r="D355" s="2"/>
      <c r="E355" s="2"/>
      <c r="F355" s="2"/>
      <c r="G355" s="2"/>
      <c r="J355" s="2"/>
      <c r="K355" s="2"/>
      <c r="L355" s="2"/>
      <c r="M355" s="2"/>
      <c r="N355" s="2"/>
      <c r="Q355" s="2"/>
      <c r="R355" s="2"/>
      <c r="S355" s="2"/>
      <c r="T355" s="2"/>
      <c r="U355" s="2"/>
      <c r="X355" s="2"/>
      <c r="Y355" s="2"/>
      <c r="Z355" s="2"/>
      <c r="AA355" s="2"/>
      <c r="AB355" s="2"/>
      <c r="AE355" s="2"/>
      <c r="AF355" s="2"/>
      <c r="AG355" s="2"/>
      <c r="AH355" s="2"/>
      <c r="AI355" s="2"/>
      <c r="AJ355" s="3">
        <v>0</v>
      </c>
      <c r="AL355" s="2"/>
      <c r="AM355" s="2"/>
      <c r="AN355" s="2"/>
      <c r="AO355" s="2"/>
      <c r="AP355" s="2"/>
    </row>
    <row r="356" spans="2:42" x14ac:dyDescent="0.35">
      <c r="B356" t="s">
        <v>35</v>
      </c>
      <c r="C356" s="2">
        <v>17637453.349999998</v>
      </c>
      <c r="D356" s="2">
        <v>2377209</v>
      </c>
      <c r="E356" s="2">
        <v>0</v>
      </c>
      <c r="F356" s="2">
        <v>2735410.3400000003</v>
      </c>
      <c r="G356" s="2">
        <v>22750072.689999998</v>
      </c>
      <c r="I356" t="s">
        <v>35</v>
      </c>
      <c r="J356" s="2">
        <v>2813675.58</v>
      </c>
      <c r="K356" s="2">
        <v>840299</v>
      </c>
      <c r="L356" s="2">
        <v>0</v>
      </c>
      <c r="M356" s="2">
        <v>1316779.1399999999</v>
      </c>
      <c r="N356" s="2">
        <v>4970753.72</v>
      </c>
      <c r="P356" t="s">
        <v>35</v>
      </c>
      <c r="Q356" s="2">
        <v>4699150.58</v>
      </c>
      <c r="R356" s="2">
        <v>536057</v>
      </c>
      <c r="S356" s="2">
        <v>0</v>
      </c>
      <c r="T356" s="2">
        <v>551634.66999999993</v>
      </c>
      <c r="U356" s="2">
        <v>5786842.25</v>
      </c>
      <c r="W356" t="s">
        <v>35</v>
      </c>
      <c r="X356" s="2">
        <v>7512826.1600000001</v>
      </c>
      <c r="Y356" s="2">
        <v>1376356</v>
      </c>
      <c r="Z356" s="2">
        <v>0</v>
      </c>
      <c r="AA356" s="2">
        <v>1868413.8099999998</v>
      </c>
      <c r="AB356" s="2">
        <v>10757595.970000001</v>
      </c>
      <c r="AD356" t="s">
        <v>35</v>
      </c>
      <c r="AE356" s="2">
        <v>4773288.3899999987</v>
      </c>
      <c r="AF356" s="2">
        <v>698945</v>
      </c>
      <c r="AG356" s="2">
        <v>0</v>
      </c>
      <c r="AH356" s="2">
        <v>668181.10000000033</v>
      </c>
      <c r="AI356" s="2">
        <v>6140414.4899999993</v>
      </c>
      <c r="AJ356" s="3">
        <v>16898010.460000001</v>
      </c>
      <c r="AK356" t="s">
        <v>35</v>
      </c>
      <c r="AL356" s="2">
        <v>5351338.7999999989</v>
      </c>
      <c r="AM356" s="2">
        <v>301908</v>
      </c>
      <c r="AN356" s="2">
        <v>0</v>
      </c>
      <c r="AO356" s="2">
        <v>198815.43000000017</v>
      </c>
      <c r="AP356" s="2">
        <v>5852062.2299999986</v>
      </c>
    </row>
    <row r="357" spans="2:42" x14ac:dyDescent="0.35">
      <c r="B357" t="s">
        <v>36</v>
      </c>
      <c r="C357" s="2">
        <v>-25782010.640000001</v>
      </c>
      <c r="D357" s="2">
        <v>0</v>
      </c>
      <c r="E357" s="2">
        <v>0</v>
      </c>
      <c r="F357" s="2">
        <v>-1641397.64</v>
      </c>
      <c r="G357" s="2">
        <v>-27423408.280000001</v>
      </c>
      <c r="I357" t="s">
        <v>36</v>
      </c>
      <c r="J357" s="2">
        <v>-4737622.97</v>
      </c>
      <c r="K357" s="2">
        <v>0</v>
      </c>
      <c r="L357" s="2">
        <v>0</v>
      </c>
      <c r="M357" s="2">
        <v>-687253.96</v>
      </c>
      <c r="N357" s="2">
        <v>-5424876.9299999997</v>
      </c>
      <c r="P357" t="s">
        <v>36</v>
      </c>
      <c r="Q357" s="2">
        <v>-7781063.7900000019</v>
      </c>
      <c r="R357" s="2">
        <v>0</v>
      </c>
      <c r="S357" s="2">
        <v>0</v>
      </c>
      <c r="T357" s="2">
        <v>-248129.63</v>
      </c>
      <c r="U357" s="2">
        <v>-8029193.4200000018</v>
      </c>
      <c r="W357" t="s">
        <v>36</v>
      </c>
      <c r="X357" s="2">
        <v>-12518686.760000002</v>
      </c>
      <c r="Y357" s="2">
        <v>0</v>
      </c>
      <c r="Z357" s="2">
        <v>0</v>
      </c>
      <c r="AA357" s="2">
        <v>-935383.59</v>
      </c>
      <c r="AB357" s="2">
        <v>-13454070.350000001</v>
      </c>
      <c r="AD357" t="s">
        <v>36</v>
      </c>
      <c r="AE357" s="2">
        <v>-4055515.9099999964</v>
      </c>
      <c r="AF357" s="2">
        <v>0</v>
      </c>
      <c r="AG357" s="2">
        <v>0</v>
      </c>
      <c r="AH357" s="2">
        <v>-275545.40000000026</v>
      </c>
      <c r="AI357" s="2">
        <v>-4331061.3099999968</v>
      </c>
      <c r="AJ357" s="3">
        <v>-17785131.659999996</v>
      </c>
      <c r="AK357" t="s">
        <v>36</v>
      </c>
      <c r="AL357" s="2">
        <v>-9207807.9700000025</v>
      </c>
      <c r="AM357" s="2">
        <v>0</v>
      </c>
      <c r="AN357" s="2">
        <v>0</v>
      </c>
      <c r="AO357" s="2">
        <v>-430468.64999999979</v>
      </c>
      <c r="AP357" s="2">
        <v>-9638276.6200000029</v>
      </c>
    </row>
    <row r="358" spans="2:42" x14ac:dyDescent="0.35">
      <c r="B358" s="19" t="s">
        <v>37</v>
      </c>
      <c r="C358" s="20">
        <v>-8144557.2900000028</v>
      </c>
      <c r="D358" s="20">
        <v>2377209</v>
      </c>
      <c r="E358" s="20">
        <v>0</v>
      </c>
      <c r="F358" s="20">
        <v>1094012.7000000004</v>
      </c>
      <c r="G358" s="20">
        <v>-4673335.5900000036</v>
      </c>
      <c r="I358" s="19" t="s">
        <v>37</v>
      </c>
      <c r="J358" s="20">
        <v>-1923947.3899999997</v>
      </c>
      <c r="K358" s="20">
        <v>840299</v>
      </c>
      <c r="L358" s="20">
        <v>0</v>
      </c>
      <c r="M358" s="20">
        <v>629525.17999999993</v>
      </c>
      <c r="N358" s="20">
        <v>-454123.20999999996</v>
      </c>
      <c r="P358" s="19" t="s">
        <v>37</v>
      </c>
      <c r="Q358" s="20">
        <v>-3081913.2100000018</v>
      </c>
      <c r="R358" s="20">
        <v>536057</v>
      </c>
      <c r="S358" s="20">
        <v>0</v>
      </c>
      <c r="T358" s="20">
        <v>303505.03999999992</v>
      </c>
      <c r="U358" s="20">
        <v>-2242351.1700000018</v>
      </c>
      <c r="W358" s="19" t="s">
        <v>37</v>
      </c>
      <c r="X358" s="20">
        <v>-5005860.6000000015</v>
      </c>
      <c r="Y358" s="20">
        <v>1376356</v>
      </c>
      <c r="Z358" s="20">
        <v>0</v>
      </c>
      <c r="AA358" s="20">
        <v>933030.21999999986</v>
      </c>
      <c r="AB358" s="20">
        <v>-2696474.3800000008</v>
      </c>
      <c r="AD358" s="19" t="s">
        <v>37</v>
      </c>
      <c r="AE358" s="20">
        <v>717772.48000000231</v>
      </c>
      <c r="AF358" s="20">
        <v>698945</v>
      </c>
      <c r="AG358" s="20">
        <v>0</v>
      </c>
      <c r="AH358" s="20">
        <v>392635.70000000007</v>
      </c>
      <c r="AI358" s="20">
        <v>1809353.1800000025</v>
      </c>
      <c r="AJ358" s="3">
        <v>-887121.19999999832</v>
      </c>
      <c r="AK358" s="19" t="s">
        <v>37</v>
      </c>
      <c r="AL358" s="20">
        <v>-3856469.1700000037</v>
      </c>
      <c r="AM358" s="20">
        <v>301908</v>
      </c>
      <c r="AN358" s="20">
        <v>0</v>
      </c>
      <c r="AO358" s="20">
        <v>-231653.21999999962</v>
      </c>
      <c r="AP358" s="20">
        <v>-3786214.3900000043</v>
      </c>
    </row>
    <row r="359" spans="2:42" x14ac:dyDescent="0.35">
      <c r="C359" s="2"/>
      <c r="D359" s="2"/>
      <c r="E359" s="2"/>
      <c r="F359" s="2"/>
      <c r="G359" s="2"/>
      <c r="J359" s="2"/>
      <c r="K359" s="2"/>
      <c r="L359" s="2"/>
      <c r="M359" s="2"/>
      <c r="N359" s="2"/>
      <c r="Q359" s="2"/>
      <c r="R359" s="2"/>
      <c r="S359" s="2"/>
      <c r="T359" s="2"/>
      <c r="U359" s="2"/>
      <c r="X359" s="2"/>
      <c r="Y359" s="2"/>
      <c r="Z359" s="2"/>
      <c r="AA359" s="2"/>
      <c r="AB359" s="2"/>
      <c r="AE359" s="2"/>
      <c r="AF359" s="2"/>
      <c r="AG359" s="2"/>
      <c r="AH359" s="2"/>
      <c r="AI359" s="2"/>
      <c r="AJ359" s="3">
        <v>0</v>
      </c>
      <c r="AL359" s="2"/>
      <c r="AM359" s="2"/>
      <c r="AN359" s="2"/>
      <c r="AO359" s="2"/>
      <c r="AP359" s="2"/>
    </row>
    <row r="360" spans="2:42" x14ac:dyDescent="0.35">
      <c r="C360" s="2"/>
      <c r="D360" s="2"/>
      <c r="E360" s="2"/>
      <c r="F360" s="2"/>
      <c r="G360" s="2"/>
      <c r="J360" s="2"/>
      <c r="K360" s="2"/>
      <c r="L360" s="2"/>
      <c r="M360" s="2"/>
      <c r="N360" s="2"/>
      <c r="Q360" s="2"/>
      <c r="R360" s="2"/>
      <c r="S360" s="2"/>
      <c r="T360" s="2"/>
      <c r="U360" s="2"/>
      <c r="X360" s="2"/>
      <c r="Y360" s="2"/>
      <c r="Z360" s="2"/>
      <c r="AA360" s="2"/>
      <c r="AB360" s="2"/>
      <c r="AE360" s="2"/>
      <c r="AF360" s="2"/>
      <c r="AG360" s="2"/>
      <c r="AH360" s="2"/>
      <c r="AI360" s="2"/>
      <c r="AJ360" s="3">
        <v>0</v>
      </c>
      <c r="AL360" s="2"/>
      <c r="AM360" s="2"/>
      <c r="AN360" s="2"/>
      <c r="AO360" s="2"/>
      <c r="AP360" s="2"/>
    </row>
    <row r="361" spans="2:42" x14ac:dyDescent="0.35">
      <c r="B361" t="s">
        <v>38</v>
      </c>
      <c r="C361" s="2">
        <v>-82364217.550000012</v>
      </c>
      <c r="D361" s="2">
        <v>-11841211</v>
      </c>
      <c r="E361" s="2">
        <v>-1951438.94</v>
      </c>
      <c r="F361" s="2">
        <v>-639302.72000000009</v>
      </c>
      <c r="G361" s="2">
        <v>-96796170.210000008</v>
      </c>
      <c r="I361" t="s">
        <v>38</v>
      </c>
      <c r="J361" s="2">
        <v>-21568601.489999998</v>
      </c>
      <c r="K361" s="2">
        <v>-1748873</v>
      </c>
      <c r="L361" s="2">
        <v>-239097.11</v>
      </c>
      <c r="M361" s="2">
        <v>-134085.48000000001</v>
      </c>
      <c r="N361" s="2">
        <v>-23690657.079999998</v>
      </c>
      <c r="P361" t="s">
        <v>38</v>
      </c>
      <c r="Q361" s="2">
        <v>-16544984.410000008</v>
      </c>
      <c r="R361" s="2">
        <v>-4127793</v>
      </c>
      <c r="S361" s="2">
        <v>-706848.45000000007</v>
      </c>
      <c r="T361" s="2">
        <v>-141360.48000000001</v>
      </c>
      <c r="U361" s="2">
        <v>-21520986.340000007</v>
      </c>
      <c r="W361" t="s">
        <v>38</v>
      </c>
      <c r="X361" s="2">
        <v>-38113585.900000006</v>
      </c>
      <c r="Y361" s="2">
        <v>-5876666</v>
      </c>
      <c r="Z361" s="2">
        <v>-945945.56</v>
      </c>
      <c r="AA361" s="2">
        <v>-275445.96000000002</v>
      </c>
      <c r="AB361" s="2">
        <v>-45211643.420000009</v>
      </c>
      <c r="AD361" t="s">
        <v>38</v>
      </c>
      <c r="AE361" s="2">
        <v>-21291950.809999995</v>
      </c>
      <c r="AF361" s="2">
        <v>-2932663</v>
      </c>
      <c r="AG361" s="2">
        <v>-487115.5299999998</v>
      </c>
      <c r="AH361" s="2">
        <v>-174140.06999999995</v>
      </c>
      <c r="AI361" s="2">
        <v>-24885869.409999996</v>
      </c>
      <c r="AJ361" s="3">
        <v>-70097512.830000013</v>
      </c>
      <c r="AK361" t="s">
        <v>38</v>
      </c>
      <c r="AL361" s="2">
        <v>-22958680.840000011</v>
      </c>
      <c r="AM361" s="2">
        <v>-3031882</v>
      </c>
      <c r="AN361" s="2">
        <v>-518377.85000000009</v>
      </c>
      <c r="AO361" s="2">
        <v>-189716.69000000012</v>
      </c>
      <c r="AP361" s="2">
        <v>-26698657.380000014</v>
      </c>
    </row>
    <row r="362" spans="2:42" x14ac:dyDescent="0.35">
      <c r="B362" t="s">
        <v>78</v>
      </c>
      <c r="C362" s="2">
        <v>-398911864.76000005</v>
      </c>
      <c r="D362" s="2">
        <v>-58184425</v>
      </c>
      <c r="E362" s="2">
        <v>-12781066.009999998</v>
      </c>
      <c r="F362" s="2">
        <v>-13854253.42</v>
      </c>
      <c r="G362" s="2">
        <v>-483731609.19000006</v>
      </c>
      <c r="I362" t="s">
        <v>78</v>
      </c>
      <c r="J362" s="2">
        <v>-92060886.849999994</v>
      </c>
      <c r="K362" s="2">
        <v>-18982031</v>
      </c>
      <c r="L362" s="2">
        <v>-2898941.47</v>
      </c>
      <c r="M362" s="2">
        <v>-3458387.31</v>
      </c>
      <c r="N362" s="2">
        <v>-117400246.63</v>
      </c>
      <c r="P362" t="s">
        <v>78</v>
      </c>
      <c r="Q362" s="2">
        <v>-104130394.80000001</v>
      </c>
      <c r="R362" s="2">
        <v>-12824301</v>
      </c>
      <c r="S362" s="2">
        <v>-3066680.9499999997</v>
      </c>
      <c r="T362" s="2">
        <v>-3183844.4400000009</v>
      </c>
      <c r="U362" s="2">
        <v>-123205221.19000001</v>
      </c>
      <c r="W362" t="s">
        <v>78</v>
      </c>
      <c r="X362" s="2">
        <v>-196191281.65000001</v>
      </c>
      <c r="Y362" s="2">
        <v>-31806332</v>
      </c>
      <c r="Z362" s="2">
        <v>-5965622.4199999999</v>
      </c>
      <c r="AA362" s="2">
        <v>-6642231.7500000009</v>
      </c>
      <c r="AB362" s="2">
        <v>-240605467.81999999</v>
      </c>
      <c r="AD362" t="s">
        <v>78</v>
      </c>
      <c r="AE362" s="2">
        <v>-102459145.14000008</v>
      </c>
      <c r="AF362" s="2">
        <v>-13202613</v>
      </c>
      <c r="AG362" s="2">
        <v>-3355161.290000001</v>
      </c>
      <c r="AH362" s="2">
        <v>-3389146.8000000017</v>
      </c>
      <c r="AI362" s="2">
        <v>-122406066.23000008</v>
      </c>
      <c r="AJ362" s="3">
        <v>-363011534.05000007</v>
      </c>
      <c r="AK362" t="s">
        <v>78</v>
      </c>
      <c r="AL362" s="2">
        <v>-100261437.97</v>
      </c>
      <c r="AM362" s="2">
        <v>-13175480</v>
      </c>
      <c r="AN362" s="2">
        <v>-3460282.299999997</v>
      </c>
      <c r="AO362" s="2">
        <v>-3822874.8699999964</v>
      </c>
      <c r="AP362" s="2">
        <v>-120720075.13999999</v>
      </c>
    </row>
    <row r="363" spans="2:42" x14ac:dyDescent="0.35">
      <c r="B363" t="s">
        <v>39</v>
      </c>
      <c r="C363" s="2">
        <v>-102278125.22</v>
      </c>
      <c r="D363" s="2">
        <v>-17253698</v>
      </c>
      <c r="E363" s="2">
        <v>-2647541.1399999997</v>
      </c>
      <c r="F363" s="2">
        <v>-6008122.7399999993</v>
      </c>
      <c r="G363" s="2">
        <v>-128187487.09999999</v>
      </c>
      <c r="I363" t="s">
        <v>39</v>
      </c>
      <c r="J363" s="2">
        <v>-20519504.210000005</v>
      </c>
      <c r="K363" s="2">
        <v>-3391810</v>
      </c>
      <c r="L363" s="2">
        <v>-950133</v>
      </c>
      <c r="M363" s="2">
        <v>-1304763.5599999998</v>
      </c>
      <c r="N363" s="2">
        <v>-26166210.770000003</v>
      </c>
      <c r="P363" t="s">
        <v>39</v>
      </c>
      <c r="Q363" s="2">
        <v>-23123247.879999999</v>
      </c>
      <c r="R363" s="2">
        <v>-3628773</v>
      </c>
      <c r="S363" s="2">
        <v>-767289.09999999986</v>
      </c>
      <c r="T363" s="2">
        <v>-1314056.2100000002</v>
      </c>
      <c r="U363" s="2">
        <v>-28833366.190000001</v>
      </c>
      <c r="W363" t="s">
        <v>39</v>
      </c>
      <c r="X363" s="2">
        <v>-43642752.090000004</v>
      </c>
      <c r="Y363" s="2">
        <v>-7020583</v>
      </c>
      <c r="Z363" s="2">
        <v>-1717422.0999999999</v>
      </c>
      <c r="AA363" s="2">
        <v>-2618819.77</v>
      </c>
      <c r="AB363" s="2">
        <v>-54999576.960000008</v>
      </c>
      <c r="AD363" t="s">
        <v>39</v>
      </c>
      <c r="AE363" s="2">
        <v>-25628810.019999996</v>
      </c>
      <c r="AF363" s="2">
        <v>-3528391</v>
      </c>
      <c r="AG363" s="2">
        <v>-467980.12000000034</v>
      </c>
      <c r="AH363" s="2">
        <v>-1378208.9100000001</v>
      </c>
      <c r="AI363" s="2">
        <v>-31003390.049999997</v>
      </c>
      <c r="AJ363" s="3">
        <v>-86002967.010000005</v>
      </c>
      <c r="AK363" t="s">
        <v>39</v>
      </c>
      <c r="AL363" s="2">
        <v>-33006563.109999999</v>
      </c>
      <c r="AM363" s="2">
        <v>-6704724</v>
      </c>
      <c r="AN363" s="2">
        <v>-462138.91999999969</v>
      </c>
      <c r="AO363" s="2">
        <v>-2011094.0599999991</v>
      </c>
      <c r="AP363" s="2">
        <v>-42184520.090000004</v>
      </c>
    </row>
    <row r="364" spans="2:42" x14ac:dyDescent="0.35">
      <c r="B364" t="s">
        <v>40</v>
      </c>
      <c r="C364" s="2">
        <v>-21042982.049999997</v>
      </c>
      <c r="D364" s="2">
        <v>-7838645</v>
      </c>
      <c r="E364" s="2">
        <v>-62700</v>
      </c>
      <c r="F364" s="2">
        <v>-7109626.0399999991</v>
      </c>
      <c r="G364" s="2">
        <v>-36053953.089999996</v>
      </c>
      <c r="I364" t="s">
        <v>40</v>
      </c>
      <c r="J364" s="2">
        <v>-5241725.8099999996</v>
      </c>
      <c r="K364" s="2">
        <v>-363636</v>
      </c>
      <c r="L364" s="2">
        <v>-46900</v>
      </c>
      <c r="M364" s="2">
        <v>-2085446</v>
      </c>
      <c r="N364" s="2">
        <v>-7737707.8099999996</v>
      </c>
      <c r="P364" t="s">
        <v>40</v>
      </c>
      <c r="Q364" s="2">
        <v>-5639274.8199999994</v>
      </c>
      <c r="R364" s="2">
        <v>-4811198</v>
      </c>
      <c r="S364" s="2">
        <v>-6700</v>
      </c>
      <c r="T364" s="2">
        <v>-1344592.9000000004</v>
      </c>
      <c r="U364" s="2">
        <v>-11801765.720000001</v>
      </c>
      <c r="W364" t="s">
        <v>40</v>
      </c>
      <c r="X364" s="2">
        <v>-10881000.629999999</v>
      </c>
      <c r="Y364" s="2">
        <v>-5174834</v>
      </c>
      <c r="Z364" s="2">
        <v>-53600</v>
      </c>
      <c r="AA364" s="2">
        <v>-3430038.9000000004</v>
      </c>
      <c r="AB364" s="2">
        <v>-19539473.530000001</v>
      </c>
      <c r="AD364" t="s">
        <v>40</v>
      </c>
      <c r="AE364" s="2">
        <v>-4885220.2200000025</v>
      </c>
      <c r="AF364" s="2">
        <v>-1190908</v>
      </c>
      <c r="AG364" s="2">
        <v>-14800</v>
      </c>
      <c r="AH364" s="2">
        <v>-1285682.1599999992</v>
      </c>
      <c r="AI364" s="2">
        <v>-7376610.3800000018</v>
      </c>
      <c r="AJ364" s="3">
        <v>-26916083.910000004</v>
      </c>
      <c r="AK364" t="s">
        <v>40</v>
      </c>
      <c r="AL364" s="2">
        <v>-5276761.1999999955</v>
      </c>
      <c r="AM364" s="2">
        <v>-1472903</v>
      </c>
      <c r="AN364" s="2">
        <v>5700</v>
      </c>
      <c r="AO364" s="2">
        <v>-2393904.9799999995</v>
      </c>
      <c r="AP364" s="2">
        <v>-9137869.179999996</v>
      </c>
    </row>
    <row r="365" spans="2:42" x14ac:dyDescent="0.35">
      <c r="B365" t="s">
        <v>41</v>
      </c>
      <c r="C365" s="2">
        <v>0</v>
      </c>
      <c r="D365" s="2">
        <v>-620000</v>
      </c>
      <c r="E365" s="2">
        <v>0</v>
      </c>
      <c r="F365" s="2">
        <v>0</v>
      </c>
      <c r="G365" s="2">
        <v>-620000</v>
      </c>
      <c r="I365" t="s">
        <v>41</v>
      </c>
      <c r="J365" s="2">
        <v>-16555.939999999999</v>
      </c>
      <c r="K365" s="2">
        <v>0</v>
      </c>
      <c r="L365" s="2">
        <v>0</v>
      </c>
      <c r="M365" s="2">
        <v>0</v>
      </c>
      <c r="N365" s="2">
        <v>-16555.939999999999</v>
      </c>
      <c r="P365" t="s">
        <v>41</v>
      </c>
      <c r="Q365" s="2">
        <v>16555.939999999999</v>
      </c>
      <c r="R365" s="2">
        <v>0</v>
      </c>
      <c r="S365" s="2">
        <v>0</v>
      </c>
      <c r="T365" s="2">
        <v>0</v>
      </c>
      <c r="U365" s="2">
        <v>16555.939999999999</v>
      </c>
      <c r="W365" t="s">
        <v>41</v>
      </c>
      <c r="X365" s="2">
        <v>0</v>
      </c>
      <c r="Y365" s="2">
        <v>0</v>
      </c>
      <c r="Z365" s="2">
        <v>0</v>
      </c>
      <c r="AA365" s="2">
        <v>0</v>
      </c>
      <c r="AB365" s="2">
        <v>0</v>
      </c>
      <c r="AD365" t="s">
        <v>41</v>
      </c>
      <c r="AE365" s="2">
        <v>0</v>
      </c>
      <c r="AF365" s="2">
        <v>-520000</v>
      </c>
      <c r="AG365" s="2">
        <v>0</v>
      </c>
      <c r="AH365" s="2">
        <v>0</v>
      </c>
      <c r="AI365" s="2">
        <v>-520000</v>
      </c>
      <c r="AJ365" s="3">
        <v>-520000</v>
      </c>
      <c r="AK365" t="s">
        <v>41</v>
      </c>
      <c r="AL365" s="2">
        <v>0</v>
      </c>
      <c r="AM365" s="2">
        <v>-100000</v>
      </c>
      <c r="AN365" s="2">
        <v>0</v>
      </c>
      <c r="AO365" s="2">
        <v>0</v>
      </c>
      <c r="AP365" s="2">
        <v>-100000</v>
      </c>
    </row>
    <row r="366" spans="2:42" x14ac:dyDescent="0.35">
      <c r="B366" t="s">
        <v>42</v>
      </c>
      <c r="C366" s="2">
        <v>-41069673.899999999</v>
      </c>
      <c r="D366" s="2">
        <v>-1230033</v>
      </c>
      <c r="E366" s="2">
        <v>-37605.79</v>
      </c>
      <c r="F366" s="2">
        <v>0</v>
      </c>
      <c r="G366" s="2">
        <v>-42337312.689999998</v>
      </c>
      <c r="I366" t="s">
        <v>42</v>
      </c>
      <c r="J366" s="2">
        <v>-9816123.9300000016</v>
      </c>
      <c r="K366" s="2">
        <v>-383521</v>
      </c>
      <c r="L366" s="2">
        <v>-37605.79</v>
      </c>
      <c r="M366" s="2">
        <v>0</v>
      </c>
      <c r="N366" s="2">
        <v>-10237250.720000001</v>
      </c>
      <c r="P366" t="s">
        <v>42</v>
      </c>
      <c r="Q366" s="2">
        <v>-8586420.7200000007</v>
      </c>
      <c r="R366" s="2">
        <v>67138</v>
      </c>
      <c r="S366" s="2">
        <v>0</v>
      </c>
      <c r="T366" s="2">
        <v>0</v>
      </c>
      <c r="U366" s="2">
        <v>-8519282.7200000007</v>
      </c>
      <c r="W366" t="s">
        <v>42</v>
      </c>
      <c r="X366" s="2">
        <v>-18402544.650000002</v>
      </c>
      <c r="Y366" s="2">
        <v>-316383</v>
      </c>
      <c r="Z366" s="2">
        <v>-37605.79</v>
      </c>
      <c r="AA366" s="2">
        <v>0</v>
      </c>
      <c r="AB366" s="2">
        <v>-18756533.440000001</v>
      </c>
      <c r="AD366" t="s">
        <v>42</v>
      </c>
      <c r="AE366" s="2">
        <v>-11661559.540000003</v>
      </c>
      <c r="AF366" s="2">
        <v>-519073</v>
      </c>
      <c r="AG366" s="2">
        <v>0</v>
      </c>
      <c r="AH366" s="2">
        <v>0</v>
      </c>
      <c r="AI366" s="2">
        <v>-12180632.540000003</v>
      </c>
      <c r="AJ366" s="3">
        <v>-30937165.980000004</v>
      </c>
      <c r="AK366" t="s">
        <v>42</v>
      </c>
      <c r="AL366" s="2">
        <v>-11005569.709999993</v>
      </c>
      <c r="AM366" s="2">
        <v>-394577</v>
      </c>
      <c r="AN366" s="2">
        <v>0</v>
      </c>
      <c r="AO366" s="2">
        <v>0</v>
      </c>
      <c r="AP366" s="2">
        <v>-11400146.709999993</v>
      </c>
    </row>
    <row r="367" spans="2:42" x14ac:dyDescent="0.35">
      <c r="B367" t="s">
        <v>4</v>
      </c>
      <c r="C367" s="2">
        <v>757435.61</v>
      </c>
      <c r="D367" s="2">
        <v>76</v>
      </c>
      <c r="E367" s="2">
        <v>0</v>
      </c>
      <c r="F367" s="2">
        <v>0</v>
      </c>
      <c r="G367" s="2">
        <v>757511.61</v>
      </c>
      <c r="I367" t="s">
        <v>4</v>
      </c>
      <c r="J367" s="2">
        <v>627475.99</v>
      </c>
      <c r="K367" s="2">
        <v>7207</v>
      </c>
      <c r="L367" s="2">
        <v>0</v>
      </c>
      <c r="M367" s="2">
        <v>0</v>
      </c>
      <c r="N367" s="2">
        <v>634682.99</v>
      </c>
      <c r="P367" t="s">
        <v>4</v>
      </c>
      <c r="Q367" s="2">
        <v>0</v>
      </c>
      <c r="R367" s="2">
        <v>-337091</v>
      </c>
      <c r="S367" s="2">
        <v>0</v>
      </c>
      <c r="T367" s="2">
        <v>0</v>
      </c>
      <c r="U367" s="2">
        <v>-337091</v>
      </c>
      <c r="W367" t="s">
        <v>4</v>
      </c>
      <c r="X367" s="2">
        <v>627475.99</v>
      </c>
      <c r="Y367" s="2">
        <v>-329884</v>
      </c>
      <c r="Z367" s="2">
        <v>0</v>
      </c>
      <c r="AA367" s="2">
        <v>0</v>
      </c>
      <c r="AB367" s="2">
        <v>297591.99</v>
      </c>
      <c r="AD367" t="s">
        <v>4</v>
      </c>
      <c r="AE367" s="2">
        <v>0</v>
      </c>
      <c r="AF367" s="2">
        <v>-170442</v>
      </c>
      <c r="AG367" s="2">
        <v>0</v>
      </c>
      <c r="AH367" s="2">
        <v>0</v>
      </c>
      <c r="AI367" s="2">
        <v>-170442</v>
      </c>
      <c r="AJ367" s="3">
        <v>127149.98999999999</v>
      </c>
      <c r="AK367" t="s">
        <v>4</v>
      </c>
      <c r="AL367" s="2">
        <v>129959.62</v>
      </c>
      <c r="AM367" s="2">
        <v>500402</v>
      </c>
      <c r="AN367" s="2">
        <v>0</v>
      </c>
      <c r="AO367" s="2">
        <v>0</v>
      </c>
      <c r="AP367" s="2">
        <v>630361.62</v>
      </c>
    </row>
    <row r="368" spans="2:42" x14ac:dyDescent="0.35">
      <c r="B368" t="s">
        <v>5</v>
      </c>
      <c r="C368" s="2">
        <v>-1343000</v>
      </c>
      <c r="D368" s="2">
        <v>0</v>
      </c>
      <c r="E368" s="2">
        <v>0</v>
      </c>
      <c r="F368" s="2">
        <v>0</v>
      </c>
      <c r="G368" s="2">
        <v>-1343000</v>
      </c>
      <c r="I368" t="s">
        <v>5</v>
      </c>
      <c r="J368" s="2">
        <v>-317000</v>
      </c>
      <c r="K368" s="2">
        <v>0</v>
      </c>
      <c r="L368" s="2">
        <v>0</v>
      </c>
      <c r="M368" s="2">
        <v>0</v>
      </c>
      <c r="N368" s="2">
        <v>-317000</v>
      </c>
      <c r="P368" t="s">
        <v>5</v>
      </c>
      <c r="Q368" s="2">
        <v>-251000</v>
      </c>
      <c r="R368" s="2">
        <v>0</v>
      </c>
      <c r="S368" s="2">
        <v>0</v>
      </c>
      <c r="T368" s="2">
        <v>0</v>
      </c>
      <c r="U368" s="2">
        <v>-251000</v>
      </c>
      <c r="W368" t="s">
        <v>5</v>
      </c>
      <c r="X368" s="2">
        <v>-568000</v>
      </c>
      <c r="Y368" s="2">
        <v>0</v>
      </c>
      <c r="Z368" s="2">
        <v>0</v>
      </c>
      <c r="AA368" s="2">
        <v>0</v>
      </c>
      <c r="AB368" s="2">
        <v>-568000</v>
      </c>
      <c r="AD368" t="s">
        <v>5</v>
      </c>
      <c r="AE368" s="2">
        <v>-507000</v>
      </c>
      <c r="AF368" s="2">
        <v>0</v>
      </c>
      <c r="AG368" s="2">
        <v>0</v>
      </c>
      <c r="AH368" s="2">
        <v>0</v>
      </c>
      <c r="AI368" s="2">
        <v>-507000</v>
      </c>
      <c r="AJ368" s="3">
        <v>-1075000</v>
      </c>
      <c r="AK368" t="s">
        <v>5</v>
      </c>
      <c r="AL368" s="2">
        <v>-268000</v>
      </c>
      <c r="AM368" s="2">
        <v>0</v>
      </c>
      <c r="AN368" s="2">
        <v>0</v>
      </c>
      <c r="AO368" s="2">
        <v>0</v>
      </c>
      <c r="AP368" s="2">
        <v>-268000</v>
      </c>
    </row>
    <row r="369" spans="2:42" x14ac:dyDescent="0.35">
      <c r="B369" t="s">
        <v>182</v>
      </c>
      <c r="C369" s="2">
        <v>-106771190.03999998</v>
      </c>
      <c r="D369" s="2">
        <v>-1295517.1820443999</v>
      </c>
      <c r="E369" s="2">
        <v>760133.49</v>
      </c>
      <c r="F369" s="2">
        <v>-34719.839999999997</v>
      </c>
      <c r="G369" s="2">
        <v>-107341293.57204439</v>
      </c>
      <c r="I369" t="s">
        <v>182</v>
      </c>
      <c r="J369" s="2">
        <v>-14127297.969999999</v>
      </c>
      <c r="K369" s="2">
        <v>371074.99141299998</v>
      </c>
      <c r="L369" s="2">
        <v>378373.18</v>
      </c>
      <c r="M369" s="2">
        <v>-29266.560000000001</v>
      </c>
      <c r="N369" s="2">
        <v>-13407116.358587001</v>
      </c>
      <c r="P369" t="s">
        <v>182</v>
      </c>
      <c r="Q369" s="2">
        <v>-12008204.139999997</v>
      </c>
      <c r="R369" s="2">
        <v>-1015427.8935211999</v>
      </c>
      <c r="S369" s="2">
        <v>-243449.94999999998</v>
      </c>
      <c r="T369" s="2">
        <v>-2032.7099999999991</v>
      </c>
      <c r="U369" s="2">
        <v>-13269114.693521198</v>
      </c>
      <c r="W369" t="s">
        <v>182</v>
      </c>
      <c r="X369" s="2">
        <v>-26135502.109999996</v>
      </c>
      <c r="Y369" s="2">
        <v>-644352.90210820001</v>
      </c>
      <c r="Z369" s="2">
        <v>134923.23000000001</v>
      </c>
      <c r="AA369" s="2">
        <v>-31299.27</v>
      </c>
      <c r="AB369" s="2">
        <v>-26676231.052108195</v>
      </c>
      <c r="AD369" t="s">
        <v>182</v>
      </c>
      <c r="AE369" s="2">
        <v>-28992583.449999999</v>
      </c>
      <c r="AF369" s="2">
        <v>150555.74925960007</v>
      </c>
      <c r="AG369" s="2">
        <v>197103.57999999993</v>
      </c>
      <c r="AH369" s="2">
        <v>-10346.939999999999</v>
      </c>
      <c r="AI369" s="2">
        <v>-28655271.060740404</v>
      </c>
      <c r="AJ369" s="3">
        <v>-55331502.112848595</v>
      </c>
      <c r="AK369" t="s">
        <v>182</v>
      </c>
      <c r="AL369" s="2">
        <v>-51643104.479999974</v>
      </c>
      <c r="AM369" s="2">
        <v>-801720.02919579984</v>
      </c>
      <c r="AN369" s="2">
        <v>428106.68000000005</v>
      </c>
      <c r="AO369" s="2">
        <v>6926.3700000000026</v>
      </c>
      <c r="AP369" s="2">
        <v>-52009791.459195778</v>
      </c>
    </row>
    <row r="370" spans="2:42" x14ac:dyDescent="0.35">
      <c r="B370" s="19" t="s">
        <v>11</v>
      </c>
      <c r="C370" s="20">
        <v>-753023617.90999997</v>
      </c>
      <c r="D370" s="20">
        <v>-98263453.182044402</v>
      </c>
      <c r="E370" s="20">
        <v>-16720218.389999995</v>
      </c>
      <c r="F370" s="20">
        <v>-27646024.759999998</v>
      </c>
      <c r="G370" s="20">
        <v>-895653314.24204457</v>
      </c>
      <c r="I370" s="19" t="s">
        <v>11</v>
      </c>
      <c r="J370" s="20">
        <v>-163040220.20999998</v>
      </c>
      <c r="K370" s="20">
        <v>-24491589.008586999</v>
      </c>
      <c r="L370" s="20">
        <v>-3794304.19</v>
      </c>
      <c r="M370" s="20">
        <v>-7011948.9099999992</v>
      </c>
      <c r="N370" s="20">
        <v>-198338062.31858698</v>
      </c>
      <c r="P370" s="19" t="s">
        <v>11</v>
      </c>
      <c r="Q370" s="20">
        <v>-170266970.83000001</v>
      </c>
      <c r="R370" s="20">
        <v>-26677445.893521201</v>
      </c>
      <c r="S370" s="20">
        <v>-4790968.45</v>
      </c>
      <c r="T370" s="20">
        <v>-5985886.7400000012</v>
      </c>
      <c r="U370" s="20">
        <v>-207721271.91352123</v>
      </c>
      <c r="W370" s="19" t="s">
        <v>11</v>
      </c>
      <c r="X370" s="20">
        <v>-333307191.03999996</v>
      </c>
      <c r="Y370" s="20">
        <v>-51169034.9021082</v>
      </c>
      <c r="Z370" s="20">
        <v>-8585272.6399999987</v>
      </c>
      <c r="AA370" s="20">
        <v>-12997835.65</v>
      </c>
      <c r="AB370" s="20">
        <v>-406059334.23210818</v>
      </c>
      <c r="AD370" s="19" t="s">
        <v>11</v>
      </c>
      <c r="AE370" s="20">
        <v>-195426269.18000007</v>
      </c>
      <c r="AF370" s="20">
        <v>-21913534.250740401</v>
      </c>
      <c r="AG370" s="20">
        <v>-4127953.3600000013</v>
      </c>
      <c r="AH370" s="20">
        <v>-6237524.8800000008</v>
      </c>
      <c r="AI370" s="20">
        <v>-227705281.67074046</v>
      </c>
      <c r="AJ370" s="3">
        <v>-633764615.9028486</v>
      </c>
      <c r="AK370" s="19" t="s">
        <v>11</v>
      </c>
      <c r="AL370" s="20">
        <v>-224290157.68999994</v>
      </c>
      <c r="AM370" s="20">
        <v>-25180884.0291958</v>
      </c>
      <c r="AN370" s="20">
        <v>-4006992.3899999964</v>
      </c>
      <c r="AO370" s="20">
        <v>-8410664.2299999949</v>
      </c>
      <c r="AP370" s="20">
        <v>-261888698.33919579</v>
      </c>
    </row>
    <row r="371" spans="2:42" x14ac:dyDescent="0.35">
      <c r="C371" s="2"/>
      <c r="D371" s="2"/>
      <c r="E371" s="2"/>
      <c r="F371" s="2"/>
      <c r="G371" s="2"/>
      <c r="J371" s="2"/>
      <c r="K371" s="2"/>
      <c r="L371" s="2"/>
      <c r="M371" s="2"/>
      <c r="N371" s="2"/>
      <c r="Q371" s="2"/>
      <c r="R371" s="2"/>
      <c r="S371" s="2"/>
      <c r="T371" s="2"/>
      <c r="U371" s="2"/>
      <c r="X371" s="2"/>
      <c r="Y371" s="2"/>
      <c r="Z371" s="2"/>
      <c r="AA371" s="2"/>
      <c r="AB371" s="2"/>
      <c r="AE371" s="2"/>
      <c r="AF371" s="2"/>
      <c r="AG371" s="2"/>
      <c r="AH371" s="2"/>
      <c r="AI371" s="2"/>
      <c r="AJ371" s="3">
        <v>0</v>
      </c>
      <c r="AL371" s="2"/>
      <c r="AM371" s="2"/>
      <c r="AN371" s="2"/>
      <c r="AO371" s="2"/>
      <c r="AP371" s="2"/>
    </row>
    <row r="372" spans="2:42" x14ac:dyDescent="0.35">
      <c r="C372" s="2"/>
      <c r="D372" s="2"/>
      <c r="E372" s="2"/>
      <c r="F372" s="2"/>
      <c r="G372" s="2"/>
      <c r="J372" s="2"/>
      <c r="K372" s="2"/>
      <c r="L372" s="2"/>
      <c r="M372" s="2"/>
      <c r="N372" s="2"/>
      <c r="Q372" s="2"/>
      <c r="R372" s="2"/>
      <c r="S372" s="2"/>
      <c r="T372" s="2"/>
      <c r="U372" s="2"/>
      <c r="X372" s="2"/>
      <c r="Y372" s="2"/>
      <c r="Z372" s="2"/>
      <c r="AA372" s="2"/>
      <c r="AB372" s="2"/>
      <c r="AE372" s="2"/>
      <c r="AF372" s="2"/>
      <c r="AG372" s="2"/>
      <c r="AH372" s="2"/>
      <c r="AI372" s="2"/>
      <c r="AJ372" s="3">
        <v>0</v>
      </c>
      <c r="AL372" s="2"/>
      <c r="AM372" s="2"/>
      <c r="AN372" s="2"/>
      <c r="AO372" s="2"/>
      <c r="AP372" s="2"/>
    </row>
    <row r="373" spans="2:42" x14ac:dyDescent="0.35">
      <c r="B373" s="11" t="s">
        <v>43</v>
      </c>
      <c r="C373" s="4">
        <v>684296037.2597369</v>
      </c>
      <c r="D373" s="4">
        <v>66195101.817955598</v>
      </c>
      <c r="E373" s="4">
        <v>16470945.580000008</v>
      </c>
      <c r="F373" s="4">
        <v>-19844502.422641974</v>
      </c>
      <c r="G373" s="4">
        <v>747117582.23505056</v>
      </c>
      <c r="I373" s="11" t="s">
        <v>43</v>
      </c>
      <c r="J373" s="4">
        <v>195723419.53544003</v>
      </c>
      <c r="K373" s="4">
        <v>23861653.991413001</v>
      </c>
      <c r="L373" s="4">
        <v>5553701.2100000009</v>
      </c>
      <c r="M373" s="4">
        <v>-4589742.0289931875</v>
      </c>
      <c r="N373" s="4">
        <v>220549032.70785984</v>
      </c>
      <c r="P373" s="11" t="s">
        <v>43</v>
      </c>
      <c r="Q373" s="4">
        <v>146957219.29242</v>
      </c>
      <c r="R373" s="4">
        <v>13988531.106478799</v>
      </c>
      <c r="S373" s="4">
        <v>2859169.7700000061</v>
      </c>
      <c r="T373" s="4">
        <v>-3237457.3035577871</v>
      </c>
      <c r="U373" s="4">
        <v>160567462.86534104</v>
      </c>
      <c r="W373" s="11" t="s">
        <v>43</v>
      </c>
      <c r="X373" s="4">
        <v>342680638.82786</v>
      </c>
      <c r="Y373" s="4">
        <v>37850185.0978918</v>
      </c>
      <c r="Z373" s="4">
        <v>8412870.9800000098</v>
      </c>
      <c r="AA373" s="4">
        <v>-7827199.3325509755</v>
      </c>
      <c r="AB373" s="4">
        <v>381116495.57320082</v>
      </c>
      <c r="AD373" s="11" t="s">
        <v>43</v>
      </c>
      <c r="AE373" s="4">
        <v>102205737.83042419</v>
      </c>
      <c r="AF373" s="4">
        <v>19916825.749259599</v>
      </c>
      <c r="AG373" s="4">
        <v>4362928.91</v>
      </c>
      <c r="AH373" s="4">
        <v>-3642564.7222917266</v>
      </c>
      <c r="AI373" s="4">
        <v>122842927.76739205</v>
      </c>
      <c r="AJ373" s="3">
        <v>503959423.34059286</v>
      </c>
      <c r="AK373" s="11" t="s">
        <v>43</v>
      </c>
      <c r="AL373" s="4">
        <v>239409660.60145307</v>
      </c>
      <c r="AM373" s="4">
        <v>8428090.9708041996</v>
      </c>
      <c r="AN373" s="4">
        <v>3695145.6900000018</v>
      </c>
      <c r="AO373" s="4">
        <v>-8374738.3677992681</v>
      </c>
      <c r="AP373" s="4">
        <v>243158158.894458</v>
      </c>
    </row>
    <row r="374" spans="2:42" x14ac:dyDescent="0.35">
      <c r="B374" t="s">
        <v>6</v>
      </c>
      <c r="C374" s="2">
        <v>-196877118.34999996</v>
      </c>
      <c r="D374" s="2">
        <v>-15507306</v>
      </c>
      <c r="E374" s="2">
        <v>-2689556.27</v>
      </c>
      <c r="F374" s="2">
        <v>-3260657.4099999997</v>
      </c>
      <c r="G374" s="2">
        <v>-218334638.02999997</v>
      </c>
      <c r="I374" t="s">
        <v>6</v>
      </c>
      <c r="J374" s="2">
        <v>-53075267.620000012</v>
      </c>
      <c r="K374" s="2">
        <v>-5246716</v>
      </c>
      <c r="L374" s="2">
        <v>-1082436.73</v>
      </c>
      <c r="M374" s="2">
        <v>-734133.05999999994</v>
      </c>
      <c r="N374" s="2">
        <v>-60138553.410000011</v>
      </c>
      <c r="P374" t="s">
        <v>6</v>
      </c>
      <c r="Q374" s="2">
        <v>-47403481.949999996</v>
      </c>
      <c r="R374" s="2">
        <v>-3870665</v>
      </c>
      <c r="S374" s="2">
        <v>-507044.09999999986</v>
      </c>
      <c r="T374" s="2">
        <v>-646957.93000000028</v>
      </c>
      <c r="U374" s="2">
        <v>-52428148.979999997</v>
      </c>
      <c r="W374" t="s">
        <v>6</v>
      </c>
      <c r="X374" s="2">
        <v>-100478749.57000001</v>
      </c>
      <c r="Y374" s="2">
        <v>-9117381</v>
      </c>
      <c r="Z374" s="2">
        <v>-1589480.8299999998</v>
      </c>
      <c r="AA374" s="2">
        <v>-1381090.9900000002</v>
      </c>
      <c r="AB374" s="2">
        <v>-112566702.39</v>
      </c>
      <c r="AD374" t="s">
        <v>6</v>
      </c>
      <c r="AE374" s="2">
        <v>-36373440.190000013</v>
      </c>
      <c r="AF374" s="2">
        <v>-3026470</v>
      </c>
      <c r="AG374" s="2">
        <v>-760483.95</v>
      </c>
      <c r="AH374" s="2">
        <v>-685755.11999999988</v>
      </c>
      <c r="AI374" s="2">
        <v>-40846149.260000013</v>
      </c>
      <c r="AJ374" s="3">
        <v>-153412851.65000001</v>
      </c>
      <c r="AK374" t="s">
        <v>6</v>
      </c>
      <c r="AL374" s="2">
        <v>-60024928.589999959</v>
      </c>
      <c r="AM374" s="2">
        <v>-3363455</v>
      </c>
      <c r="AN374" s="2">
        <v>-339591.49000000022</v>
      </c>
      <c r="AO374" s="2">
        <v>-1193811.2999999998</v>
      </c>
      <c r="AP374" s="2">
        <v>-64921786.379999958</v>
      </c>
    </row>
    <row r="375" spans="2:42" x14ac:dyDescent="0.35">
      <c r="B375" s="11" t="s">
        <v>7</v>
      </c>
      <c r="C375" s="4">
        <v>487418918.90973693</v>
      </c>
      <c r="D375" s="4">
        <v>50687795.817955598</v>
      </c>
      <c r="E375" s="4">
        <v>13781389.310000008</v>
      </c>
      <c r="F375" s="4">
        <v>-23105159.832641974</v>
      </c>
      <c r="G375" s="4">
        <v>528782944.20505059</v>
      </c>
      <c r="I375" s="11" t="s">
        <v>7</v>
      </c>
      <c r="J375" s="4">
        <v>142648151.91544002</v>
      </c>
      <c r="K375" s="4">
        <v>18614937.991413001</v>
      </c>
      <c r="L375" s="4">
        <v>4471264.4800000004</v>
      </c>
      <c r="M375" s="4">
        <v>-5323875.0889931871</v>
      </c>
      <c r="N375" s="4">
        <v>160410479.29785982</v>
      </c>
      <c r="P375" s="11" t="s">
        <v>7</v>
      </c>
      <c r="Q375" s="4">
        <v>99553737.342420012</v>
      </c>
      <c r="R375" s="4">
        <v>10117866.106478799</v>
      </c>
      <c r="S375" s="4">
        <v>2352125.6700000064</v>
      </c>
      <c r="T375" s="4">
        <v>-3884415.2335577873</v>
      </c>
      <c r="U375" s="4">
        <v>108139313.88534102</v>
      </c>
      <c r="W375" s="11" t="s">
        <v>7</v>
      </c>
      <c r="X375" s="4">
        <v>242201889.25786</v>
      </c>
      <c r="Y375" s="4">
        <v>28732804.0978918</v>
      </c>
      <c r="Z375" s="4">
        <v>6823390.1500000097</v>
      </c>
      <c r="AA375" s="4">
        <v>-9208290.3225509748</v>
      </c>
      <c r="AB375" s="4">
        <v>268549793.1832009</v>
      </c>
      <c r="AD375" s="11" t="s">
        <v>7</v>
      </c>
      <c r="AE375" s="4">
        <v>65832297.640424177</v>
      </c>
      <c r="AF375" s="4">
        <v>16890355.749259599</v>
      </c>
      <c r="AG375" s="4">
        <v>3602444.96</v>
      </c>
      <c r="AH375" s="4">
        <v>-4328319.8422917267</v>
      </c>
      <c r="AI375" s="4">
        <v>81996778.507392049</v>
      </c>
      <c r="AJ375" s="3">
        <v>350546571.69059294</v>
      </c>
      <c r="AK375" s="11" t="s">
        <v>7</v>
      </c>
      <c r="AL375" s="4">
        <v>179384732.01145309</v>
      </c>
      <c r="AM375" s="4">
        <v>5064635.9708041996</v>
      </c>
      <c r="AN375" s="4">
        <v>3355554.2000000016</v>
      </c>
      <c r="AO375" s="4">
        <v>-9568549.6677992679</v>
      </c>
      <c r="AP375" s="4">
        <v>178236372.51445803</v>
      </c>
    </row>
    <row r="376" spans="2:42" x14ac:dyDescent="0.35">
      <c r="B376" t="s">
        <v>8</v>
      </c>
      <c r="C376" s="2">
        <v>-7109801.9725583484</v>
      </c>
      <c r="D376" s="2">
        <v>-8504356.8399999999</v>
      </c>
      <c r="E376" s="2">
        <v>-2451486.0660000006</v>
      </c>
      <c r="F376" s="2">
        <v>-3937.0465319995656</v>
      </c>
      <c r="G376" s="2">
        <v>-18069581.92509035</v>
      </c>
      <c r="I376" t="s">
        <v>8</v>
      </c>
      <c r="J376" s="2">
        <v>-2058294.3542609203</v>
      </c>
      <c r="K376" s="2">
        <v>-3912001.5512999999</v>
      </c>
      <c r="L376" s="2">
        <v>-893652.89599999983</v>
      </c>
      <c r="M376" s="2">
        <v>-1055.9577639998838</v>
      </c>
      <c r="N376" s="2">
        <v>-6865004.7593249194</v>
      </c>
      <c r="P376" t="s">
        <v>8</v>
      </c>
      <c r="Q376" s="2">
        <v>-2418898.5411129715</v>
      </c>
      <c r="R376" s="2">
        <v>-1004488.2526999996</v>
      </c>
      <c r="S376" s="2">
        <v>-336455.22200000065</v>
      </c>
      <c r="T376" s="2">
        <v>-932.65163199989661</v>
      </c>
      <c r="U376" s="2">
        <v>-3760774.6674449714</v>
      </c>
      <c r="W376" t="s">
        <v>8</v>
      </c>
      <c r="X376" s="2">
        <v>-4477192.895373892</v>
      </c>
      <c r="Y376" s="2">
        <v>-4916489.8039999995</v>
      </c>
      <c r="Z376" s="2">
        <v>-1230108.1180000005</v>
      </c>
      <c r="AA376" s="2">
        <v>-1988.6093959997804</v>
      </c>
      <c r="AB376" s="2">
        <v>-10625779.426769892</v>
      </c>
      <c r="AD376" t="s">
        <v>8</v>
      </c>
      <c r="AE376" s="2">
        <v>-36546.765992394648</v>
      </c>
      <c r="AF376" s="2">
        <v>-3069766.7512000008</v>
      </c>
      <c r="AG376" s="2">
        <v>-636052.77400000114</v>
      </c>
      <c r="AH376" s="2">
        <v>-981.57480399989322</v>
      </c>
      <c r="AI376" s="2">
        <v>-3743347.8659963966</v>
      </c>
      <c r="AJ376" s="3">
        <v>-14369127.292766288</v>
      </c>
      <c r="AK376" t="s">
        <v>8</v>
      </c>
      <c r="AL376" s="2">
        <v>-2596062.3111920618</v>
      </c>
      <c r="AM376" s="2">
        <v>-518100.28479999956</v>
      </c>
      <c r="AN376" s="2">
        <v>-585325.17399999895</v>
      </c>
      <c r="AO376" s="2">
        <v>-966.86233199989169</v>
      </c>
      <c r="AP376" s="2">
        <v>-3700454.63232406</v>
      </c>
    </row>
    <row r="377" spans="2:42" x14ac:dyDescent="0.35">
      <c r="B377" s="11" t="s">
        <v>161</v>
      </c>
      <c r="C377" s="4">
        <v>480309116.93717861</v>
      </c>
      <c r="D377" s="4">
        <v>42183438.977955595</v>
      </c>
      <c r="E377" s="4">
        <v>11329903.244000006</v>
      </c>
      <c r="F377" s="4">
        <v>-23109096.879173975</v>
      </c>
      <c r="G377" s="4">
        <v>510713362.27996022</v>
      </c>
      <c r="I377" s="11" t="s">
        <v>161</v>
      </c>
      <c r="J377" s="4">
        <v>140589857.5611791</v>
      </c>
      <c r="K377" s="4">
        <v>14702936.440113001</v>
      </c>
      <c r="L377" s="4">
        <v>3577611.5840000007</v>
      </c>
      <c r="M377" s="4">
        <v>-5324931.0467571868</v>
      </c>
      <c r="N377" s="4">
        <v>153545474.53853491</v>
      </c>
      <c r="P377" s="11" t="s">
        <v>161</v>
      </c>
      <c r="Q377" s="4">
        <v>97134838.801307037</v>
      </c>
      <c r="R377" s="4">
        <v>9113377.8537788</v>
      </c>
      <c r="S377" s="4">
        <v>2015670.4480000059</v>
      </c>
      <c r="T377" s="4">
        <v>-3885347.885189787</v>
      </c>
      <c r="U377" s="4">
        <v>104378539.21789604</v>
      </c>
      <c r="W377" s="11" t="s">
        <v>161</v>
      </c>
      <c r="X377" s="4">
        <v>237724696.36248612</v>
      </c>
      <c r="Y377" s="4">
        <v>23816314.293891802</v>
      </c>
      <c r="Z377" s="4">
        <v>5593282.032000009</v>
      </c>
      <c r="AA377" s="4">
        <v>-9210278.9319469742</v>
      </c>
      <c r="AB377" s="4">
        <v>257924013.75643095</v>
      </c>
      <c r="AD377" s="11" t="s">
        <v>161</v>
      </c>
      <c r="AE377" s="4">
        <v>65795750.874431781</v>
      </c>
      <c r="AF377" s="4">
        <v>13820588.998059597</v>
      </c>
      <c r="AG377" s="4">
        <v>2966392.1859999988</v>
      </c>
      <c r="AH377" s="4">
        <v>-4329301.4170957264</v>
      </c>
      <c r="AI377" s="4">
        <v>78253430.641395658</v>
      </c>
      <c r="AJ377" s="3">
        <v>336177444.39782661</v>
      </c>
      <c r="AK377" s="11" t="s">
        <v>9</v>
      </c>
      <c r="AL377" s="4">
        <v>176788669.70026103</v>
      </c>
      <c r="AM377" s="4">
        <v>4546535.6860042</v>
      </c>
      <c r="AN377" s="4">
        <v>2770229.0260000024</v>
      </c>
      <c r="AO377" s="4">
        <v>-9569516.5301312674</v>
      </c>
      <c r="AP377" s="4">
        <v>174535917.88213393</v>
      </c>
    </row>
    <row r="378" spans="2:42" x14ac:dyDescent="0.35">
      <c r="C378">
        <v>-5.9604644775390625E-7</v>
      </c>
      <c r="D378">
        <v>0</v>
      </c>
      <c r="E378">
        <v>0</v>
      </c>
      <c r="F378">
        <v>0</v>
      </c>
      <c r="G378">
        <v>-5.9604644775390625E-7</v>
      </c>
      <c r="Q378">
        <v>0</v>
      </c>
      <c r="R378">
        <v>0</v>
      </c>
      <c r="S378">
        <v>2.3283064365386963E-9</v>
      </c>
      <c r="T378">
        <v>0</v>
      </c>
      <c r="U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E378">
        <v>0</v>
      </c>
      <c r="AF378">
        <v>0</v>
      </c>
      <c r="AG378">
        <v>0</v>
      </c>
      <c r="AH378">
        <v>0</v>
      </c>
      <c r="AI378">
        <v>0</v>
      </c>
      <c r="AL378">
        <v>-3.2782554626464844E-7</v>
      </c>
      <c r="AM378">
        <v>0</v>
      </c>
      <c r="AN378">
        <v>0</v>
      </c>
      <c r="AO378">
        <v>0</v>
      </c>
      <c r="AP378">
        <v>-2.9802322387695313E-7</v>
      </c>
    </row>
    <row r="381" spans="2:42" ht="18.5" x14ac:dyDescent="0.35">
      <c r="B381" s="303" t="s">
        <v>205</v>
      </c>
      <c r="C381" s="303"/>
      <c r="D381" s="303"/>
      <c r="E381" s="303"/>
      <c r="F381" s="303"/>
      <c r="G381" s="303"/>
      <c r="I381" s="303" t="s">
        <v>193</v>
      </c>
      <c r="J381" s="303"/>
      <c r="K381" s="303"/>
      <c r="L381" s="303"/>
      <c r="M381" s="303"/>
      <c r="N381" s="303"/>
      <c r="P381" s="303" t="s">
        <v>197</v>
      </c>
      <c r="Q381" s="303"/>
      <c r="R381" s="303"/>
      <c r="S381" s="303"/>
      <c r="T381" s="303"/>
      <c r="U381" s="303"/>
      <c r="W381" s="303" t="s">
        <v>199</v>
      </c>
      <c r="X381" s="303"/>
      <c r="Y381" s="303"/>
      <c r="Z381" s="303"/>
      <c r="AA381" s="303"/>
      <c r="AB381" s="303"/>
      <c r="AD381" s="303" t="s">
        <v>202</v>
      </c>
      <c r="AE381" s="303"/>
      <c r="AF381" s="303"/>
      <c r="AG381" s="303"/>
      <c r="AH381" s="303"/>
      <c r="AI381" s="303"/>
      <c r="AK381" s="303" t="s">
        <v>208</v>
      </c>
      <c r="AL381" s="303"/>
      <c r="AM381" s="303"/>
      <c r="AN381" s="303"/>
      <c r="AO381" s="303"/>
      <c r="AP381" s="303"/>
    </row>
    <row r="382" spans="2:42" ht="15.5" x14ac:dyDescent="0.35">
      <c r="B382" s="8"/>
      <c r="C382" s="8" t="s">
        <v>10</v>
      </c>
      <c r="D382" s="8" t="s">
        <v>69</v>
      </c>
      <c r="E382" s="8" t="s">
        <v>70</v>
      </c>
      <c r="F382" s="8" t="s">
        <v>44</v>
      </c>
      <c r="G382" s="9" t="s">
        <v>45</v>
      </c>
      <c r="I382" s="8"/>
      <c r="J382" s="8" t="s">
        <v>10</v>
      </c>
      <c r="K382" s="8" t="s">
        <v>69</v>
      </c>
      <c r="L382" s="8" t="s">
        <v>70</v>
      </c>
      <c r="M382" s="8" t="s">
        <v>44</v>
      </c>
      <c r="N382" s="9" t="s">
        <v>45</v>
      </c>
      <c r="P382" s="8"/>
      <c r="Q382" s="8" t="s">
        <v>10</v>
      </c>
      <c r="R382" s="8" t="s">
        <v>69</v>
      </c>
      <c r="S382" s="8" t="s">
        <v>70</v>
      </c>
      <c r="T382" s="8" t="s">
        <v>44</v>
      </c>
      <c r="U382" s="9" t="s">
        <v>45</v>
      </c>
      <c r="W382" s="8"/>
      <c r="X382" s="8" t="s">
        <v>10</v>
      </c>
      <c r="Y382" s="8" t="s">
        <v>69</v>
      </c>
      <c r="Z382" s="8" t="s">
        <v>70</v>
      </c>
      <c r="AA382" s="8" t="s">
        <v>44</v>
      </c>
      <c r="AB382" s="9" t="s">
        <v>45</v>
      </c>
      <c r="AD382" s="8"/>
      <c r="AE382" s="8" t="s">
        <v>10</v>
      </c>
      <c r="AF382" s="8" t="s">
        <v>69</v>
      </c>
      <c r="AG382" s="8" t="s">
        <v>70</v>
      </c>
      <c r="AH382" s="8" t="s">
        <v>44</v>
      </c>
      <c r="AI382" s="9" t="s">
        <v>45</v>
      </c>
      <c r="AK382" s="8"/>
      <c r="AL382" s="8" t="s">
        <v>10</v>
      </c>
      <c r="AM382" s="8" t="s">
        <v>69</v>
      </c>
      <c r="AN382" s="8" t="s">
        <v>70</v>
      </c>
      <c r="AO382" s="8" t="s">
        <v>44</v>
      </c>
      <c r="AP382" s="9" t="s">
        <v>45</v>
      </c>
    </row>
    <row r="383" spans="2:42" x14ac:dyDescent="0.35">
      <c r="B383" t="s">
        <v>85</v>
      </c>
      <c r="C383" s="2">
        <v>1005772251.0400002</v>
      </c>
      <c r="D383" s="2">
        <v>0</v>
      </c>
      <c r="E383" s="2">
        <v>0</v>
      </c>
      <c r="F383" s="2">
        <v>0</v>
      </c>
      <c r="G383" s="2">
        <v>1005772251.0400002</v>
      </c>
      <c r="I383" t="s">
        <v>85</v>
      </c>
      <c r="J383" s="2">
        <v>269827495.06</v>
      </c>
      <c r="K383" s="2">
        <v>0</v>
      </c>
      <c r="L383" s="2">
        <v>0</v>
      </c>
      <c r="M383" s="2">
        <v>0</v>
      </c>
      <c r="N383" s="2">
        <v>269827495.06</v>
      </c>
      <c r="P383" t="s">
        <v>85</v>
      </c>
      <c r="Q383" s="2">
        <v>295023015.51000005</v>
      </c>
      <c r="R383" s="2">
        <v>0</v>
      </c>
      <c r="S383" s="2">
        <v>0</v>
      </c>
      <c r="T383" s="2">
        <v>0</v>
      </c>
      <c r="U383" s="2">
        <v>295023015.51000005</v>
      </c>
      <c r="W383" t="s">
        <v>85</v>
      </c>
      <c r="X383" s="2">
        <v>564850510.57000005</v>
      </c>
      <c r="Y383" s="2">
        <v>0</v>
      </c>
      <c r="Z383" s="2">
        <v>0</v>
      </c>
      <c r="AA383" s="2">
        <v>0</v>
      </c>
      <c r="AB383" s="2">
        <v>564850510.57000005</v>
      </c>
      <c r="AD383" t="s">
        <v>85</v>
      </c>
      <c r="AE383" s="2">
        <v>271177682.5</v>
      </c>
      <c r="AF383" s="2">
        <v>0</v>
      </c>
      <c r="AG383" s="2">
        <v>0</v>
      </c>
      <c r="AH383" s="2">
        <v>0</v>
      </c>
      <c r="AI383" s="2">
        <v>271177682.5</v>
      </c>
      <c r="AK383" t="s">
        <v>85</v>
      </c>
      <c r="AL383" s="2">
        <v>169744057.97000015</v>
      </c>
      <c r="AM383" s="2">
        <v>0</v>
      </c>
      <c r="AN383" s="2">
        <v>0</v>
      </c>
      <c r="AO383" s="2">
        <v>0</v>
      </c>
      <c r="AP383" s="2">
        <v>169744057.97000015</v>
      </c>
    </row>
    <row r="384" spans="2:42" x14ac:dyDescent="0.35">
      <c r="B384" t="s">
        <v>19</v>
      </c>
      <c r="C384" s="2">
        <v>326240536.33796</v>
      </c>
      <c r="D384" s="2">
        <v>0</v>
      </c>
      <c r="E384" s="2">
        <v>0</v>
      </c>
      <c r="F384" s="2">
        <v>0</v>
      </c>
      <c r="G384" s="2">
        <v>326240536.33796</v>
      </c>
      <c r="I384" t="s">
        <v>19</v>
      </c>
      <c r="J384" s="2">
        <v>68678466.380419999</v>
      </c>
      <c r="K384" s="2">
        <v>0</v>
      </c>
      <c r="L384" s="2">
        <v>0</v>
      </c>
      <c r="M384" s="2">
        <v>0</v>
      </c>
      <c r="N384" s="2">
        <v>68678466.380419999</v>
      </c>
      <c r="P384" t="s">
        <v>19</v>
      </c>
      <c r="Q384" s="2">
        <v>79102244.114439964</v>
      </c>
      <c r="R384" s="2">
        <v>0</v>
      </c>
      <c r="S384" s="2">
        <v>0</v>
      </c>
      <c r="T384" s="2">
        <v>0</v>
      </c>
      <c r="U384" s="2">
        <v>79102244.114439964</v>
      </c>
      <c r="W384" t="s">
        <v>19</v>
      </c>
      <c r="X384" s="2">
        <v>147780710.49485996</v>
      </c>
      <c r="Y384" s="2">
        <v>0</v>
      </c>
      <c r="Z384" s="2">
        <v>0</v>
      </c>
      <c r="AA384" s="2">
        <v>0</v>
      </c>
      <c r="AB384" s="2">
        <v>147780710.49485996</v>
      </c>
      <c r="AD384" t="s">
        <v>19</v>
      </c>
      <c r="AE384" s="2">
        <v>84259569.398080051</v>
      </c>
      <c r="AF384" s="2">
        <v>0</v>
      </c>
      <c r="AG384" s="2">
        <v>0</v>
      </c>
      <c r="AH384" s="2">
        <v>0</v>
      </c>
      <c r="AI384" s="2">
        <v>84259569.398080051</v>
      </c>
      <c r="AK384" t="s">
        <v>19</v>
      </c>
      <c r="AL384" s="2">
        <v>94200256.44501999</v>
      </c>
      <c r="AM384" s="2">
        <v>0</v>
      </c>
      <c r="AN384" s="2">
        <v>0</v>
      </c>
      <c r="AO384" s="2">
        <v>0</v>
      </c>
      <c r="AP384" s="2">
        <v>94200256.44501999</v>
      </c>
    </row>
    <row r="385" spans="2:42" x14ac:dyDescent="0.35">
      <c r="B385" t="s">
        <v>86</v>
      </c>
      <c r="C385" s="2">
        <v>8569467.8900000136</v>
      </c>
      <c r="D385" s="2">
        <v>0</v>
      </c>
      <c r="E385" s="2">
        <v>0</v>
      </c>
      <c r="F385" s="2">
        <v>0</v>
      </c>
      <c r="G385" s="2">
        <v>8569467.8900000136</v>
      </c>
      <c r="I385" t="s">
        <v>86</v>
      </c>
      <c r="J385" s="2">
        <v>-2943047.1999999881</v>
      </c>
      <c r="K385" s="2">
        <v>0</v>
      </c>
      <c r="L385" s="2">
        <v>0</v>
      </c>
      <c r="M385" s="2">
        <v>0</v>
      </c>
      <c r="N385" s="2">
        <v>-2943047.1999999881</v>
      </c>
      <c r="P385" t="s">
        <v>86</v>
      </c>
      <c r="Q385" s="2">
        <v>4035316.379999999</v>
      </c>
      <c r="R385" s="2">
        <v>0</v>
      </c>
      <c r="S385" s="2">
        <v>0</v>
      </c>
      <c r="T385" s="2">
        <v>0</v>
      </c>
      <c r="U385" s="2">
        <v>4035316.379999999</v>
      </c>
      <c r="W385" t="s">
        <v>86</v>
      </c>
      <c r="X385" s="2">
        <v>1092269.1800000109</v>
      </c>
      <c r="Y385" s="2">
        <v>0</v>
      </c>
      <c r="Z385" s="2">
        <v>0</v>
      </c>
      <c r="AA385" s="2">
        <v>0</v>
      </c>
      <c r="AB385" s="2">
        <v>1092269.1800000109</v>
      </c>
      <c r="AD385" t="s">
        <v>86</v>
      </c>
      <c r="AE385" s="2">
        <v>3131917.9899999667</v>
      </c>
      <c r="AF385" s="2">
        <v>0</v>
      </c>
      <c r="AG385" s="2">
        <v>0</v>
      </c>
      <c r="AH385" s="2">
        <v>0</v>
      </c>
      <c r="AI385" s="2">
        <v>3131917.9899999667</v>
      </c>
      <c r="AK385" t="s">
        <v>86</v>
      </c>
      <c r="AL385" s="2">
        <v>4345280.7200000361</v>
      </c>
      <c r="AM385" s="2">
        <v>0</v>
      </c>
      <c r="AN385" s="2">
        <v>0</v>
      </c>
      <c r="AO385" s="2">
        <v>0</v>
      </c>
      <c r="AP385" s="2">
        <v>4345280.7200000361</v>
      </c>
    </row>
    <row r="386" spans="2:42" x14ac:dyDescent="0.35">
      <c r="B386" t="s">
        <v>87</v>
      </c>
      <c r="C386" s="2">
        <v>-331235780.84000003</v>
      </c>
      <c r="D386" s="2">
        <v>0</v>
      </c>
      <c r="E386" s="2">
        <v>0</v>
      </c>
      <c r="F386" s="2">
        <v>0</v>
      </c>
      <c r="G386" s="2">
        <v>-331235780.84000003</v>
      </c>
      <c r="I386" t="s">
        <v>87</v>
      </c>
      <c r="J386" s="2">
        <v>-60229089.18</v>
      </c>
      <c r="K386" s="2">
        <v>0</v>
      </c>
      <c r="L386" s="2">
        <v>0</v>
      </c>
      <c r="M386" s="2">
        <v>0</v>
      </c>
      <c r="N386" s="2">
        <v>-60229089.18</v>
      </c>
      <c r="P386" t="s">
        <v>87</v>
      </c>
      <c r="Q386" s="2">
        <v>-81615381.180000007</v>
      </c>
      <c r="R386" s="2">
        <v>0</v>
      </c>
      <c r="S386" s="2">
        <v>0</v>
      </c>
      <c r="T386" s="2">
        <v>0</v>
      </c>
      <c r="U386" s="2">
        <v>-81615381.180000007</v>
      </c>
      <c r="W386" t="s">
        <v>87</v>
      </c>
      <c r="X386" s="2">
        <v>-141844470.36000001</v>
      </c>
      <c r="Y386" s="2">
        <v>0</v>
      </c>
      <c r="Z386" s="2">
        <v>0</v>
      </c>
      <c r="AA386" s="2">
        <v>0</v>
      </c>
      <c r="AB386" s="2">
        <v>-141844470.36000001</v>
      </c>
      <c r="AD386" t="s">
        <v>87</v>
      </c>
      <c r="AE386" s="2">
        <v>-108671156.77999997</v>
      </c>
      <c r="AF386" s="2">
        <v>0</v>
      </c>
      <c r="AG386" s="2">
        <v>0</v>
      </c>
      <c r="AH386" s="2">
        <v>0</v>
      </c>
      <c r="AI386" s="2">
        <v>-108671156.77999997</v>
      </c>
      <c r="AK386" t="s">
        <v>87</v>
      </c>
      <c r="AL386" s="2">
        <v>-80720153.700000048</v>
      </c>
      <c r="AM386" s="2">
        <v>0</v>
      </c>
      <c r="AN386" s="2">
        <v>0</v>
      </c>
      <c r="AO386" s="2">
        <v>0</v>
      </c>
      <c r="AP386" s="2">
        <v>-80720153.700000048</v>
      </c>
    </row>
    <row r="387" spans="2:42" x14ac:dyDescent="0.35">
      <c r="B387" s="19" t="s">
        <v>18</v>
      </c>
      <c r="C387" s="20">
        <v>1009346474.4279603</v>
      </c>
      <c r="D387" s="20">
        <v>0</v>
      </c>
      <c r="E387" s="20">
        <v>0</v>
      </c>
      <c r="F387" s="20">
        <v>0</v>
      </c>
      <c r="G387" s="20">
        <v>1009346474.4279603</v>
      </c>
      <c r="I387" s="19" t="s">
        <v>18</v>
      </c>
      <c r="J387" s="20">
        <v>275333825.06042004</v>
      </c>
      <c r="K387" s="20">
        <v>0</v>
      </c>
      <c r="L387" s="20">
        <v>0</v>
      </c>
      <c r="M387" s="20">
        <v>0</v>
      </c>
      <c r="N387" s="20">
        <v>275333825.06042004</v>
      </c>
      <c r="P387" s="19" t="s">
        <v>18</v>
      </c>
      <c r="Q387" s="20">
        <v>296545194.82444</v>
      </c>
      <c r="R387" s="20">
        <v>0</v>
      </c>
      <c r="S387" s="20">
        <v>0</v>
      </c>
      <c r="T387" s="20">
        <v>0</v>
      </c>
      <c r="U387" s="20">
        <v>296545194.82444</v>
      </c>
      <c r="W387" s="19" t="s">
        <v>18</v>
      </c>
      <c r="X387" s="20">
        <v>571879019.88486004</v>
      </c>
      <c r="Y387" s="20">
        <v>0</v>
      </c>
      <c r="Z387" s="20">
        <v>0</v>
      </c>
      <c r="AA387" s="20">
        <v>0</v>
      </c>
      <c r="AB387" s="20">
        <v>571879019.88486004</v>
      </c>
      <c r="AD387" s="19" t="s">
        <v>18</v>
      </c>
      <c r="AE387" s="20">
        <v>249898013.10808003</v>
      </c>
      <c r="AF387" s="20">
        <v>0</v>
      </c>
      <c r="AG387" s="20">
        <v>0</v>
      </c>
      <c r="AH387" s="20">
        <v>0</v>
      </c>
      <c r="AI387" s="20">
        <v>249898013.10808003</v>
      </c>
      <c r="AK387" s="19" t="s">
        <v>18</v>
      </c>
      <c r="AL387" s="20">
        <v>187569441.43502012</v>
      </c>
      <c r="AM387" s="20">
        <v>0</v>
      </c>
      <c r="AN387" s="20">
        <v>0</v>
      </c>
      <c r="AO387" s="20">
        <v>0</v>
      </c>
      <c r="AP387" s="20">
        <v>187569441.43502012</v>
      </c>
    </row>
    <row r="388" spans="2:42" x14ac:dyDescent="0.35">
      <c r="C388" s="2"/>
      <c r="D388" s="2"/>
      <c r="E388" s="2"/>
      <c r="F388" s="2"/>
      <c r="G388" s="2"/>
      <c r="J388" s="2"/>
      <c r="K388" s="2"/>
      <c r="L388" s="2"/>
      <c r="M388" s="2"/>
      <c r="N388" s="2"/>
      <c r="Q388" s="2"/>
      <c r="R388" s="2"/>
      <c r="S388" s="2"/>
      <c r="T388" s="2"/>
      <c r="U388" s="2"/>
      <c r="X388" s="2"/>
      <c r="Y388" s="2"/>
      <c r="Z388" s="2"/>
      <c r="AA388" s="2"/>
      <c r="AB388" s="2"/>
      <c r="AE388" s="2"/>
      <c r="AF388" s="2"/>
      <c r="AG388" s="2"/>
      <c r="AH388" s="2"/>
      <c r="AI388" s="2"/>
      <c r="AL388" s="2"/>
      <c r="AM388" s="2"/>
      <c r="AN388" s="2"/>
      <c r="AO388" s="2"/>
      <c r="AP388" s="2"/>
    </row>
    <row r="389" spans="2:42" x14ac:dyDescent="0.35">
      <c r="C389" s="2"/>
      <c r="D389" s="2"/>
      <c r="E389" s="2"/>
      <c r="F389" s="2"/>
      <c r="G389" s="2"/>
      <c r="J389" s="2"/>
      <c r="K389" s="2"/>
      <c r="L389" s="2"/>
      <c r="M389" s="2"/>
      <c r="N389" s="2"/>
      <c r="Q389" s="2"/>
      <c r="R389" s="2"/>
      <c r="S389" s="2"/>
      <c r="T389" s="2"/>
      <c r="U389" s="2"/>
      <c r="X389" s="2"/>
      <c r="Y389" s="2"/>
      <c r="Z389" s="2"/>
      <c r="AA389" s="2"/>
      <c r="AB389" s="2"/>
      <c r="AE389" s="2"/>
      <c r="AF389" s="2"/>
      <c r="AG389" s="2"/>
      <c r="AH389" s="2"/>
      <c r="AI389" s="2"/>
      <c r="AL389" s="2"/>
      <c r="AM389" s="2"/>
      <c r="AN389" s="2"/>
      <c r="AO389" s="2"/>
      <c r="AP389" s="2"/>
    </row>
    <row r="390" spans="2:42" x14ac:dyDescent="0.35">
      <c r="B390" t="s">
        <v>12</v>
      </c>
      <c r="C390" s="2">
        <v>1388051142.0000002</v>
      </c>
      <c r="D390" s="2">
        <v>0</v>
      </c>
      <c r="E390" s="2">
        <v>0</v>
      </c>
      <c r="F390" s="2">
        <v>0</v>
      </c>
      <c r="G390" s="2">
        <v>1388051142.0000002</v>
      </c>
      <c r="I390" t="s">
        <v>12</v>
      </c>
      <c r="J390" s="2">
        <v>285485570.03999996</v>
      </c>
      <c r="K390" s="2">
        <v>0</v>
      </c>
      <c r="L390" s="2">
        <v>0</v>
      </c>
      <c r="M390" s="2">
        <v>0</v>
      </c>
      <c r="N390" s="2">
        <v>285485570.03999996</v>
      </c>
      <c r="P390" t="s">
        <v>12</v>
      </c>
      <c r="Q390" s="2">
        <v>306435172.17000008</v>
      </c>
      <c r="R390" s="2">
        <v>0</v>
      </c>
      <c r="S390" s="2">
        <v>0</v>
      </c>
      <c r="T390" s="2">
        <v>0</v>
      </c>
      <c r="U390" s="2">
        <v>306435172.17000008</v>
      </c>
      <c r="W390" t="s">
        <v>12</v>
      </c>
      <c r="X390" s="2">
        <v>591920742.21000004</v>
      </c>
      <c r="Y390" s="2">
        <v>0</v>
      </c>
      <c r="Z390" s="2">
        <v>0</v>
      </c>
      <c r="AA390" s="2">
        <v>0</v>
      </c>
      <c r="AB390" s="2">
        <v>591920742.21000004</v>
      </c>
      <c r="AD390" t="s">
        <v>12</v>
      </c>
      <c r="AE390" s="2">
        <v>350664353.06999969</v>
      </c>
      <c r="AF390" s="2">
        <v>0</v>
      </c>
      <c r="AG390" s="2">
        <v>0</v>
      </c>
      <c r="AH390" s="2">
        <v>0</v>
      </c>
      <c r="AI390" s="2">
        <v>350664353.06999969</v>
      </c>
      <c r="AK390" t="s">
        <v>12</v>
      </c>
      <c r="AL390" s="2">
        <v>445466046.72000051</v>
      </c>
      <c r="AM390" s="2">
        <v>0</v>
      </c>
      <c r="AN390" s="2">
        <v>0</v>
      </c>
      <c r="AO390" s="2">
        <v>0</v>
      </c>
      <c r="AP390" s="2">
        <v>445466046.72000051</v>
      </c>
    </row>
    <row r="391" spans="2:42" x14ac:dyDescent="0.35">
      <c r="B391" t="s">
        <v>3</v>
      </c>
      <c r="C391" s="2">
        <v>-880203233.87999988</v>
      </c>
      <c r="D391" s="2">
        <v>0</v>
      </c>
      <c r="E391" s="2">
        <v>0</v>
      </c>
      <c r="F391" s="2">
        <v>-92935.41</v>
      </c>
      <c r="G391" s="2">
        <v>-880296169.28999984</v>
      </c>
      <c r="I391" t="s">
        <v>3</v>
      </c>
      <c r="J391" s="2">
        <v>-174602375.21000004</v>
      </c>
      <c r="K391" s="2">
        <v>0</v>
      </c>
      <c r="L391" s="2">
        <v>0</v>
      </c>
      <c r="M391" s="2">
        <v>-26672.25</v>
      </c>
      <c r="N391" s="2">
        <v>-174629047.46000004</v>
      </c>
      <c r="P391" t="s">
        <v>3</v>
      </c>
      <c r="Q391" s="2">
        <v>-198098644.45000011</v>
      </c>
      <c r="R391" s="2">
        <v>0</v>
      </c>
      <c r="S391" s="2">
        <v>0</v>
      </c>
      <c r="T391" s="2">
        <v>-20367.010000000002</v>
      </c>
      <c r="U391" s="2">
        <v>-198119011.4600001</v>
      </c>
      <c r="W391" t="s">
        <v>3</v>
      </c>
      <c r="X391" s="2">
        <v>-372701019.66000015</v>
      </c>
      <c r="Y391" s="2">
        <v>0</v>
      </c>
      <c r="Z391" s="2">
        <v>0</v>
      </c>
      <c r="AA391" s="2">
        <v>-47039.26</v>
      </c>
      <c r="AB391" s="2">
        <v>-372748058.92000014</v>
      </c>
      <c r="AD391" t="s">
        <v>3</v>
      </c>
      <c r="AE391" s="2">
        <v>-208787124.48999995</v>
      </c>
      <c r="AF391" s="2">
        <v>0</v>
      </c>
      <c r="AG391" s="2">
        <v>0</v>
      </c>
      <c r="AH391" s="2">
        <v>-19722.579999999994</v>
      </c>
      <c r="AI391" s="2">
        <v>-208806847.06999996</v>
      </c>
      <c r="AK391" t="s">
        <v>3</v>
      </c>
      <c r="AL391" s="2">
        <v>-298715089.72999972</v>
      </c>
      <c r="AM391" s="2">
        <v>0</v>
      </c>
      <c r="AN391" s="2">
        <v>0</v>
      </c>
      <c r="AO391" s="2">
        <v>-26173.570000000014</v>
      </c>
      <c r="AP391" s="2">
        <v>-298741263.29999971</v>
      </c>
    </row>
    <row r="392" spans="2:42" x14ac:dyDescent="0.35">
      <c r="B392" t="s">
        <v>88</v>
      </c>
      <c r="C392" s="2">
        <v>70476765.049999982</v>
      </c>
      <c r="D392" s="2">
        <v>0</v>
      </c>
      <c r="E392" s="2">
        <v>0</v>
      </c>
      <c r="F392" s="2">
        <v>18210.260000000002</v>
      </c>
      <c r="G392" s="2">
        <v>70494975.309999987</v>
      </c>
      <c r="I392" t="s">
        <v>88</v>
      </c>
      <c r="J392" s="2">
        <v>21747599.749999996</v>
      </c>
      <c r="K392" s="2">
        <v>0</v>
      </c>
      <c r="L392" s="2">
        <v>0</v>
      </c>
      <c r="M392" s="2">
        <v>4147.8100000000004</v>
      </c>
      <c r="N392" s="2">
        <v>21751747.559999995</v>
      </c>
      <c r="P392" t="s">
        <v>88</v>
      </c>
      <c r="Q392" s="2">
        <v>13394593.640000004</v>
      </c>
      <c r="R392" s="2">
        <v>0</v>
      </c>
      <c r="S392" s="2">
        <v>0</v>
      </c>
      <c r="T392" s="2">
        <v>4697.329999999999</v>
      </c>
      <c r="U392" s="2">
        <v>13399290.970000004</v>
      </c>
      <c r="W392" t="s">
        <v>88</v>
      </c>
      <c r="X392" s="2">
        <v>35142193.390000001</v>
      </c>
      <c r="Y392" s="2">
        <v>0</v>
      </c>
      <c r="Z392" s="2">
        <v>0</v>
      </c>
      <c r="AA392" s="2">
        <v>8845.14</v>
      </c>
      <c r="AB392" s="2">
        <v>35151038.530000001</v>
      </c>
      <c r="AD392" t="s">
        <v>88</v>
      </c>
      <c r="AE392" s="2">
        <v>13695791.959999986</v>
      </c>
      <c r="AF392" s="2">
        <v>0</v>
      </c>
      <c r="AG392" s="2">
        <v>0</v>
      </c>
      <c r="AH392" s="2">
        <v>4627.6000000000004</v>
      </c>
      <c r="AI392" s="2">
        <v>13700419.559999986</v>
      </c>
      <c r="AK392" t="s">
        <v>88</v>
      </c>
      <c r="AL392" s="2">
        <v>21638779.699999996</v>
      </c>
      <c r="AM392" s="2">
        <v>0</v>
      </c>
      <c r="AN392" s="2">
        <v>0</v>
      </c>
      <c r="AO392" s="2">
        <v>4737.5200000000023</v>
      </c>
      <c r="AP392" s="2">
        <v>21643517.219999995</v>
      </c>
    </row>
    <row r="393" spans="2:42" x14ac:dyDescent="0.35">
      <c r="B393" t="s">
        <v>13</v>
      </c>
      <c r="C393" s="2">
        <v>-14094944.939999999</v>
      </c>
      <c r="D393" s="2">
        <v>0</v>
      </c>
      <c r="E393" s="2">
        <v>0</v>
      </c>
      <c r="F393" s="2">
        <v>0</v>
      </c>
      <c r="G393" s="2">
        <v>-14094944.939999999</v>
      </c>
      <c r="I393" t="s">
        <v>13</v>
      </c>
      <c r="J393" s="2">
        <v>-3402733.3</v>
      </c>
      <c r="K393" s="2">
        <v>0</v>
      </c>
      <c r="L393" s="2">
        <v>0</v>
      </c>
      <c r="M393" s="2">
        <v>0</v>
      </c>
      <c r="N393" s="2">
        <v>-3402733.3</v>
      </c>
      <c r="P393" t="s">
        <v>13</v>
      </c>
      <c r="Q393" s="2">
        <v>-3553574.1100000013</v>
      </c>
      <c r="R393" s="2">
        <v>0</v>
      </c>
      <c r="S393" s="2">
        <v>0</v>
      </c>
      <c r="T393" s="2">
        <v>0</v>
      </c>
      <c r="U393" s="2">
        <v>-3553574.1100000013</v>
      </c>
      <c r="W393" t="s">
        <v>13</v>
      </c>
      <c r="X393" s="2">
        <v>-6956307.4100000011</v>
      </c>
      <c r="Y393" s="2">
        <v>0</v>
      </c>
      <c r="Z393" s="2">
        <v>0</v>
      </c>
      <c r="AA393" s="2">
        <v>0</v>
      </c>
      <c r="AB393" s="2">
        <v>-6956307.4100000011</v>
      </c>
      <c r="AD393" t="s">
        <v>13</v>
      </c>
      <c r="AE393" s="2">
        <v>-3653670.3299999973</v>
      </c>
      <c r="AF393" s="2">
        <v>0</v>
      </c>
      <c r="AG393" s="2">
        <v>0</v>
      </c>
      <c r="AH393" s="2">
        <v>0</v>
      </c>
      <c r="AI393" s="2">
        <v>-3653670.3299999973</v>
      </c>
      <c r="AK393" t="s">
        <v>13</v>
      </c>
      <c r="AL393" s="2">
        <v>-3484967.200000002</v>
      </c>
      <c r="AM393" s="2">
        <v>0</v>
      </c>
      <c r="AN393" s="2">
        <v>0</v>
      </c>
      <c r="AO393" s="2">
        <v>0</v>
      </c>
      <c r="AP393" s="2">
        <v>-3484967.200000002</v>
      </c>
    </row>
    <row r="394" spans="2:42" x14ac:dyDescent="0.35">
      <c r="B394" s="19" t="s">
        <v>14</v>
      </c>
      <c r="C394" s="20">
        <v>564229728.23000026</v>
      </c>
      <c r="D394" s="20">
        <v>0</v>
      </c>
      <c r="E394" s="20">
        <v>0</v>
      </c>
      <c r="F394" s="20">
        <v>-74725.149999999994</v>
      </c>
      <c r="G394" s="20">
        <v>564155003.08000028</v>
      </c>
      <c r="I394" s="19" t="s">
        <v>14</v>
      </c>
      <c r="J394" s="20">
        <v>129228061.27999993</v>
      </c>
      <c r="K394" s="20">
        <v>0</v>
      </c>
      <c r="L394" s="20">
        <v>0</v>
      </c>
      <c r="M394" s="20">
        <v>-22524.44</v>
      </c>
      <c r="N394" s="20">
        <v>129205536.83999993</v>
      </c>
      <c r="P394" s="19" t="s">
        <v>14</v>
      </c>
      <c r="Q394" s="20">
        <v>118177547.24999997</v>
      </c>
      <c r="R394" s="20">
        <v>0</v>
      </c>
      <c r="S394" s="20">
        <v>0</v>
      </c>
      <c r="T394" s="20">
        <v>-15669.680000000004</v>
      </c>
      <c r="U394" s="20">
        <v>118161877.56999998</v>
      </c>
      <c r="W394" s="19" t="s">
        <v>14</v>
      </c>
      <c r="X394" s="20">
        <v>247405608.52999988</v>
      </c>
      <c r="Y394" s="20">
        <v>0</v>
      </c>
      <c r="Z394" s="20">
        <v>0</v>
      </c>
      <c r="AA394" s="20">
        <v>-38194.120000000003</v>
      </c>
      <c r="AB394" s="20">
        <v>247367414.40999991</v>
      </c>
      <c r="AD394" s="19" t="s">
        <v>14</v>
      </c>
      <c r="AE394" s="20">
        <v>151919350.20999974</v>
      </c>
      <c r="AF394" s="20">
        <v>0</v>
      </c>
      <c r="AG394" s="20">
        <v>0</v>
      </c>
      <c r="AH394" s="20">
        <v>-15094.979999999994</v>
      </c>
      <c r="AI394" s="20">
        <v>151904255.22999972</v>
      </c>
      <c r="AK394" s="19" t="s">
        <v>14</v>
      </c>
      <c r="AL394" s="20">
        <v>164904769.49000078</v>
      </c>
      <c r="AM394" s="20">
        <v>0</v>
      </c>
      <c r="AN394" s="20">
        <v>0</v>
      </c>
      <c r="AO394" s="20">
        <v>-21436.05000000001</v>
      </c>
      <c r="AP394" s="20">
        <v>164883333.4400008</v>
      </c>
    </row>
    <row r="395" spans="2:42" x14ac:dyDescent="0.35">
      <c r="C395" s="2"/>
      <c r="D395" s="2"/>
      <c r="E395" s="2"/>
      <c r="F395" s="2"/>
      <c r="G395" s="2"/>
      <c r="J395" s="2"/>
      <c r="K395" s="2"/>
      <c r="L395" s="2"/>
      <c r="M395" s="2"/>
      <c r="N395" s="2"/>
      <c r="Q395" s="2"/>
      <c r="R395" s="2"/>
      <c r="S395" s="2"/>
      <c r="T395" s="2"/>
      <c r="U395" s="2"/>
      <c r="X395" s="2"/>
      <c r="Y395" s="2"/>
      <c r="Z395" s="2"/>
      <c r="AA395" s="2"/>
      <c r="AB395" s="2"/>
      <c r="AE395" s="2"/>
      <c r="AF395" s="2"/>
      <c r="AG395" s="2"/>
      <c r="AH395" s="2"/>
      <c r="AI395" s="2"/>
      <c r="AL395" s="2"/>
      <c r="AM395" s="2"/>
      <c r="AN395" s="2"/>
      <c r="AO395" s="2"/>
      <c r="AP395" s="2"/>
    </row>
    <row r="396" spans="2:42" x14ac:dyDescent="0.35">
      <c r="C396" s="2"/>
      <c r="D396" s="2"/>
      <c r="E396" s="2"/>
      <c r="F396" s="2"/>
      <c r="G396" s="2"/>
      <c r="J396" s="2"/>
      <c r="K396" s="2"/>
      <c r="L396" s="2"/>
      <c r="M396" s="2"/>
      <c r="N396" s="2"/>
      <c r="Q396" s="2"/>
      <c r="R396" s="2"/>
      <c r="S396" s="2"/>
      <c r="T396" s="2"/>
      <c r="U396" s="2"/>
      <c r="X396" s="2"/>
      <c r="Y396" s="2"/>
      <c r="Z396" s="2"/>
      <c r="AA396" s="2"/>
      <c r="AB396" s="2"/>
      <c r="AE396" s="2"/>
      <c r="AF396" s="2"/>
      <c r="AG396" s="2"/>
      <c r="AH396" s="2"/>
      <c r="AI396" s="2"/>
      <c r="AL396" s="2"/>
      <c r="AM396" s="2"/>
      <c r="AN396" s="2"/>
      <c r="AO396" s="2"/>
      <c r="AP396" s="2"/>
    </row>
    <row r="397" spans="2:42" x14ac:dyDescent="0.35">
      <c r="B397" t="s">
        <v>15</v>
      </c>
      <c r="C397" s="2">
        <v>310765245.40999997</v>
      </c>
      <c r="D397" s="2">
        <v>0</v>
      </c>
      <c r="E397" s="2">
        <v>0</v>
      </c>
      <c r="F397" s="2">
        <v>16363823.17</v>
      </c>
      <c r="G397" s="2">
        <v>327129068.57999998</v>
      </c>
      <c r="I397" t="s">
        <v>15</v>
      </c>
      <c r="J397" s="2">
        <v>85384473.919999987</v>
      </c>
      <c r="K397" s="2">
        <v>0</v>
      </c>
      <c r="L397" s="2">
        <v>0</v>
      </c>
      <c r="M397" s="2">
        <v>3986770.4000000004</v>
      </c>
      <c r="N397" s="2">
        <v>89371244.319999993</v>
      </c>
      <c r="P397" t="s">
        <v>15</v>
      </c>
      <c r="Q397" s="2">
        <v>83600391.450000018</v>
      </c>
      <c r="R397" s="2">
        <v>0</v>
      </c>
      <c r="S397" s="2">
        <v>0</v>
      </c>
      <c r="T397" s="2">
        <v>4053169.9499999993</v>
      </c>
      <c r="U397" s="2">
        <v>87653561.400000021</v>
      </c>
      <c r="W397" t="s">
        <v>15</v>
      </c>
      <c r="X397" s="2">
        <v>168984865.37</v>
      </c>
      <c r="Y397" s="2">
        <v>0</v>
      </c>
      <c r="Z397" s="2">
        <v>0</v>
      </c>
      <c r="AA397" s="2">
        <v>8039940.3499999996</v>
      </c>
      <c r="AB397" s="2">
        <v>177024805.72</v>
      </c>
      <c r="AD397" t="s">
        <v>15</v>
      </c>
      <c r="AE397" s="2">
        <v>69556932.939999998</v>
      </c>
      <c r="AF397" s="2">
        <v>0</v>
      </c>
      <c r="AG397" s="2">
        <v>0</v>
      </c>
      <c r="AH397" s="2">
        <v>4051445.8200000003</v>
      </c>
      <c r="AI397" s="2">
        <v>73608378.75999999</v>
      </c>
      <c r="AK397" t="s">
        <v>15</v>
      </c>
      <c r="AL397" s="2">
        <v>72223447.099999964</v>
      </c>
      <c r="AM397" s="2">
        <v>0</v>
      </c>
      <c r="AN397" s="2">
        <v>0</v>
      </c>
      <c r="AO397" s="2">
        <v>4272437</v>
      </c>
      <c r="AP397" s="2">
        <v>76495884.099999964</v>
      </c>
    </row>
    <row r="398" spans="2:42" x14ac:dyDescent="0.35">
      <c r="B398" t="s">
        <v>16</v>
      </c>
      <c r="C398" s="2">
        <v>-163538941.28</v>
      </c>
      <c r="D398" s="2">
        <v>0</v>
      </c>
      <c r="E398" s="2">
        <v>0</v>
      </c>
      <c r="F398" s="2">
        <v>0</v>
      </c>
      <c r="G398" s="2">
        <v>-163538941.28</v>
      </c>
      <c r="I398" t="s">
        <v>16</v>
      </c>
      <c r="J398" s="2">
        <v>-33974761.07</v>
      </c>
      <c r="K398" s="2">
        <v>0</v>
      </c>
      <c r="L398" s="2">
        <v>0</v>
      </c>
      <c r="M398" s="2">
        <v>0</v>
      </c>
      <c r="N398" s="2">
        <v>-33974761.07</v>
      </c>
      <c r="P398" t="s">
        <v>16</v>
      </c>
      <c r="Q398" s="2">
        <v>-35087467.56000001</v>
      </c>
      <c r="R398" s="2">
        <v>0</v>
      </c>
      <c r="S398" s="2">
        <v>0</v>
      </c>
      <c r="T398" s="2">
        <v>0</v>
      </c>
      <c r="U398" s="2">
        <v>-35087467.56000001</v>
      </c>
      <c r="W398" t="s">
        <v>16</v>
      </c>
      <c r="X398" s="2">
        <v>-69062228.63000001</v>
      </c>
      <c r="Y398" s="2">
        <v>0</v>
      </c>
      <c r="Z398" s="2">
        <v>0</v>
      </c>
      <c r="AA398" s="2">
        <v>0</v>
      </c>
      <c r="AB398" s="2">
        <v>-69062228.63000001</v>
      </c>
      <c r="AD398" t="s">
        <v>16</v>
      </c>
      <c r="AE398" s="2">
        <v>-44548916.939999968</v>
      </c>
      <c r="AF398" s="2">
        <v>0</v>
      </c>
      <c r="AG398" s="2">
        <v>0</v>
      </c>
      <c r="AH398" s="2">
        <v>0</v>
      </c>
      <c r="AI398" s="2">
        <v>-44548916.939999968</v>
      </c>
      <c r="AK398" t="s">
        <v>16</v>
      </c>
      <c r="AL398" s="2">
        <v>-49927795.710000023</v>
      </c>
      <c r="AM398" s="2">
        <v>0</v>
      </c>
      <c r="AN398" s="2">
        <v>0</v>
      </c>
      <c r="AO398" s="2">
        <v>0</v>
      </c>
      <c r="AP398" s="2">
        <v>-49927795.710000023</v>
      </c>
    </row>
    <row r="399" spans="2:42" x14ac:dyDescent="0.35">
      <c r="B399" s="19" t="s">
        <v>17</v>
      </c>
      <c r="C399" s="20">
        <v>147226304.12999997</v>
      </c>
      <c r="D399" s="20">
        <v>0</v>
      </c>
      <c r="E399" s="20">
        <v>0</v>
      </c>
      <c r="F399" s="20">
        <v>16363823.17</v>
      </c>
      <c r="G399" s="20">
        <v>163590127.29999998</v>
      </c>
      <c r="I399" s="19" t="s">
        <v>17</v>
      </c>
      <c r="J399" s="20">
        <v>51409712.849999987</v>
      </c>
      <c r="K399" s="20">
        <v>0</v>
      </c>
      <c r="L399" s="20">
        <v>0</v>
      </c>
      <c r="M399" s="20">
        <v>3986770.4000000004</v>
      </c>
      <c r="N399" s="20">
        <v>55396483.249999993</v>
      </c>
      <c r="P399" s="19" t="s">
        <v>17</v>
      </c>
      <c r="Q399" s="20">
        <v>48512923.890000008</v>
      </c>
      <c r="R399" s="20">
        <v>0</v>
      </c>
      <c r="S399" s="20">
        <v>0</v>
      </c>
      <c r="T399" s="20">
        <v>4053169.9499999993</v>
      </c>
      <c r="U399" s="20">
        <v>52566093.840000011</v>
      </c>
      <c r="W399" s="19" t="s">
        <v>17</v>
      </c>
      <c r="X399" s="20">
        <v>99922636.739999995</v>
      </c>
      <c r="Y399" s="20">
        <v>0</v>
      </c>
      <c r="Z399" s="20">
        <v>0</v>
      </c>
      <c r="AA399" s="20">
        <v>8039940.3499999996</v>
      </c>
      <c r="AB399" s="20">
        <v>107962577.08999999</v>
      </c>
      <c r="AD399" s="19" t="s">
        <v>17</v>
      </c>
      <c r="AE399" s="20">
        <v>25008016.00000003</v>
      </c>
      <c r="AF399" s="20">
        <v>0</v>
      </c>
      <c r="AG399" s="20">
        <v>0</v>
      </c>
      <c r="AH399" s="20">
        <v>4051445.8200000003</v>
      </c>
      <c r="AI399" s="20">
        <v>29059461.820000023</v>
      </c>
      <c r="AK399" s="19" t="s">
        <v>17</v>
      </c>
      <c r="AL399" s="20">
        <v>22295651.389999941</v>
      </c>
      <c r="AM399" s="20">
        <v>0</v>
      </c>
      <c r="AN399" s="20">
        <v>0</v>
      </c>
      <c r="AO399" s="20">
        <v>4272437</v>
      </c>
      <c r="AP399" s="20">
        <v>26568088.389999941</v>
      </c>
    </row>
    <row r="400" spans="2:42" x14ac:dyDescent="0.35">
      <c r="C400" s="2"/>
      <c r="D400" s="2"/>
      <c r="E400" s="2"/>
      <c r="F400" s="2"/>
      <c r="G400" s="2"/>
      <c r="J400" s="2"/>
      <c r="K400" s="2"/>
      <c r="L400" s="2"/>
      <c r="M400" s="2"/>
      <c r="N400" s="2"/>
      <c r="Q400" s="2"/>
      <c r="R400" s="2"/>
      <c r="S400" s="2"/>
      <c r="T400" s="2"/>
      <c r="U400" s="2"/>
      <c r="X400" s="2"/>
      <c r="Y400" s="2"/>
      <c r="Z400" s="2"/>
      <c r="AA400" s="2"/>
      <c r="AB400" s="2"/>
      <c r="AE400" s="2"/>
      <c r="AF400" s="2"/>
      <c r="AG400" s="2"/>
      <c r="AH400" s="2"/>
      <c r="AI400" s="2"/>
      <c r="AL400" s="2"/>
      <c r="AM400" s="2"/>
      <c r="AN400" s="2"/>
      <c r="AO400" s="2"/>
      <c r="AP400" s="2"/>
    </row>
    <row r="401" spans="2:42" x14ac:dyDescent="0.35">
      <c r="C401" s="2"/>
      <c r="D401" s="2"/>
      <c r="E401" s="2"/>
      <c r="F401" s="2"/>
      <c r="G401" s="2"/>
      <c r="J401" s="2"/>
      <c r="K401" s="2"/>
      <c r="L401" s="2"/>
      <c r="M401" s="2"/>
      <c r="N401" s="2"/>
      <c r="Q401" s="2"/>
      <c r="R401" s="2"/>
      <c r="S401" s="2"/>
      <c r="T401" s="2"/>
      <c r="U401" s="2"/>
      <c r="X401" s="2"/>
      <c r="Y401" s="2"/>
      <c r="Z401" s="2"/>
      <c r="AA401" s="2"/>
      <c r="AB401" s="2"/>
      <c r="AE401" s="2"/>
      <c r="AF401" s="2"/>
      <c r="AG401" s="2"/>
      <c r="AH401" s="2"/>
      <c r="AI401" s="2"/>
      <c r="AL401" s="2"/>
      <c r="AM401" s="2"/>
      <c r="AN401" s="2"/>
      <c r="AO401" s="2"/>
      <c r="AP401" s="2"/>
    </row>
    <row r="402" spans="2:42" x14ac:dyDescent="0.35">
      <c r="B402" s="6" t="s">
        <v>20</v>
      </c>
      <c r="C402" s="2">
        <v>20376877.520894419</v>
      </c>
      <c r="D402" s="2">
        <v>0</v>
      </c>
      <c r="E402" s="2">
        <v>0</v>
      </c>
      <c r="F402" s="2">
        <v>-16815449.866058741</v>
      </c>
      <c r="G402" s="7">
        <v>3561427.6548356786</v>
      </c>
      <c r="I402" s="6" t="s">
        <v>20</v>
      </c>
      <c r="J402" s="2">
        <v>6161805.3198962845</v>
      </c>
      <c r="K402" s="2">
        <v>0</v>
      </c>
      <c r="L402" s="2">
        <v>0</v>
      </c>
      <c r="M402" s="2">
        <v>-3214350.1152192838</v>
      </c>
      <c r="N402" s="7">
        <v>2947455.2046770006</v>
      </c>
      <c r="P402" s="6" t="s">
        <v>20</v>
      </c>
      <c r="Q402" s="2">
        <v>6995121.5849655773</v>
      </c>
      <c r="R402" s="2">
        <v>0</v>
      </c>
      <c r="S402" s="2">
        <v>0</v>
      </c>
      <c r="T402" s="2">
        <v>-3058395.304058684</v>
      </c>
      <c r="U402" s="7">
        <v>3936726.2809068933</v>
      </c>
      <c r="W402" s="6" t="s">
        <v>20</v>
      </c>
      <c r="X402" s="2">
        <v>13156926.904861862</v>
      </c>
      <c r="Y402" s="2">
        <v>0</v>
      </c>
      <c r="Z402" s="2">
        <v>0</v>
      </c>
      <c r="AA402" s="2">
        <v>-6272745.4192779679</v>
      </c>
      <c r="AB402" s="7">
        <v>6884181.485583894</v>
      </c>
      <c r="AD402" s="6" t="s">
        <v>20</v>
      </c>
      <c r="AE402" s="2">
        <v>3804389.5710677858</v>
      </c>
      <c r="AF402" s="2">
        <v>0</v>
      </c>
      <c r="AG402" s="2">
        <v>0</v>
      </c>
      <c r="AH402" s="2">
        <v>-6032263.7458912451</v>
      </c>
      <c r="AI402" s="7">
        <v>-2227874.1748234592</v>
      </c>
      <c r="AK402" s="6" t="s">
        <v>20</v>
      </c>
      <c r="AL402" s="2">
        <v>3415561.0449647717</v>
      </c>
      <c r="AM402" s="2">
        <v>0</v>
      </c>
      <c r="AN402" s="2">
        <v>0</v>
      </c>
      <c r="AO402" s="2">
        <v>-4510440.7008895278</v>
      </c>
      <c r="AP402" s="7">
        <v>-1094879.6559247561</v>
      </c>
    </row>
    <row r="403" spans="2:42" x14ac:dyDescent="0.35">
      <c r="B403" s="13"/>
      <c r="C403" s="155"/>
      <c r="D403" s="155"/>
      <c r="E403" s="155"/>
      <c r="F403" s="155"/>
      <c r="G403" s="155"/>
      <c r="I403" s="13"/>
      <c r="J403" s="155"/>
      <c r="K403" s="155"/>
      <c r="L403" s="155"/>
      <c r="M403" s="155"/>
      <c r="N403" s="155"/>
      <c r="P403" s="13"/>
      <c r="Q403" s="155"/>
      <c r="R403" s="155"/>
      <c r="S403" s="155"/>
      <c r="T403" s="155"/>
      <c r="U403" s="155"/>
      <c r="W403" s="13"/>
      <c r="X403" s="155"/>
      <c r="Y403" s="155"/>
      <c r="Z403" s="155"/>
      <c r="AA403" s="155"/>
      <c r="AB403" s="155"/>
      <c r="AD403" s="13"/>
      <c r="AE403" s="155"/>
      <c r="AF403" s="155"/>
      <c r="AG403" s="155"/>
      <c r="AH403" s="155"/>
      <c r="AI403" s="155"/>
      <c r="AK403" s="13"/>
      <c r="AL403" s="155"/>
      <c r="AM403" s="155"/>
      <c r="AN403" s="155"/>
      <c r="AO403" s="155"/>
      <c r="AP403" s="155"/>
    </row>
    <row r="404" spans="2:42" x14ac:dyDescent="0.35">
      <c r="C404" s="2"/>
      <c r="D404" s="2"/>
      <c r="E404" s="2"/>
      <c r="F404" s="2"/>
      <c r="G404" s="2"/>
      <c r="J404" s="2"/>
      <c r="K404" s="2"/>
      <c r="L404" s="2"/>
      <c r="M404" s="2"/>
      <c r="N404" s="2"/>
      <c r="Q404" s="2"/>
      <c r="R404" s="2"/>
      <c r="S404" s="2"/>
      <c r="T404" s="2"/>
      <c r="U404" s="2"/>
      <c r="X404" s="2"/>
      <c r="Y404" s="2"/>
      <c r="Z404" s="2"/>
      <c r="AA404" s="2"/>
      <c r="AB404" s="2"/>
      <c r="AE404" s="2"/>
      <c r="AF404" s="2"/>
      <c r="AG404" s="2"/>
      <c r="AH404" s="2"/>
      <c r="AI404" s="2"/>
      <c r="AL404" s="2"/>
      <c r="AM404" s="2"/>
      <c r="AN404" s="2"/>
      <c r="AO404" s="2"/>
      <c r="AP404" s="2"/>
    </row>
    <row r="405" spans="2:42" x14ac:dyDescent="0.35">
      <c r="C405" s="2"/>
      <c r="D405" s="2"/>
      <c r="E405" s="2"/>
      <c r="F405" s="2"/>
      <c r="G405" s="2"/>
      <c r="J405" s="2"/>
      <c r="K405" s="2"/>
      <c r="L405" s="2"/>
      <c r="M405" s="2"/>
      <c r="N405" s="2"/>
      <c r="Q405" s="2"/>
      <c r="R405" s="2"/>
      <c r="S405" s="2"/>
      <c r="T405" s="2"/>
      <c r="U405" s="2"/>
      <c r="X405" s="2"/>
      <c r="Y405" s="2"/>
      <c r="Z405" s="2"/>
      <c r="AA405" s="2"/>
      <c r="AB405" s="2"/>
      <c r="AE405" s="2"/>
      <c r="AF405" s="2"/>
      <c r="AG405" s="2"/>
      <c r="AH405" s="2"/>
      <c r="AI405" s="2"/>
      <c r="AL405" s="2"/>
      <c r="AM405" s="2"/>
      <c r="AN405" s="2"/>
      <c r="AO405" s="2"/>
      <c r="AP405" s="2"/>
    </row>
    <row r="406" spans="2:42" x14ac:dyDescent="0.35">
      <c r="B406" t="s">
        <v>0</v>
      </c>
      <c r="C406" s="2">
        <v>0</v>
      </c>
      <c r="D406" s="2">
        <v>0</v>
      </c>
      <c r="E406" s="2">
        <v>0</v>
      </c>
      <c r="F406" s="2">
        <v>0</v>
      </c>
      <c r="G406" s="2">
        <v>0</v>
      </c>
      <c r="I406" t="s">
        <v>0</v>
      </c>
      <c r="J406" s="2">
        <v>0</v>
      </c>
      <c r="K406" s="2">
        <v>0</v>
      </c>
      <c r="L406" s="2">
        <v>0</v>
      </c>
      <c r="M406" s="2">
        <v>0</v>
      </c>
      <c r="N406" s="2">
        <v>0</v>
      </c>
      <c r="P406" t="s">
        <v>0</v>
      </c>
      <c r="Q406" s="2">
        <v>0</v>
      </c>
      <c r="R406" s="2">
        <v>0</v>
      </c>
      <c r="S406" s="2">
        <v>0</v>
      </c>
      <c r="T406" s="2">
        <v>0</v>
      </c>
      <c r="U406" s="2">
        <v>0</v>
      </c>
      <c r="W406" t="s">
        <v>0</v>
      </c>
      <c r="X406" s="2">
        <v>0</v>
      </c>
      <c r="Y406" s="2">
        <v>0</v>
      </c>
      <c r="Z406" s="2">
        <v>0</v>
      </c>
      <c r="AA406" s="2">
        <v>0</v>
      </c>
      <c r="AB406" s="2">
        <v>0</v>
      </c>
      <c r="AD406" t="s">
        <v>0</v>
      </c>
      <c r="AE406" s="2">
        <v>0</v>
      </c>
      <c r="AF406" s="2">
        <v>0</v>
      </c>
      <c r="AG406" s="2">
        <v>0</v>
      </c>
      <c r="AH406" s="2">
        <v>0</v>
      </c>
      <c r="AI406" s="2">
        <v>0</v>
      </c>
      <c r="AK406" t="s">
        <v>0</v>
      </c>
      <c r="AL406" s="2">
        <v>0</v>
      </c>
      <c r="AM406" s="2">
        <v>0</v>
      </c>
      <c r="AN406" s="2">
        <v>0</v>
      </c>
      <c r="AO406" s="2">
        <v>0</v>
      </c>
      <c r="AP406" s="2">
        <v>0</v>
      </c>
    </row>
    <row r="407" spans="2:42" x14ac:dyDescent="0.35">
      <c r="B407" t="s">
        <v>2</v>
      </c>
      <c r="C407" s="2">
        <v>-0.47</v>
      </c>
      <c r="D407" s="2">
        <v>0</v>
      </c>
      <c r="E407" s="2">
        <v>0</v>
      </c>
      <c r="F407" s="2">
        <v>0</v>
      </c>
      <c r="G407" s="2">
        <v>-0.47</v>
      </c>
      <c r="I407" t="s">
        <v>2</v>
      </c>
      <c r="J407" s="2">
        <v>-0.47</v>
      </c>
      <c r="K407" s="2">
        <v>0</v>
      </c>
      <c r="L407" s="2">
        <v>0</v>
      </c>
      <c r="M407" s="2">
        <v>0</v>
      </c>
      <c r="N407" s="2">
        <v>-0.47</v>
      </c>
      <c r="P407" t="s">
        <v>2</v>
      </c>
      <c r="Q407" s="2">
        <v>0</v>
      </c>
      <c r="R407" s="2">
        <v>0</v>
      </c>
      <c r="S407" s="2">
        <v>0</v>
      </c>
      <c r="T407" s="2">
        <v>0</v>
      </c>
      <c r="U407" s="2">
        <v>0</v>
      </c>
      <c r="W407" t="s">
        <v>2</v>
      </c>
      <c r="X407" s="2">
        <v>-0.47</v>
      </c>
      <c r="Y407" s="2">
        <v>0</v>
      </c>
      <c r="Z407" s="2">
        <v>0</v>
      </c>
      <c r="AA407" s="2">
        <v>0</v>
      </c>
      <c r="AB407" s="2">
        <v>-0.47</v>
      </c>
      <c r="AD407" t="s">
        <v>2</v>
      </c>
      <c r="AE407" s="2">
        <v>0</v>
      </c>
      <c r="AF407" s="2">
        <v>0</v>
      </c>
      <c r="AG407" s="2">
        <v>0</v>
      </c>
      <c r="AH407" s="2">
        <v>0</v>
      </c>
      <c r="AI407" s="2">
        <v>0</v>
      </c>
      <c r="AK407" t="s">
        <v>2</v>
      </c>
      <c r="AL407" s="2">
        <v>0</v>
      </c>
      <c r="AM407" s="2">
        <v>0</v>
      </c>
      <c r="AN407" s="2">
        <v>0</v>
      </c>
      <c r="AO407" s="2">
        <v>0</v>
      </c>
      <c r="AP407" s="2">
        <v>0</v>
      </c>
    </row>
    <row r="408" spans="2:42" x14ac:dyDescent="0.35">
      <c r="B408" s="19" t="s">
        <v>21</v>
      </c>
      <c r="C408" s="20">
        <v>-0.47</v>
      </c>
      <c r="D408" s="20">
        <v>0</v>
      </c>
      <c r="E408" s="20">
        <v>0</v>
      </c>
      <c r="F408" s="20">
        <v>0</v>
      </c>
      <c r="G408" s="20">
        <v>-0.47</v>
      </c>
      <c r="I408" s="19" t="s">
        <v>21</v>
      </c>
      <c r="J408" s="20">
        <v>-0.47</v>
      </c>
      <c r="K408" s="20">
        <v>0</v>
      </c>
      <c r="L408" s="20">
        <v>0</v>
      </c>
      <c r="M408" s="20">
        <v>0</v>
      </c>
      <c r="N408" s="20">
        <v>-0.47</v>
      </c>
      <c r="P408" s="19" t="s">
        <v>21</v>
      </c>
      <c r="Q408" s="20">
        <v>0</v>
      </c>
      <c r="R408" s="20">
        <v>0</v>
      </c>
      <c r="S408" s="20">
        <v>0</v>
      </c>
      <c r="T408" s="20">
        <v>0</v>
      </c>
      <c r="U408" s="20">
        <v>0</v>
      </c>
      <c r="W408" s="19" t="s">
        <v>21</v>
      </c>
      <c r="X408" s="20">
        <v>-0.47</v>
      </c>
      <c r="Y408" s="20">
        <v>0</v>
      </c>
      <c r="Z408" s="20">
        <v>0</v>
      </c>
      <c r="AA408" s="20">
        <v>0</v>
      </c>
      <c r="AB408" s="20">
        <v>-0.47</v>
      </c>
      <c r="AD408" s="19" t="s">
        <v>21</v>
      </c>
      <c r="AE408" s="20">
        <v>0</v>
      </c>
      <c r="AF408" s="20">
        <v>0</v>
      </c>
      <c r="AG408" s="20">
        <v>0</v>
      </c>
      <c r="AH408" s="20">
        <v>0</v>
      </c>
      <c r="AI408" s="20">
        <v>0</v>
      </c>
      <c r="AK408" s="19" t="s">
        <v>21</v>
      </c>
      <c r="AL408" s="20">
        <v>0</v>
      </c>
      <c r="AM408" s="20">
        <v>0</v>
      </c>
      <c r="AN408" s="20">
        <v>0</v>
      </c>
      <c r="AO408" s="20">
        <v>0</v>
      </c>
      <c r="AP408" s="20">
        <v>0</v>
      </c>
    </row>
    <row r="409" spans="2:42" x14ac:dyDescent="0.35">
      <c r="C409" s="2"/>
      <c r="D409" s="2"/>
      <c r="E409" s="2"/>
      <c r="F409" s="2"/>
      <c r="G409" s="2"/>
      <c r="J409" s="2"/>
      <c r="K409" s="2"/>
      <c r="L409" s="2"/>
      <c r="M409" s="2"/>
      <c r="N409" s="2"/>
      <c r="Q409" s="2"/>
      <c r="R409" s="2"/>
      <c r="S409" s="2"/>
      <c r="T409" s="2"/>
      <c r="U409" s="2"/>
      <c r="X409" s="2"/>
      <c r="Y409" s="2"/>
      <c r="Z409" s="2"/>
      <c r="AA409" s="2"/>
      <c r="AB409" s="2"/>
      <c r="AE409" s="2"/>
      <c r="AF409" s="2"/>
      <c r="AG409" s="2"/>
      <c r="AH409" s="2"/>
      <c r="AI409" s="2"/>
      <c r="AL409" s="2"/>
      <c r="AM409" s="2"/>
      <c r="AN409" s="2"/>
      <c r="AO409" s="2"/>
      <c r="AP409" s="2"/>
    </row>
    <row r="410" spans="2:42" x14ac:dyDescent="0.35">
      <c r="C410" s="2"/>
      <c r="D410" s="2"/>
      <c r="E410" s="2"/>
      <c r="F410" s="2"/>
      <c r="G410" s="2"/>
      <c r="J410" s="2"/>
      <c r="K410" s="2"/>
      <c r="L410" s="2"/>
      <c r="M410" s="2"/>
      <c r="N410" s="2"/>
      <c r="Q410" s="2"/>
      <c r="R410" s="2"/>
      <c r="S410" s="2"/>
      <c r="T410" s="2"/>
      <c r="U410" s="2"/>
      <c r="X410" s="2"/>
      <c r="Y410" s="2"/>
      <c r="Z410" s="2"/>
      <c r="AA410" s="2"/>
      <c r="AB410" s="2"/>
      <c r="AE410" s="2"/>
      <c r="AF410" s="2"/>
      <c r="AG410" s="2"/>
      <c r="AH410" s="2"/>
      <c r="AI410" s="2"/>
      <c r="AL410" s="2"/>
      <c r="AM410" s="2"/>
      <c r="AN410" s="2"/>
      <c r="AO410" s="2"/>
      <c r="AP410" s="2"/>
    </row>
    <row r="411" spans="2:42" x14ac:dyDescent="0.35">
      <c r="B411" t="s">
        <v>24</v>
      </c>
      <c r="C411" s="2">
        <v>0</v>
      </c>
      <c r="D411" s="2">
        <v>1491843453</v>
      </c>
      <c r="E411" s="2">
        <v>0</v>
      </c>
      <c r="F411" s="2">
        <v>0</v>
      </c>
      <c r="G411" s="2">
        <v>1491843453</v>
      </c>
      <c r="I411" t="s">
        <v>24</v>
      </c>
      <c r="J411" s="2">
        <v>0</v>
      </c>
      <c r="K411" s="2">
        <v>436966420</v>
      </c>
      <c r="L411" s="2">
        <v>0</v>
      </c>
      <c r="M411" s="2">
        <v>0</v>
      </c>
      <c r="N411" s="2">
        <v>436966420</v>
      </c>
      <c r="P411" t="s">
        <v>24</v>
      </c>
      <c r="Q411" s="2">
        <v>0</v>
      </c>
      <c r="R411" s="2">
        <v>395408134</v>
      </c>
      <c r="S411" s="2">
        <v>0</v>
      </c>
      <c r="T411" s="2">
        <v>0</v>
      </c>
      <c r="U411" s="2">
        <v>395408134</v>
      </c>
      <c r="W411" t="s">
        <v>24</v>
      </c>
      <c r="X411" s="2">
        <v>0</v>
      </c>
      <c r="Y411" s="2">
        <v>832374554</v>
      </c>
      <c r="Z411" s="2">
        <v>0</v>
      </c>
      <c r="AA411" s="2">
        <v>0</v>
      </c>
      <c r="AB411" s="2">
        <v>832374554</v>
      </c>
      <c r="AD411" t="s">
        <v>24</v>
      </c>
      <c r="AE411" s="2">
        <v>0</v>
      </c>
      <c r="AF411" s="2">
        <v>336397890</v>
      </c>
      <c r="AG411" s="2">
        <v>0</v>
      </c>
      <c r="AH411" s="2">
        <v>0</v>
      </c>
      <c r="AI411" s="2">
        <v>336397890</v>
      </c>
      <c r="AK411" t="s">
        <v>24</v>
      </c>
      <c r="AL411" s="2">
        <v>0</v>
      </c>
      <c r="AM411" s="2">
        <v>323071009</v>
      </c>
      <c r="AN411" s="2">
        <v>0</v>
      </c>
      <c r="AO411" s="2">
        <v>0</v>
      </c>
      <c r="AP411" s="2">
        <v>323071009</v>
      </c>
    </row>
    <row r="412" spans="2:42" x14ac:dyDescent="0.35">
      <c r="B412" t="s">
        <v>25</v>
      </c>
      <c r="C412" s="2">
        <v>0</v>
      </c>
      <c r="D412" s="2">
        <v>-194195128</v>
      </c>
      <c r="E412" s="2">
        <v>0</v>
      </c>
      <c r="F412" s="2">
        <v>0</v>
      </c>
      <c r="G412" s="2">
        <v>-194195128</v>
      </c>
      <c r="I412" t="s">
        <v>25</v>
      </c>
      <c r="J412" s="2">
        <v>0</v>
      </c>
      <c r="K412" s="2">
        <v>-71292737</v>
      </c>
      <c r="L412" s="2">
        <v>0</v>
      </c>
      <c r="M412" s="2">
        <v>0</v>
      </c>
      <c r="N412" s="2">
        <v>-71292737</v>
      </c>
      <c r="P412" t="s">
        <v>25</v>
      </c>
      <c r="Q412" s="2">
        <v>0</v>
      </c>
      <c r="R412" s="2">
        <v>-93045022</v>
      </c>
      <c r="S412" s="2">
        <v>0</v>
      </c>
      <c r="T412" s="2">
        <v>0</v>
      </c>
      <c r="U412" s="2">
        <v>-93045022</v>
      </c>
      <c r="W412" t="s">
        <v>25</v>
      </c>
      <c r="X412" s="2">
        <v>0</v>
      </c>
      <c r="Y412" s="2">
        <v>-164337759</v>
      </c>
      <c r="Z412" s="2">
        <v>0</v>
      </c>
      <c r="AA412" s="2">
        <v>0</v>
      </c>
      <c r="AB412" s="2">
        <v>-164337759</v>
      </c>
      <c r="AD412" t="s">
        <v>25</v>
      </c>
      <c r="AE412" s="2">
        <v>0</v>
      </c>
      <c r="AF412" s="2">
        <v>-21919277</v>
      </c>
      <c r="AG412" s="2">
        <v>0</v>
      </c>
      <c r="AH412" s="2">
        <v>0</v>
      </c>
      <c r="AI412" s="2">
        <v>-21919277</v>
      </c>
      <c r="AK412" t="s">
        <v>25</v>
      </c>
      <c r="AL412" s="2">
        <v>0</v>
      </c>
      <c r="AM412" s="2">
        <v>-7938092</v>
      </c>
      <c r="AN412" s="2">
        <v>0</v>
      </c>
      <c r="AO412" s="2">
        <v>0</v>
      </c>
      <c r="AP412" s="2">
        <v>-7938092</v>
      </c>
    </row>
    <row r="413" spans="2:42" x14ac:dyDescent="0.35">
      <c r="B413" t="s">
        <v>26</v>
      </c>
      <c r="C413" s="2">
        <v>0</v>
      </c>
      <c r="D413" s="2">
        <v>-382737887</v>
      </c>
      <c r="E413" s="2">
        <v>0</v>
      </c>
      <c r="F413" s="2">
        <v>0</v>
      </c>
      <c r="G413" s="2">
        <v>-382737887</v>
      </c>
      <c r="I413" t="s">
        <v>26</v>
      </c>
      <c r="J413" s="2">
        <v>0</v>
      </c>
      <c r="K413" s="2">
        <v>-154549647</v>
      </c>
      <c r="L413" s="2">
        <v>0</v>
      </c>
      <c r="M413" s="2">
        <v>0</v>
      </c>
      <c r="N413" s="2">
        <v>-154549647</v>
      </c>
      <c r="P413" t="s">
        <v>26</v>
      </c>
      <c r="Q413" s="2">
        <v>0</v>
      </c>
      <c r="R413" s="2">
        <v>-92679673</v>
      </c>
      <c r="S413" s="2">
        <v>0</v>
      </c>
      <c r="T413" s="2">
        <v>0</v>
      </c>
      <c r="U413" s="2">
        <v>-92679673</v>
      </c>
      <c r="W413" t="s">
        <v>26</v>
      </c>
      <c r="X413" s="2">
        <v>0</v>
      </c>
      <c r="Y413" s="2">
        <v>-247229320</v>
      </c>
      <c r="Z413" s="2">
        <v>0</v>
      </c>
      <c r="AA413" s="2">
        <v>0</v>
      </c>
      <c r="AB413" s="2">
        <v>-247229320</v>
      </c>
      <c r="AD413" t="s">
        <v>26</v>
      </c>
      <c r="AE413" s="2">
        <v>0</v>
      </c>
      <c r="AF413" s="2">
        <v>-85238845</v>
      </c>
      <c r="AG413" s="2">
        <v>0</v>
      </c>
      <c r="AH413" s="2">
        <v>0</v>
      </c>
      <c r="AI413" s="2">
        <v>-85238845</v>
      </c>
      <c r="AK413" t="s">
        <v>26</v>
      </c>
      <c r="AL413" s="2">
        <v>0</v>
      </c>
      <c r="AM413" s="2">
        <v>-50269722</v>
      </c>
      <c r="AN413" s="2">
        <v>0</v>
      </c>
      <c r="AO413" s="2">
        <v>0</v>
      </c>
      <c r="AP413" s="2">
        <v>-50269722</v>
      </c>
    </row>
    <row r="414" spans="2:42" x14ac:dyDescent="0.35">
      <c r="B414" s="19" t="s">
        <v>101</v>
      </c>
      <c r="C414" s="20">
        <v>0</v>
      </c>
      <c r="D414" s="20">
        <v>914910438</v>
      </c>
      <c r="E414" s="20">
        <v>0</v>
      </c>
      <c r="F414" s="20">
        <v>0</v>
      </c>
      <c r="G414" s="20">
        <v>914910438</v>
      </c>
      <c r="I414" s="19" t="s">
        <v>101</v>
      </c>
      <c r="J414" s="20">
        <v>0</v>
      </c>
      <c r="K414" s="20">
        <v>211124036</v>
      </c>
      <c r="L414" s="20">
        <v>0</v>
      </c>
      <c r="M414" s="20">
        <v>0</v>
      </c>
      <c r="N414" s="20">
        <v>211124036</v>
      </c>
      <c r="P414" s="19" t="s">
        <v>101</v>
      </c>
      <c r="Q414" s="20">
        <v>0</v>
      </c>
      <c r="R414" s="20">
        <v>209683439</v>
      </c>
      <c r="S414" s="20">
        <v>0</v>
      </c>
      <c r="T414" s="20">
        <v>0</v>
      </c>
      <c r="U414" s="20">
        <v>209683439</v>
      </c>
      <c r="W414" s="19" t="s">
        <v>101</v>
      </c>
      <c r="X414" s="20">
        <v>0</v>
      </c>
      <c r="Y414" s="20">
        <v>420807475</v>
      </c>
      <c r="Z414" s="20">
        <v>0</v>
      </c>
      <c r="AA414" s="20">
        <v>0</v>
      </c>
      <c r="AB414" s="20">
        <v>420807475</v>
      </c>
      <c r="AD414" s="19" t="s">
        <v>101</v>
      </c>
      <c r="AE414" s="20">
        <v>0</v>
      </c>
      <c r="AF414" s="20">
        <v>229239768</v>
      </c>
      <c r="AG414" s="20">
        <v>0</v>
      </c>
      <c r="AH414" s="20">
        <v>0</v>
      </c>
      <c r="AI414" s="20">
        <v>229239768</v>
      </c>
      <c r="AK414" s="19" t="s">
        <v>152</v>
      </c>
      <c r="AL414" s="20">
        <v>0</v>
      </c>
      <c r="AM414" s="20">
        <v>264863195</v>
      </c>
      <c r="AN414" s="20">
        <v>0</v>
      </c>
      <c r="AO414" s="20">
        <v>0</v>
      </c>
      <c r="AP414" s="20">
        <v>264863195</v>
      </c>
    </row>
    <row r="415" spans="2:42" x14ac:dyDescent="0.35">
      <c r="C415" s="2"/>
      <c r="D415" s="2"/>
      <c r="E415" s="2"/>
      <c r="F415" s="2"/>
      <c r="G415" s="2"/>
      <c r="J415" s="2"/>
      <c r="K415" s="2"/>
      <c r="L415" s="2"/>
      <c r="M415" s="2"/>
      <c r="N415" s="2"/>
      <c r="Q415" s="2"/>
      <c r="R415" s="2"/>
      <c r="S415" s="2"/>
      <c r="T415" s="2"/>
      <c r="U415" s="2"/>
      <c r="X415" s="2"/>
      <c r="Y415" s="2"/>
      <c r="Z415" s="2"/>
      <c r="AA415" s="2"/>
      <c r="AB415" s="2"/>
      <c r="AE415" s="2"/>
      <c r="AF415" s="2"/>
      <c r="AG415" s="2"/>
      <c r="AH415" s="2"/>
      <c r="AI415" s="2"/>
      <c r="AL415" s="2"/>
      <c r="AM415" s="2"/>
      <c r="AN415" s="2"/>
      <c r="AO415" s="2"/>
      <c r="AP415" s="2"/>
    </row>
    <row r="416" spans="2:42" x14ac:dyDescent="0.35">
      <c r="C416" s="2"/>
      <c r="D416" s="2"/>
      <c r="E416" s="2"/>
      <c r="F416" s="2"/>
      <c r="G416" s="2"/>
      <c r="J416" s="2"/>
      <c r="K416" s="2"/>
      <c r="L416" s="2"/>
      <c r="M416" s="2"/>
      <c r="N416" s="2"/>
      <c r="Q416" s="2"/>
      <c r="R416" s="2"/>
      <c r="S416" s="2"/>
      <c r="T416" s="2"/>
      <c r="U416" s="2"/>
      <c r="X416" s="2"/>
      <c r="Y416" s="2"/>
      <c r="Z416" s="2"/>
      <c r="AA416" s="2"/>
      <c r="AB416" s="2"/>
      <c r="AE416" s="2"/>
      <c r="AF416" s="2"/>
      <c r="AG416" s="2"/>
      <c r="AH416" s="2"/>
      <c r="AI416" s="2"/>
      <c r="AL416" s="2"/>
      <c r="AM416" s="2"/>
      <c r="AN416" s="2"/>
      <c r="AO416" s="2"/>
      <c r="AP416" s="2"/>
    </row>
    <row r="417" spans="2:42" x14ac:dyDescent="0.35">
      <c r="B417" t="s">
        <v>27</v>
      </c>
      <c r="C417" s="2">
        <v>0</v>
      </c>
      <c r="D417" s="2">
        <v>-477674853</v>
      </c>
      <c r="E417" s="2">
        <v>0</v>
      </c>
      <c r="F417" s="2">
        <v>0</v>
      </c>
      <c r="G417" s="2">
        <v>-477674853</v>
      </c>
      <c r="I417" t="s">
        <v>27</v>
      </c>
      <c r="J417" s="2">
        <v>0</v>
      </c>
      <c r="K417" s="2">
        <v>-88339467</v>
      </c>
      <c r="L417" s="2">
        <v>0</v>
      </c>
      <c r="M417" s="2">
        <v>0</v>
      </c>
      <c r="N417" s="2">
        <v>-88339467</v>
      </c>
      <c r="P417" t="s">
        <v>27</v>
      </c>
      <c r="Q417" s="2">
        <v>0</v>
      </c>
      <c r="R417" s="2">
        <v>-90720734</v>
      </c>
      <c r="S417" s="2">
        <v>0</v>
      </c>
      <c r="T417" s="2">
        <v>0</v>
      </c>
      <c r="U417" s="2">
        <v>-90720734</v>
      </c>
      <c r="W417" t="s">
        <v>27</v>
      </c>
      <c r="X417" s="2">
        <v>0</v>
      </c>
      <c r="Y417" s="2">
        <v>-179060201</v>
      </c>
      <c r="Z417" s="2">
        <v>0</v>
      </c>
      <c r="AA417" s="2">
        <v>0</v>
      </c>
      <c r="AB417" s="2">
        <v>-179060201</v>
      </c>
      <c r="AD417" t="s">
        <v>27</v>
      </c>
      <c r="AE417" s="2">
        <v>0</v>
      </c>
      <c r="AF417" s="2">
        <v>-122152325</v>
      </c>
      <c r="AG417" s="2">
        <v>0</v>
      </c>
      <c r="AH417" s="2">
        <v>0</v>
      </c>
      <c r="AI417" s="2">
        <v>-122152325</v>
      </c>
      <c r="AK417" t="s">
        <v>27</v>
      </c>
      <c r="AL417" s="2">
        <v>0</v>
      </c>
      <c r="AM417" s="2">
        <v>-176462327</v>
      </c>
      <c r="AN417" s="2">
        <v>0</v>
      </c>
      <c r="AO417" s="2">
        <v>0</v>
      </c>
      <c r="AP417" s="2">
        <v>-176462327</v>
      </c>
    </row>
    <row r="418" spans="2:42" x14ac:dyDescent="0.35">
      <c r="B418" t="s">
        <v>28</v>
      </c>
      <c r="C418" s="2">
        <v>0</v>
      </c>
      <c r="D418" s="2">
        <v>-289068811</v>
      </c>
      <c r="E418" s="2">
        <v>0</v>
      </c>
      <c r="F418" s="2">
        <v>0</v>
      </c>
      <c r="G418" s="2">
        <v>-289068811</v>
      </c>
      <c r="I418" t="s">
        <v>28</v>
      </c>
      <c r="J418" s="2">
        <v>0</v>
      </c>
      <c r="K418" s="2">
        <v>-72539530</v>
      </c>
      <c r="L418" s="2">
        <v>0</v>
      </c>
      <c r="M418" s="2">
        <v>0</v>
      </c>
      <c r="N418" s="2">
        <v>-72539530</v>
      </c>
      <c r="P418" t="s">
        <v>28</v>
      </c>
      <c r="Q418" s="2">
        <v>0</v>
      </c>
      <c r="R418" s="2">
        <v>-77112141</v>
      </c>
      <c r="S418" s="2">
        <v>0</v>
      </c>
      <c r="T418" s="2">
        <v>0</v>
      </c>
      <c r="U418" s="2">
        <v>-77112141</v>
      </c>
      <c r="W418" t="s">
        <v>28</v>
      </c>
      <c r="X418" s="2">
        <v>0</v>
      </c>
      <c r="Y418" s="2">
        <v>-149651671</v>
      </c>
      <c r="Z418" s="2">
        <v>0</v>
      </c>
      <c r="AA418" s="2">
        <v>0</v>
      </c>
      <c r="AB418" s="2">
        <v>-149651671</v>
      </c>
      <c r="AD418" t="s">
        <v>28</v>
      </c>
      <c r="AE418" s="2">
        <v>0</v>
      </c>
      <c r="AF418" s="2">
        <v>-71189804</v>
      </c>
      <c r="AG418" s="2">
        <v>0</v>
      </c>
      <c r="AH418" s="2">
        <v>0</v>
      </c>
      <c r="AI418" s="2">
        <v>-71189804</v>
      </c>
      <c r="AK418" t="s">
        <v>28</v>
      </c>
      <c r="AL418" s="2">
        <v>0</v>
      </c>
      <c r="AM418" s="2">
        <v>-68227336</v>
      </c>
      <c r="AN418" s="2">
        <v>0</v>
      </c>
      <c r="AO418" s="2">
        <v>0</v>
      </c>
      <c r="AP418" s="2">
        <v>-68227336</v>
      </c>
    </row>
    <row r="419" spans="2:42" x14ac:dyDescent="0.35">
      <c r="B419" t="s">
        <v>29</v>
      </c>
      <c r="C419" s="2">
        <v>0</v>
      </c>
      <c r="D419" s="2">
        <v>9636898</v>
      </c>
      <c r="E419" s="2">
        <v>0</v>
      </c>
      <c r="F419" s="2">
        <v>0</v>
      </c>
      <c r="G419" s="2">
        <v>9636898</v>
      </c>
      <c r="I419" t="s">
        <v>29</v>
      </c>
      <c r="J419" s="2">
        <v>0</v>
      </c>
      <c r="K419" s="2">
        <v>2496163</v>
      </c>
      <c r="L419" s="2">
        <v>0</v>
      </c>
      <c r="M419" s="2">
        <v>0</v>
      </c>
      <c r="N419" s="2">
        <v>2496163</v>
      </c>
      <c r="P419" t="s">
        <v>29</v>
      </c>
      <c r="Q419" s="2">
        <v>0</v>
      </c>
      <c r="R419" s="2">
        <v>2511314</v>
      </c>
      <c r="S419" s="2">
        <v>0</v>
      </c>
      <c r="T419" s="2">
        <v>0</v>
      </c>
      <c r="U419" s="2">
        <v>2511314</v>
      </c>
      <c r="W419" t="s">
        <v>29</v>
      </c>
      <c r="X419" s="2">
        <v>0</v>
      </c>
      <c r="Y419" s="2">
        <v>5007477</v>
      </c>
      <c r="Z419" s="2">
        <v>0</v>
      </c>
      <c r="AA419" s="2">
        <v>0</v>
      </c>
      <c r="AB419" s="2">
        <v>5007477</v>
      </c>
      <c r="AD419" t="s">
        <v>29</v>
      </c>
      <c r="AE419" s="2">
        <v>0</v>
      </c>
      <c r="AF419" s="2">
        <v>2281567</v>
      </c>
      <c r="AG419" s="2">
        <v>0</v>
      </c>
      <c r="AH419" s="2">
        <v>0</v>
      </c>
      <c r="AI419" s="2">
        <v>2281567</v>
      </c>
      <c r="AK419" t="s">
        <v>29</v>
      </c>
      <c r="AL419" s="2">
        <v>0</v>
      </c>
      <c r="AM419" s="2">
        <v>2347854</v>
      </c>
      <c r="AN419" s="2">
        <v>0</v>
      </c>
      <c r="AO419" s="2">
        <v>0</v>
      </c>
      <c r="AP419" s="2">
        <v>2347854</v>
      </c>
    </row>
    <row r="420" spans="2:42" x14ac:dyDescent="0.35">
      <c r="B420" t="s">
        <v>30</v>
      </c>
      <c r="C420" s="2">
        <v>0</v>
      </c>
      <c r="D420" s="2">
        <v>-8061267</v>
      </c>
      <c r="E420" s="2">
        <v>0</v>
      </c>
      <c r="F420" s="2">
        <v>0</v>
      </c>
      <c r="G420" s="2">
        <v>-8061267</v>
      </c>
      <c r="I420" t="s">
        <v>30</v>
      </c>
      <c r="J420" s="2">
        <v>0</v>
      </c>
      <c r="K420" s="2">
        <v>-3126461</v>
      </c>
      <c r="L420" s="2">
        <v>0</v>
      </c>
      <c r="M420" s="2">
        <v>0</v>
      </c>
      <c r="N420" s="2">
        <v>-3126461</v>
      </c>
      <c r="P420" t="s">
        <v>30</v>
      </c>
      <c r="Q420" s="2">
        <v>0</v>
      </c>
      <c r="R420" s="2">
        <v>-4734810</v>
      </c>
      <c r="S420" s="2">
        <v>0</v>
      </c>
      <c r="T420" s="2">
        <v>0</v>
      </c>
      <c r="U420" s="2">
        <v>-4734810</v>
      </c>
      <c r="W420" t="s">
        <v>30</v>
      </c>
      <c r="X420" s="2">
        <v>0</v>
      </c>
      <c r="Y420" s="2">
        <v>-7861271</v>
      </c>
      <c r="Z420" s="2">
        <v>0</v>
      </c>
      <c r="AA420" s="2">
        <v>0</v>
      </c>
      <c r="AB420" s="2">
        <v>-7861271</v>
      </c>
      <c r="AD420" t="s">
        <v>30</v>
      </c>
      <c r="AE420" s="2">
        <v>0</v>
      </c>
      <c r="AF420" s="2">
        <v>-4903635</v>
      </c>
      <c r="AG420" s="2">
        <v>0</v>
      </c>
      <c r="AH420" s="2">
        <v>0</v>
      </c>
      <c r="AI420" s="2">
        <v>-4903635</v>
      </c>
      <c r="AK420" t="s">
        <v>30</v>
      </c>
      <c r="AL420" s="2">
        <v>0</v>
      </c>
      <c r="AM420" s="2">
        <v>4703639</v>
      </c>
      <c r="AN420" s="2">
        <v>0</v>
      </c>
      <c r="AO420" s="2">
        <v>0</v>
      </c>
      <c r="AP420" s="2">
        <v>4703639</v>
      </c>
    </row>
    <row r="421" spans="2:42" x14ac:dyDescent="0.35">
      <c r="B421" s="19" t="s">
        <v>90</v>
      </c>
      <c r="C421" s="20">
        <v>0</v>
      </c>
      <c r="D421" s="20">
        <v>-765168033</v>
      </c>
      <c r="E421" s="20">
        <v>0</v>
      </c>
      <c r="F421" s="20">
        <v>0</v>
      </c>
      <c r="G421" s="20">
        <v>-765168033</v>
      </c>
      <c r="I421" s="19" t="s">
        <v>90</v>
      </c>
      <c r="J421" s="20">
        <v>0</v>
      </c>
      <c r="K421" s="20">
        <v>-161509295</v>
      </c>
      <c r="L421" s="20">
        <v>0</v>
      </c>
      <c r="M421" s="20">
        <v>0</v>
      </c>
      <c r="N421" s="20">
        <v>-161509295</v>
      </c>
      <c r="P421" s="19" t="s">
        <v>90</v>
      </c>
      <c r="Q421" s="20">
        <v>0</v>
      </c>
      <c r="R421" s="20">
        <v>-170056371</v>
      </c>
      <c r="S421" s="20">
        <v>0</v>
      </c>
      <c r="T421" s="20">
        <v>0</v>
      </c>
      <c r="U421" s="20">
        <v>-170056371</v>
      </c>
      <c r="W421" s="19" t="s">
        <v>90</v>
      </c>
      <c r="X421" s="20">
        <v>0</v>
      </c>
      <c r="Y421" s="20">
        <v>-331565666</v>
      </c>
      <c r="Z421" s="20">
        <v>0</v>
      </c>
      <c r="AA421" s="20">
        <v>0</v>
      </c>
      <c r="AB421" s="20">
        <v>-331565666</v>
      </c>
      <c r="AD421" s="19" t="s">
        <v>90</v>
      </c>
      <c r="AE421" s="20">
        <v>0</v>
      </c>
      <c r="AF421" s="20">
        <v>-195964197</v>
      </c>
      <c r="AG421" s="20">
        <v>0</v>
      </c>
      <c r="AH421" s="20">
        <v>0</v>
      </c>
      <c r="AI421" s="20">
        <v>-195964197</v>
      </c>
      <c r="AK421" s="19" t="s">
        <v>90</v>
      </c>
      <c r="AL421" s="20">
        <v>0</v>
      </c>
      <c r="AM421" s="20">
        <v>-237638170</v>
      </c>
      <c r="AN421" s="20">
        <v>0</v>
      </c>
      <c r="AO421" s="20">
        <v>0</v>
      </c>
      <c r="AP421" s="20">
        <v>-237638170</v>
      </c>
    </row>
    <row r="422" spans="2:42" x14ac:dyDescent="0.35">
      <c r="C422" s="2"/>
      <c r="D422" s="2"/>
      <c r="E422" s="2"/>
      <c r="F422" s="2"/>
      <c r="G422" s="2"/>
      <c r="J422" s="2"/>
      <c r="K422" s="2"/>
      <c r="L422" s="2"/>
      <c r="M422" s="2"/>
      <c r="N422" s="2"/>
      <c r="Q422" s="2"/>
      <c r="R422" s="2"/>
      <c r="S422" s="2"/>
      <c r="T422" s="2"/>
      <c r="U422" s="2"/>
      <c r="X422" s="2"/>
      <c r="Y422" s="2"/>
      <c r="Z422" s="2"/>
      <c r="AA422" s="2"/>
      <c r="AB422" s="2"/>
      <c r="AE422" s="2"/>
      <c r="AF422" s="2"/>
      <c r="AG422" s="2"/>
      <c r="AH422" s="2"/>
      <c r="AI422" s="2"/>
      <c r="AL422" s="2"/>
      <c r="AM422" s="2"/>
      <c r="AN422" s="2"/>
      <c r="AO422" s="2"/>
      <c r="AP422" s="2"/>
    </row>
    <row r="423" spans="2:42" x14ac:dyDescent="0.35">
      <c r="C423" s="2"/>
      <c r="D423" s="2"/>
      <c r="E423" s="2"/>
      <c r="F423" s="2"/>
      <c r="G423" s="2"/>
      <c r="J423" s="2"/>
      <c r="K423" s="2"/>
      <c r="L423" s="2"/>
      <c r="M423" s="2"/>
      <c r="N423" s="2"/>
      <c r="Q423" s="2"/>
      <c r="R423" s="2"/>
      <c r="S423" s="2"/>
      <c r="T423" s="2"/>
      <c r="U423" s="2"/>
      <c r="X423" s="2"/>
      <c r="Y423" s="2"/>
      <c r="Z423" s="2"/>
      <c r="AA423" s="2"/>
      <c r="AB423" s="2"/>
      <c r="AE423" s="2"/>
      <c r="AF423" s="2"/>
      <c r="AG423" s="2"/>
      <c r="AH423" s="2"/>
      <c r="AI423" s="2"/>
      <c r="AL423" s="2"/>
      <c r="AM423" s="2"/>
      <c r="AN423" s="2"/>
      <c r="AO423" s="2"/>
      <c r="AP423" s="2"/>
    </row>
    <row r="424" spans="2:42" x14ac:dyDescent="0.35">
      <c r="B424" s="6" t="s">
        <v>89</v>
      </c>
      <c r="C424" s="2">
        <v>0</v>
      </c>
      <c r="D424" s="2">
        <v>133005051</v>
      </c>
      <c r="E424" s="2">
        <v>1262154.43</v>
      </c>
      <c r="F424" s="2">
        <v>0</v>
      </c>
      <c r="G424" s="7">
        <v>134267205.43000001</v>
      </c>
      <c r="I424" s="6" t="s">
        <v>89</v>
      </c>
      <c r="J424" s="2">
        <v>0</v>
      </c>
      <c r="K424" s="2">
        <v>23385850</v>
      </c>
      <c r="L424" s="2">
        <v>264182.57</v>
      </c>
      <c r="M424" s="2">
        <v>0</v>
      </c>
      <c r="N424" s="7">
        <v>23650032.57</v>
      </c>
      <c r="P424" s="6" t="s">
        <v>89</v>
      </c>
      <c r="Q424" s="2">
        <v>0</v>
      </c>
      <c r="R424" s="2">
        <v>29059697</v>
      </c>
      <c r="S424" s="2">
        <v>396366.38000000006</v>
      </c>
      <c r="T424" s="2">
        <v>0</v>
      </c>
      <c r="U424" s="7">
        <v>29456063.379999999</v>
      </c>
      <c r="W424" s="6" t="s">
        <v>89</v>
      </c>
      <c r="X424" s="2">
        <v>0</v>
      </c>
      <c r="Y424" s="2">
        <v>52445547</v>
      </c>
      <c r="Z424" s="2">
        <v>660548.95000000007</v>
      </c>
      <c r="AA424" s="2">
        <v>0</v>
      </c>
      <c r="AB424" s="7">
        <v>53106095.950000003</v>
      </c>
      <c r="AD424" s="6" t="s">
        <v>89</v>
      </c>
      <c r="AE424" s="2">
        <v>0</v>
      </c>
      <c r="AF424" s="2">
        <v>37316438</v>
      </c>
      <c r="AG424" s="2">
        <v>358269.98999999987</v>
      </c>
      <c r="AH424" s="2">
        <v>0</v>
      </c>
      <c r="AI424" s="7">
        <v>37674707.990000002</v>
      </c>
      <c r="AK424" s="6" t="s">
        <v>89</v>
      </c>
      <c r="AL424" s="2">
        <v>0</v>
      </c>
      <c r="AM424" s="2">
        <v>43243066</v>
      </c>
      <c r="AN424" s="2">
        <v>243335.49</v>
      </c>
      <c r="AO424" s="2">
        <v>0</v>
      </c>
      <c r="AP424" s="7">
        <v>43486401.490000002</v>
      </c>
    </row>
    <row r="425" spans="2:42" x14ac:dyDescent="0.35">
      <c r="B425" s="13"/>
      <c r="C425" s="155"/>
      <c r="D425" s="155"/>
      <c r="E425" s="155"/>
      <c r="F425" s="155"/>
      <c r="G425" s="155"/>
      <c r="I425" s="13"/>
      <c r="J425" s="155"/>
      <c r="K425" s="155"/>
      <c r="L425" s="155"/>
      <c r="M425" s="155"/>
      <c r="N425" s="155"/>
      <c r="P425" s="13"/>
      <c r="Q425" s="155"/>
      <c r="R425" s="155"/>
      <c r="S425" s="155"/>
      <c r="T425" s="155"/>
      <c r="U425" s="155"/>
      <c r="W425" s="13"/>
      <c r="X425" s="155"/>
      <c r="Y425" s="155"/>
      <c r="Z425" s="155"/>
      <c r="AA425" s="155"/>
      <c r="AB425" s="155"/>
      <c r="AD425" s="13"/>
      <c r="AE425" s="155"/>
      <c r="AF425" s="155"/>
      <c r="AG425" s="155"/>
      <c r="AH425" s="155"/>
      <c r="AI425" s="155"/>
      <c r="AK425" s="13"/>
      <c r="AL425" s="155"/>
      <c r="AM425" s="155"/>
      <c r="AN425" s="155"/>
      <c r="AO425" s="155"/>
      <c r="AP425" s="155"/>
    </row>
    <row r="426" spans="2:42" x14ac:dyDescent="0.35">
      <c r="C426" s="2"/>
      <c r="D426" s="2"/>
      <c r="E426" s="2"/>
      <c r="F426" s="2"/>
      <c r="G426" s="2"/>
      <c r="J426" s="2"/>
      <c r="K426" s="2"/>
      <c r="L426" s="2"/>
      <c r="M426" s="2"/>
      <c r="N426" s="2"/>
      <c r="Q426" s="2"/>
      <c r="R426" s="2"/>
      <c r="S426" s="2"/>
      <c r="T426" s="2"/>
      <c r="U426" s="2"/>
      <c r="X426" s="2"/>
      <c r="Y426" s="2"/>
      <c r="Z426" s="2"/>
      <c r="AA426" s="2"/>
      <c r="AB426" s="2"/>
      <c r="AE426" s="2"/>
      <c r="AF426" s="2"/>
      <c r="AG426" s="2"/>
      <c r="AH426" s="2"/>
      <c r="AI426" s="2"/>
      <c r="AL426" s="2"/>
      <c r="AM426" s="2"/>
      <c r="AN426" s="2"/>
      <c r="AO426" s="2"/>
      <c r="AP426" s="2"/>
    </row>
    <row r="427" spans="2:42" x14ac:dyDescent="0.35">
      <c r="C427" s="2"/>
      <c r="D427" s="2"/>
      <c r="E427" s="2"/>
      <c r="F427" s="2"/>
      <c r="G427" s="2"/>
      <c r="J427" s="2"/>
      <c r="K427" s="2"/>
      <c r="L427" s="2"/>
      <c r="M427" s="2"/>
      <c r="N427" s="2"/>
      <c r="Q427" s="2"/>
      <c r="R427" s="2"/>
      <c r="S427" s="2"/>
      <c r="T427" s="2"/>
      <c r="U427" s="2"/>
      <c r="X427" s="2"/>
      <c r="Y427" s="2"/>
      <c r="Z427" s="2"/>
      <c r="AA427" s="2"/>
      <c r="AB427" s="2"/>
      <c r="AE427" s="2"/>
      <c r="AF427" s="2"/>
      <c r="AG427" s="2"/>
      <c r="AH427" s="2"/>
      <c r="AI427" s="2"/>
      <c r="AL427" s="2"/>
      <c r="AM427" s="2"/>
      <c r="AN427" s="2"/>
      <c r="AO427" s="2"/>
      <c r="AP427" s="2"/>
    </row>
    <row r="428" spans="2:42" x14ac:dyDescent="0.35">
      <c r="B428" t="s">
        <v>31</v>
      </c>
      <c r="C428" s="2">
        <v>0</v>
      </c>
      <c r="D428" s="2">
        <v>2945160</v>
      </c>
      <c r="E428" s="2">
        <v>102227573.26000001</v>
      </c>
      <c r="F428" s="2">
        <v>0</v>
      </c>
      <c r="G428" s="2">
        <v>105172733.26000001</v>
      </c>
      <c r="I428" t="s">
        <v>31</v>
      </c>
      <c r="J428" s="2">
        <v>0</v>
      </c>
      <c r="K428" s="2">
        <v>387901</v>
      </c>
      <c r="L428" s="2">
        <v>10348135.636000002</v>
      </c>
      <c r="M428" s="2">
        <v>0</v>
      </c>
      <c r="N428" s="2">
        <v>10736036.636000002</v>
      </c>
      <c r="P428" t="s">
        <v>31</v>
      </c>
      <c r="Q428" s="2">
        <v>0</v>
      </c>
      <c r="R428" s="2">
        <v>216712</v>
      </c>
      <c r="S428" s="2">
        <v>14112594.853999989</v>
      </c>
      <c r="T428" s="2">
        <v>0</v>
      </c>
      <c r="U428" s="2">
        <v>14329306.853999989</v>
      </c>
      <c r="W428" t="s">
        <v>31</v>
      </c>
      <c r="X428" s="2">
        <v>0</v>
      </c>
      <c r="Y428" s="2">
        <v>604613</v>
      </c>
      <c r="Z428" s="2">
        <v>24460730.489999991</v>
      </c>
      <c r="AA428" s="2">
        <v>0</v>
      </c>
      <c r="AB428" s="2">
        <v>25065343.489999991</v>
      </c>
      <c r="AD428" t="s">
        <v>31</v>
      </c>
      <c r="AE428" s="2">
        <v>0</v>
      </c>
      <c r="AF428" s="2">
        <v>1282925</v>
      </c>
      <c r="AG428" s="2">
        <v>18042128.770000014</v>
      </c>
      <c r="AH428" s="2">
        <v>0</v>
      </c>
      <c r="AI428" s="2">
        <v>19325053.770000014</v>
      </c>
      <c r="AK428" t="s">
        <v>31</v>
      </c>
      <c r="AL428" s="2">
        <v>0</v>
      </c>
      <c r="AM428" s="2">
        <v>1057622</v>
      </c>
      <c r="AN428" s="2">
        <v>59724714</v>
      </c>
      <c r="AO428" s="2">
        <v>0</v>
      </c>
      <c r="AP428" s="2">
        <v>60782336</v>
      </c>
    </row>
    <row r="429" spans="2:42" x14ac:dyDescent="0.35">
      <c r="B429" t="s">
        <v>32</v>
      </c>
      <c r="C429" s="2">
        <v>0</v>
      </c>
      <c r="D429" s="2">
        <v>0</v>
      </c>
      <c r="E429" s="2">
        <v>-40531194.666999996</v>
      </c>
      <c r="F429" s="2">
        <v>0</v>
      </c>
      <c r="G429" s="2">
        <v>-40531194.666999996</v>
      </c>
      <c r="I429" t="s">
        <v>32</v>
      </c>
      <c r="J429" s="2">
        <v>0</v>
      </c>
      <c r="K429" s="2">
        <v>0</v>
      </c>
      <c r="L429" s="2">
        <v>-2744829.375</v>
      </c>
      <c r="M429" s="2">
        <v>0</v>
      </c>
      <c r="N429" s="2">
        <v>-2744829.375</v>
      </c>
      <c r="P429" t="s">
        <v>32</v>
      </c>
      <c r="Q429" s="2">
        <v>0</v>
      </c>
      <c r="R429" s="2">
        <v>0</v>
      </c>
      <c r="S429" s="2">
        <v>-10088927.992000001</v>
      </c>
      <c r="T429" s="2">
        <v>0</v>
      </c>
      <c r="U429" s="2">
        <v>-10088927.992000001</v>
      </c>
      <c r="W429" t="s">
        <v>32</v>
      </c>
      <c r="X429" s="2">
        <v>0</v>
      </c>
      <c r="Y429" s="2">
        <v>0</v>
      </c>
      <c r="Z429" s="2">
        <v>-12833757.367000001</v>
      </c>
      <c r="AA429" s="2">
        <v>0</v>
      </c>
      <c r="AB429" s="2">
        <v>-12833757.367000001</v>
      </c>
      <c r="AD429" t="s">
        <v>32</v>
      </c>
      <c r="AE429" s="2">
        <v>0</v>
      </c>
      <c r="AF429" s="2">
        <v>0</v>
      </c>
      <c r="AG429" s="2">
        <v>-7127695.3199999984</v>
      </c>
      <c r="AH429" s="2">
        <v>0</v>
      </c>
      <c r="AI429" s="2">
        <v>-7127695.3199999984</v>
      </c>
      <c r="AK429" t="s">
        <v>32</v>
      </c>
      <c r="AL429" s="2">
        <v>0</v>
      </c>
      <c r="AM429" s="2">
        <v>0</v>
      </c>
      <c r="AN429" s="2">
        <v>-20569741.979999997</v>
      </c>
      <c r="AO429" s="2">
        <v>0</v>
      </c>
      <c r="AP429" s="2">
        <v>-20569741.979999997</v>
      </c>
    </row>
    <row r="430" spans="2:42" x14ac:dyDescent="0.35">
      <c r="B430" s="19" t="s">
        <v>33</v>
      </c>
      <c r="C430" s="20">
        <v>0</v>
      </c>
      <c r="D430" s="20">
        <v>2945160</v>
      </c>
      <c r="E430" s="20">
        <v>61696378.59300001</v>
      </c>
      <c r="F430" s="20">
        <v>0</v>
      </c>
      <c r="G430" s="20">
        <v>64641538.59300001</v>
      </c>
      <c r="I430" s="19" t="s">
        <v>33</v>
      </c>
      <c r="J430" s="20">
        <v>0</v>
      </c>
      <c r="K430" s="20">
        <v>387901</v>
      </c>
      <c r="L430" s="20">
        <v>7603306.2610000018</v>
      </c>
      <c r="M430" s="20">
        <v>0</v>
      </c>
      <c r="N430" s="20">
        <v>7991207.2610000018</v>
      </c>
      <c r="P430" s="19" t="s">
        <v>33</v>
      </c>
      <c r="Q430" s="20">
        <v>0</v>
      </c>
      <c r="R430" s="20">
        <v>216712</v>
      </c>
      <c r="S430" s="20">
        <v>4023666.8619999886</v>
      </c>
      <c r="T430" s="20">
        <v>0</v>
      </c>
      <c r="U430" s="20">
        <v>4240378.8619999886</v>
      </c>
      <c r="W430" s="19" t="s">
        <v>33</v>
      </c>
      <c r="X430" s="20">
        <v>0</v>
      </c>
      <c r="Y430" s="20">
        <v>604613</v>
      </c>
      <c r="Z430" s="20">
        <v>11626973.12299999</v>
      </c>
      <c r="AA430" s="20">
        <v>0</v>
      </c>
      <c r="AB430" s="20">
        <v>12231586.12299999</v>
      </c>
      <c r="AD430" s="19" t="s">
        <v>33</v>
      </c>
      <c r="AE430" s="20">
        <v>0</v>
      </c>
      <c r="AF430" s="20">
        <v>1282925</v>
      </c>
      <c r="AG430" s="20">
        <v>10914433.450000016</v>
      </c>
      <c r="AH430" s="20">
        <v>0</v>
      </c>
      <c r="AI430" s="20">
        <v>12197358.450000016</v>
      </c>
      <c r="AK430" s="19" t="s">
        <v>33</v>
      </c>
      <c r="AL430" s="20">
        <v>0</v>
      </c>
      <c r="AM430" s="20">
        <v>1057622</v>
      </c>
      <c r="AN430" s="20">
        <v>39154972.020000003</v>
      </c>
      <c r="AO430" s="20">
        <v>0</v>
      </c>
      <c r="AP430" s="20">
        <v>40212594.020000003</v>
      </c>
    </row>
    <row r="431" spans="2:42" x14ac:dyDescent="0.35">
      <c r="C431" s="2"/>
      <c r="D431" s="2"/>
      <c r="E431" s="2"/>
      <c r="F431" s="2"/>
      <c r="G431" s="2"/>
      <c r="J431" s="2"/>
      <c r="K431" s="2"/>
      <c r="L431" s="2"/>
      <c r="M431" s="2"/>
      <c r="N431" s="2"/>
      <c r="Q431" s="2"/>
      <c r="R431" s="2"/>
      <c r="S431" s="2"/>
      <c r="T431" s="2"/>
      <c r="U431" s="2"/>
      <c r="X431" s="2"/>
      <c r="Y431" s="2"/>
      <c r="Z431" s="2"/>
      <c r="AA431" s="2"/>
      <c r="AB431" s="2"/>
      <c r="AE431" s="2"/>
      <c r="AF431" s="2"/>
      <c r="AG431" s="2"/>
      <c r="AH431" s="2"/>
      <c r="AI431" s="2"/>
      <c r="AL431" s="2"/>
      <c r="AM431" s="2"/>
      <c r="AN431" s="2"/>
      <c r="AO431" s="2"/>
      <c r="AP431" s="2"/>
    </row>
    <row r="432" spans="2:42" x14ac:dyDescent="0.35">
      <c r="C432" s="2"/>
      <c r="D432" s="2"/>
      <c r="E432" s="2"/>
      <c r="F432" s="2"/>
      <c r="G432" s="2"/>
      <c r="J432" s="2"/>
      <c r="K432" s="2"/>
      <c r="L432" s="2"/>
      <c r="M432" s="2"/>
      <c r="N432" s="2"/>
      <c r="Q432" s="2"/>
      <c r="R432" s="2"/>
      <c r="S432" s="2"/>
      <c r="T432" s="2"/>
      <c r="U432" s="2"/>
      <c r="X432" s="2"/>
      <c r="Y432" s="2"/>
      <c r="Z432" s="2"/>
      <c r="AA432" s="2"/>
      <c r="AB432" s="2"/>
      <c r="AE432" s="2"/>
      <c r="AF432" s="2"/>
      <c r="AG432" s="2"/>
      <c r="AH432" s="2"/>
      <c r="AI432" s="2"/>
      <c r="AL432" s="2"/>
      <c r="AM432" s="2"/>
      <c r="AN432" s="2"/>
      <c r="AO432" s="2"/>
      <c r="AP432" s="2"/>
    </row>
    <row r="433" spans="2:42" x14ac:dyDescent="0.35">
      <c r="B433" t="s">
        <v>35</v>
      </c>
      <c r="C433" s="2">
        <v>25416308.090000004</v>
      </c>
      <c r="D433" s="2">
        <v>1049692</v>
      </c>
      <c r="E433" s="2">
        <v>0</v>
      </c>
      <c r="F433" s="2">
        <v>7801645.0799999991</v>
      </c>
      <c r="G433" s="2">
        <v>34267645.170000002</v>
      </c>
      <c r="I433" t="s">
        <v>35</v>
      </c>
      <c r="J433" s="2">
        <v>8771490.6799999997</v>
      </c>
      <c r="K433" s="2">
        <v>945801</v>
      </c>
      <c r="L433" s="2">
        <v>0</v>
      </c>
      <c r="M433" s="2">
        <v>1087489.22</v>
      </c>
      <c r="N433" s="2">
        <v>10804780.9</v>
      </c>
      <c r="P433" t="s">
        <v>35</v>
      </c>
      <c r="Q433" s="2">
        <v>5628805.9199999999</v>
      </c>
      <c r="R433" s="2">
        <v>218339</v>
      </c>
      <c r="S433" s="2">
        <v>0</v>
      </c>
      <c r="T433" s="2">
        <v>1271718.4200000002</v>
      </c>
      <c r="U433" s="2">
        <v>7118863.3399999999</v>
      </c>
      <c r="W433" t="s">
        <v>35</v>
      </c>
      <c r="X433" s="2">
        <v>14400296.6</v>
      </c>
      <c r="Y433" s="2">
        <v>1164140</v>
      </c>
      <c r="Z433" s="2">
        <v>0</v>
      </c>
      <c r="AA433" s="2">
        <v>2359207.64</v>
      </c>
      <c r="AB433" s="2">
        <v>17923644.239999998</v>
      </c>
      <c r="AD433" t="s">
        <v>35</v>
      </c>
      <c r="AE433" s="2">
        <v>5282982.9600000028</v>
      </c>
      <c r="AF433" s="2">
        <v>327899</v>
      </c>
      <c r="AG433" s="2">
        <v>0</v>
      </c>
      <c r="AH433" s="2">
        <v>2989734.2999999993</v>
      </c>
      <c r="AI433" s="2">
        <v>8600616.2600000016</v>
      </c>
      <c r="AK433" t="s">
        <v>35</v>
      </c>
      <c r="AL433" s="2">
        <v>5733028.5300000031</v>
      </c>
      <c r="AM433" s="2">
        <v>-442347</v>
      </c>
      <c r="AN433" s="2">
        <v>0</v>
      </c>
      <c r="AO433" s="2">
        <v>2452703.1399999992</v>
      </c>
      <c r="AP433" s="2">
        <v>7743384.6700000018</v>
      </c>
    </row>
    <row r="434" spans="2:42" x14ac:dyDescent="0.35">
      <c r="B434" t="s">
        <v>36</v>
      </c>
      <c r="C434" s="2">
        <v>-36567902.020000003</v>
      </c>
      <c r="D434" s="2">
        <v>0</v>
      </c>
      <c r="E434" s="2">
        <v>0</v>
      </c>
      <c r="F434" s="2">
        <v>-3170028.15</v>
      </c>
      <c r="G434" s="2">
        <v>-39737930.170000002</v>
      </c>
      <c r="I434" t="s">
        <v>36</v>
      </c>
      <c r="J434" s="2">
        <v>-6329687.2999999998</v>
      </c>
      <c r="K434" s="2">
        <v>0</v>
      </c>
      <c r="L434" s="2">
        <v>0</v>
      </c>
      <c r="M434" s="2">
        <v>-548060.58000000007</v>
      </c>
      <c r="N434" s="2">
        <v>-6877747.8799999999</v>
      </c>
      <c r="P434" t="s">
        <v>36</v>
      </c>
      <c r="Q434" s="2">
        <v>-6867816.8000000017</v>
      </c>
      <c r="R434" s="2">
        <v>0</v>
      </c>
      <c r="S434" s="2">
        <v>0</v>
      </c>
      <c r="T434" s="2">
        <v>-1107400.5099999998</v>
      </c>
      <c r="U434" s="2">
        <v>-7975217.3100000015</v>
      </c>
      <c r="W434" t="s">
        <v>36</v>
      </c>
      <c r="X434" s="2">
        <v>-13197504.100000001</v>
      </c>
      <c r="Y434" s="2">
        <v>0</v>
      </c>
      <c r="Z434" s="2">
        <v>0</v>
      </c>
      <c r="AA434" s="2">
        <v>-1655461.0899999999</v>
      </c>
      <c r="AB434" s="2">
        <v>-14852965.190000001</v>
      </c>
      <c r="AD434" t="s">
        <v>36</v>
      </c>
      <c r="AE434" s="2">
        <v>-10485032.93</v>
      </c>
      <c r="AF434" s="2">
        <v>0</v>
      </c>
      <c r="AG434" s="2">
        <v>0</v>
      </c>
      <c r="AH434" s="2">
        <v>-1249328.3799999999</v>
      </c>
      <c r="AI434" s="2">
        <v>-11734361.309999999</v>
      </c>
      <c r="AK434" t="s">
        <v>36</v>
      </c>
      <c r="AL434" s="2">
        <v>-12885364.990000002</v>
      </c>
      <c r="AM434" s="2">
        <v>0</v>
      </c>
      <c r="AN434" s="2">
        <v>0</v>
      </c>
      <c r="AO434" s="2">
        <v>-265238.68000000017</v>
      </c>
      <c r="AP434" s="2">
        <v>-13150603.670000002</v>
      </c>
    </row>
    <row r="435" spans="2:42" x14ac:dyDescent="0.35">
      <c r="B435" s="19" t="s">
        <v>37</v>
      </c>
      <c r="C435" s="20">
        <v>-11151593.93</v>
      </c>
      <c r="D435" s="20">
        <v>1049692</v>
      </c>
      <c r="E435" s="20">
        <v>0</v>
      </c>
      <c r="F435" s="20">
        <v>4631616.93</v>
      </c>
      <c r="G435" s="20">
        <v>-5470285</v>
      </c>
      <c r="I435" s="19" t="s">
        <v>37</v>
      </c>
      <c r="J435" s="20">
        <v>2441803.38</v>
      </c>
      <c r="K435" s="20">
        <v>945801</v>
      </c>
      <c r="L435" s="20">
        <v>0</v>
      </c>
      <c r="M435" s="20">
        <v>539428.6399999999</v>
      </c>
      <c r="N435" s="20">
        <v>3927033.0200000005</v>
      </c>
      <c r="P435" s="19" t="s">
        <v>37</v>
      </c>
      <c r="Q435" s="20">
        <v>-1239010.8800000018</v>
      </c>
      <c r="R435" s="20">
        <v>218339</v>
      </c>
      <c r="S435" s="20">
        <v>0</v>
      </c>
      <c r="T435" s="20">
        <v>164317.91000000038</v>
      </c>
      <c r="U435" s="20">
        <v>-856353.9700000016</v>
      </c>
      <c r="W435" s="19" t="s">
        <v>37</v>
      </c>
      <c r="X435" s="20">
        <v>1202792.4999999981</v>
      </c>
      <c r="Y435" s="20">
        <v>1164140</v>
      </c>
      <c r="Z435" s="20">
        <v>0</v>
      </c>
      <c r="AA435" s="20">
        <v>703746.55000000028</v>
      </c>
      <c r="AB435" s="20">
        <v>3070679.049999997</v>
      </c>
      <c r="AD435" s="19" t="s">
        <v>37</v>
      </c>
      <c r="AE435" s="20">
        <v>-5202049.9699999969</v>
      </c>
      <c r="AF435" s="20">
        <v>327899</v>
      </c>
      <c r="AG435" s="20">
        <v>0</v>
      </c>
      <c r="AH435" s="20">
        <v>1740405.9199999995</v>
      </c>
      <c r="AI435" s="20">
        <v>-3133745.049999997</v>
      </c>
      <c r="AK435" s="19" t="s">
        <v>37</v>
      </c>
      <c r="AL435" s="20">
        <v>-7152336.459999999</v>
      </c>
      <c r="AM435" s="20">
        <v>-442347</v>
      </c>
      <c r="AN435" s="20">
        <v>0</v>
      </c>
      <c r="AO435" s="20">
        <v>2187464.459999999</v>
      </c>
      <c r="AP435" s="20">
        <v>-5407219</v>
      </c>
    </row>
    <row r="436" spans="2:42" x14ac:dyDescent="0.35">
      <c r="C436" s="2"/>
      <c r="D436" s="2"/>
      <c r="E436" s="2"/>
      <c r="F436" s="2"/>
      <c r="G436" s="2"/>
      <c r="J436" s="2"/>
      <c r="K436" s="2"/>
      <c r="L436" s="2"/>
      <c r="M436" s="2"/>
      <c r="N436" s="2"/>
      <c r="Q436" s="2"/>
      <c r="R436" s="2"/>
      <c r="S436" s="2"/>
      <c r="T436" s="2"/>
      <c r="U436" s="2"/>
      <c r="X436" s="2"/>
      <c r="Y436" s="2"/>
      <c r="Z436" s="2"/>
      <c r="AA436" s="2"/>
      <c r="AB436" s="2"/>
      <c r="AE436" s="2"/>
      <c r="AF436" s="2"/>
      <c r="AG436" s="2"/>
      <c r="AH436" s="2"/>
      <c r="AI436" s="2"/>
      <c r="AL436" s="2"/>
      <c r="AM436" s="2"/>
      <c r="AN436" s="2"/>
      <c r="AO436" s="2"/>
      <c r="AP436" s="2"/>
    </row>
    <row r="437" spans="2:42" x14ac:dyDescent="0.35">
      <c r="B437" t="s">
        <v>212</v>
      </c>
      <c r="C437" s="2">
        <v>194676581.13999999</v>
      </c>
      <c r="D437" s="2">
        <v>0</v>
      </c>
      <c r="E437" s="2">
        <v>0</v>
      </c>
      <c r="F437" s="2">
        <v>0</v>
      </c>
      <c r="G437" s="2">
        <v>194676581.13999999</v>
      </c>
      <c r="I437" t="s">
        <v>212</v>
      </c>
      <c r="J437" s="2">
        <v>0</v>
      </c>
      <c r="K437" s="2">
        <v>0</v>
      </c>
      <c r="L437" s="2">
        <v>0</v>
      </c>
      <c r="M437" s="2">
        <v>0</v>
      </c>
      <c r="N437" s="2">
        <v>0</v>
      </c>
      <c r="P437" t="s">
        <v>212</v>
      </c>
      <c r="Q437" s="2">
        <v>0</v>
      </c>
      <c r="R437" s="2">
        <v>0</v>
      </c>
      <c r="S437" s="2">
        <v>0</v>
      </c>
      <c r="T437" s="2">
        <v>0</v>
      </c>
      <c r="U437" s="2">
        <v>0</v>
      </c>
      <c r="W437" t="s">
        <v>212</v>
      </c>
      <c r="X437" s="2">
        <v>0</v>
      </c>
      <c r="Y437" s="2">
        <v>0</v>
      </c>
      <c r="Z437" s="2">
        <v>0</v>
      </c>
      <c r="AA437" s="2">
        <v>0</v>
      </c>
      <c r="AB437" s="2">
        <v>0</v>
      </c>
      <c r="AD437" t="s">
        <v>212</v>
      </c>
      <c r="AE437" s="2">
        <v>0</v>
      </c>
      <c r="AF437" s="2">
        <v>0</v>
      </c>
      <c r="AG437" s="2">
        <v>0</v>
      </c>
      <c r="AH437" s="2">
        <v>0</v>
      </c>
      <c r="AI437" s="2">
        <v>0</v>
      </c>
      <c r="AK437" t="s">
        <v>212</v>
      </c>
      <c r="AL437" s="2">
        <v>194676581.13999999</v>
      </c>
      <c r="AM437" s="2">
        <v>0</v>
      </c>
      <c r="AN437" s="2">
        <v>0</v>
      </c>
      <c r="AO437" s="2">
        <v>0</v>
      </c>
      <c r="AP437" s="2">
        <v>194676581.13999999</v>
      </c>
    </row>
    <row r="438" spans="2:42" x14ac:dyDescent="0.35">
      <c r="B438" t="s">
        <v>38</v>
      </c>
      <c r="C438" s="2">
        <v>-103415558.14999998</v>
      </c>
      <c r="D438" s="2">
        <v>-12108061</v>
      </c>
      <c r="E438" s="2">
        <v>-1861657.2909999997</v>
      </c>
      <c r="F438" s="2">
        <v>-1466012.98</v>
      </c>
      <c r="G438" s="2">
        <v>-118851289.42099997</v>
      </c>
      <c r="I438" t="s">
        <v>38</v>
      </c>
      <c r="J438" s="2">
        <v>-23780565.520000007</v>
      </c>
      <c r="K438" s="2">
        <v>-3350758</v>
      </c>
      <c r="L438" s="2">
        <v>-485922.82</v>
      </c>
      <c r="M438" s="2">
        <v>-188719.24</v>
      </c>
      <c r="N438" s="2">
        <v>-27805965.580000006</v>
      </c>
      <c r="P438" t="s">
        <v>38</v>
      </c>
      <c r="Q438" s="2">
        <v>-25775837.729999993</v>
      </c>
      <c r="R438" s="2">
        <v>-2435909</v>
      </c>
      <c r="S438" s="2">
        <v>-422903.00000000006</v>
      </c>
      <c r="T438" s="2">
        <v>-210230.71000000002</v>
      </c>
      <c r="U438" s="2">
        <v>-28844880.439999994</v>
      </c>
      <c r="W438" t="s">
        <v>38</v>
      </c>
      <c r="X438" s="2">
        <v>-49556403.25</v>
      </c>
      <c r="Y438" s="2">
        <v>-5786667</v>
      </c>
      <c r="Z438" s="2">
        <v>-908825.82000000007</v>
      </c>
      <c r="AA438" s="2">
        <v>-398949.95</v>
      </c>
      <c r="AB438" s="2">
        <v>-56650846.020000003</v>
      </c>
      <c r="AD438" t="s">
        <v>38</v>
      </c>
      <c r="AE438" s="2">
        <v>-27118784.499999985</v>
      </c>
      <c r="AF438" s="2">
        <v>-3068751</v>
      </c>
      <c r="AG438" s="2">
        <v>-468604.67099999986</v>
      </c>
      <c r="AH438" s="2">
        <v>-464409.74999999994</v>
      </c>
      <c r="AI438" s="2">
        <v>-31120549.920999985</v>
      </c>
      <c r="AK438" t="s">
        <v>38</v>
      </c>
      <c r="AL438" s="2">
        <v>-26740370.399999991</v>
      </c>
      <c r="AM438" s="2">
        <v>-3252643</v>
      </c>
      <c r="AN438" s="2">
        <v>-484226.79999999981</v>
      </c>
      <c r="AO438" s="2">
        <v>-602653.28</v>
      </c>
      <c r="AP438" s="2">
        <v>-31079893.479999993</v>
      </c>
    </row>
    <row r="439" spans="2:42" x14ac:dyDescent="0.35">
      <c r="B439" t="s">
        <v>78</v>
      </c>
      <c r="C439" s="2">
        <v>-492968507.57999998</v>
      </c>
      <c r="D439" s="2">
        <v>-74670451</v>
      </c>
      <c r="E439" s="2">
        <v>-18973617.330000002</v>
      </c>
      <c r="F439" s="2">
        <v>-16638476.360000001</v>
      </c>
      <c r="G439" s="2">
        <v>-603251052.26999998</v>
      </c>
      <c r="I439" t="s">
        <v>78</v>
      </c>
      <c r="J439" s="2">
        <v>-117728796.45000002</v>
      </c>
      <c r="K439" s="2">
        <v>-21484366</v>
      </c>
      <c r="L439" s="2">
        <v>-4573911</v>
      </c>
      <c r="M439" s="2">
        <v>-5860293.6400000006</v>
      </c>
      <c r="N439" s="2">
        <v>-149647367.09000003</v>
      </c>
      <c r="P439" t="s">
        <v>78</v>
      </c>
      <c r="Q439" s="2">
        <v>-123066976.21000001</v>
      </c>
      <c r="R439" s="2">
        <v>-17712617</v>
      </c>
      <c r="S439" s="2">
        <v>-4715053.040000001</v>
      </c>
      <c r="T439" s="2">
        <v>-3919207.74</v>
      </c>
      <c r="U439" s="2">
        <v>-149413853.99000001</v>
      </c>
      <c r="W439" t="s">
        <v>78</v>
      </c>
      <c r="X439" s="2">
        <v>-240795772.66000003</v>
      </c>
      <c r="Y439" s="2">
        <v>-39196983</v>
      </c>
      <c r="Z439" s="2">
        <v>-9288964.040000001</v>
      </c>
      <c r="AA439" s="2">
        <v>-9779501.3800000008</v>
      </c>
      <c r="AB439" s="2">
        <v>-299061221.08000004</v>
      </c>
      <c r="AD439" t="s">
        <v>78</v>
      </c>
      <c r="AE439" s="2">
        <v>-119334720.21999997</v>
      </c>
      <c r="AF439" s="2">
        <v>-17361725</v>
      </c>
      <c r="AG439" s="2">
        <v>-4746130.9599999972</v>
      </c>
      <c r="AH439" s="2">
        <v>-3798976.7299999986</v>
      </c>
      <c r="AI439" s="2">
        <v>-145241552.90999997</v>
      </c>
      <c r="AK439" t="s">
        <v>78</v>
      </c>
      <c r="AL439" s="2">
        <v>-132838014.69999999</v>
      </c>
      <c r="AM439" s="2">
        <v>-18111743</v>
      </c>
      <c r="AN439" s="2">
        <v>-4938522.3300000038</v>
      </c>
      <c r="AO439" s="2">
        <v>-3059998.2500000019</v>
      </c>
      <c r="AP439" s="2">
        <v>-158948278.28</v>
      </c>
    </row>
    <row r="440" spans="2:42" x14ac:dyDescent="0.35">
      <c r="B440" t="s">
        <v>39</v>
      </c>
      <c r="C440" s="2">
        <v>-139488505.50999993</v>
      </c>
      <c r="D440" s="2">
        <v>-29663754</v>
      </c>
      <c r="E440" s="2">
        <v>-5336815.6009999998</v>
      </c>
      <c r="F440" s="2">
        <v>-8290281.0799999991</v>
      </c>
      <c r="G440" s="2">
        <v>-182779356.19099995</v>
      </c>
      <c r="I440" t="s">
        <v>39</v>
      </c>
      <c r="J440" s="2">
        <v>-33225384.369999997</v>
      </c>
      <c r="K440" s="2">
        <v>-5879630</v>
      </c>
      <c r="L440" s="2">
        <v>-1633339.57</v>
      </c>
      <c r="M440" s="2">
        <v>-2319134.09</v>
      </c>
      <c r="N440" s="2">
        <v>-43057488.030000001</v>
      </c>
      <c r="P440" t="s">
        <v>39</v>
      </c>
      <c r="Q440" s="2">
        <v>-29545302.50000003</v>
      </c>
      <c r="R440" s="2">
        <v>-5845838</v>
      </c>
      <c r="S440" s="2">
        <v>-1387259.2510000004</v>
      </c>
      <c r="T440" s="2">
        <v>-2057045.7600000007</v>
      </c>
      <c r="U440" s="2">
        <v>-38835445.51100003</v>
      </c>
      <c r="W440" t="s">
        <v>39</v>
      </c>
      <c r="X440" s="2">
        <v>-62770686.870000027</v>
      </c>
      <c r="Y440" s="2">
        <v>-11725468</v>
      </c>
      <c r="Z440" s="2">
        <v>-3020598.8210000005</v>
      </c>
      <c r="AA440" s="2">
        <v>-4376179.8500000006</v>
      </c>
      <c r="AB440" s="2">
        <v>-81892933.541000023</v>
      </c>
      <c r="AD440" t="s">
        <v>39</v>
      </c>
      <c r="AE440" s="2">
        <v>-30944909.229999952</v>
      </c>
      <c r="AF440" s="2">
        <v>-7709057</v>
      </c>
      <c r="AG440" s="2">
        <v>-1189319.17</v>
      </c>
      <c r="AH440" s="2">
        <v>-2157616.83</v>
      </c>
      <c r="AI440" s="2">
        <v>-42000902.229999952</v>
      </c>
      <c r="AK440" t="s">
        <v>39</v>
      </c>
      <c r="AL440" s="2">
        <v>-45772909.409999944</v>
      </c>
      <c r="AM440" s="2">
        <v>-10229229</v>
      </c>
      <c r="AN440" s="2">
        <v>-1126897.6099999994</v>
      </c>
      <c r="AO440" s="2">
        <v>-1756484.3999999985</v>
      </c>
      <c r="AP440" s="2">
        <v>-58885520.419999942</v>
      </c>
    </row>
    <row r="441" spans="2:42" x14ac:dyDescent="0.35">
      <c r="B441" t="s">
        <v>40</v>
      </c>
      <c r="C441" s="2">
        <v>-48302102.320000008</v>
      </c>
      <c r="D441" s="2">
        <v>-14372730</v>
      </c>
      <c r="E441" s="2">
        <v>-1265516.69</v>
      </c>
      <c r="F441" s="2">
        <v>-5664344.3399999999</v>
      </c>
      <c r="G441" s="2">
        <v>-69604693.350000009</v>
      </c>
      <c r="I441" t="s">
        <v>40</v>
      </c>
      <c r="J441" s="2">
        <v>-17857764.079999998</v>
      </c>
      <c r="K441" s="2">
        <v>-1520737</v>
      </c>
      <c r="L441" s="2">
        <v>-974171</v>
      </c>
      <c r="M441" s="2">
        <v>-1785612.22</v>
      </c>
      <c r="N441" s="2">
        <v>-22138284.299999997</v>
      </c>
      <c r="P441" t="s">
        <v>40</v>
      </c>
      <c r="Q441" s="2">
        <v>-7451570.2100000046</v>
      </c>
      <c r="R441" s="2">
        <v>-5677109</v>
      </c>
      <c r="S441" s="2">
        <v>-40000</v>
      </c>
      <c r="T441" s="2">
        <v>-1484121.59</v>
      </c>
      <c r="U441" s="2">
        <v>-14652800.800000004</v>
      </c>
      <c r="W441" t="s">
        <v>40</v>
      </c>
      <c r="X441" s="2">
        <v>-25309334.290000003</v>
      </c>
      <c r="Y441" s="2">
        <v>-7197846</v>
      </c>
      <c r="Z441" s="2">
        <v>-1014171</v>
      </c>
      <c r="AA441" s="2">
        <v>-3269733.81</v>
      </c>
      <c r="AB441" s="2">
        <v>-36791085.100000001</v>
      </c>
      <c r="AD441" t="s">
        <v>40</v>
      </c>
      <c r="AE441" s="2">
        <v>-8334247.5400000028</v>
      </c>
      <c r="AF441" s="2">
        <v>-2799460</v>
      </c>
      <c r="AG441" s="2">
        <v>-27075</v>
      </c>
      <c r="AH441" s="2">
        <v>-1218985.9099999997</v>
      </c>
      <c r="AI441" s="2">
        <v>-12379768.450000003</v>
      </c>
      <c r="AK441" t="s">
        <v>40</v>
      </c>
      <c r="AL441" s="2">
        <v>-14658520.489999998</v>
      </c>
      <c r="AM441" s="2">
        <v>-4375424</v>
      </c>
      <c r="AN441" s="2">
        <v>-224270.68999999994</v>
      </c>
      <c r="AO441" s="2">
        <v>-1175624.6199999996</v>
      </c>
      <c r="AP441" s="2">
        <v>-20433839.800000001</v>
      </c>
    </row>
    <row r="442" spans="2:42" x14ac:dyDescent="0.35">
      <c r="B442" t="s">
        <v>41</v>
      </c>
      <c r="C442" s="2">
        <v>-15000000</v>
      </c>
      <c r="D442" s="2">
        <v>-300000</v>
      </c>
      <c r="E442" s="2">
        <v>0</v>
      </c>
      <c r="F442" s="2">
        <v>0</v>
      </c>
      <c r="G442" s="2">
        <v>-15300000</v>
      </c>
      <c r="I442" t="s">
        <v>41</v>
      </c>
      <c r="J442" s="2">
        <v>0</v>
      </c>
      <c r="K442" s="2">
        <v>0</v>
      </c>
      <c r="L442" s="2">
        <v>0</v>
      </c>
      <c r="M442" s="2">
        <v>0</v>
      </c>
      <c r="N442" s="2">
        <v>0</v>
      </c>
      <c r="P442" t="s">
        <v>41</v>
      </c>
      <c r="Q442" s="2">
        <v>0</v>
      </c>
      <c r="R442" s="2">
        <v>0</v>
      </c>
      <c r="S442" s="2">
        <v>0</v>
      </c>
      <c r="T442" s="2">
        <v>0</v>
      </c>
      <c r="U442" s="2">
        <v>0</v>
      </c>
      <c r="W442" t="s">
        <v>41</v>
      </c>
      <c r="X442" s="2">
        <v>0</v>
      </c>
      <c r="Y442" s="2">
        <v>0</v>
      </c>
      <c r="Z442" s="2">
        <v>0</v>
      </c>
      <c r="AA442" s="2">
        <v>0</v>
      </c>
      <c r="AB442" s="2">
        <v>0</v>
      </c>
      <c r="AD442" t="s">
        <v>41</v>
      </c>
      <c r="AE442" s="2">
        <v>0</v>
      </c>
      <c r="AF442" s="2">
        <v>-300000</v>
      </c>
      <c r="AG442" s="2">
        <v>0</v>
      </c>
      <c r="AH442" s="2">
        <v>0</v>
      </c>
      <c r="AI442" s="2">
        <v>-300000</v>
      </c>
      <c r="AK442" t="s">
        <v>41</v>
      </c>
      <c r="AL442" s="2">
        <v>-15000000</v>
      </c>
      <c r="AM442" s="2">
        <v>0</v>
      </c>
      <c r="AN442" s="2">
        <v>0</v>
      </c>
      <c r="AO442" s="2">
        <v>0</v>
      </c>
      <c r="AP442" s="2">
        <v>-15000000</v>
      </c>
    </row>
    <row r="443" spans="2:42" x14ac:dyDescent="0.35">
      <c r="B443" t="s">
        <v>42</v>
      </c>
      <c r="C443" s="2">
        <v>-36844509.590000004</v>
      </c>
      <c r="D443" s="2">
        <v>-14849449.200000001</v>
      </c>
      <c r="E443" s="2">
        <v>-2624865.64</v>
      </c>
      <c r="F443" s="2">
        <v>-25999.01</v>
      </c>
      <c r="G443" s="2">
        <v>-54344823.440000005</v>
      </c>
      <c r="I443" t="s">
        <v>42</v>
      </c>
      <c r="J443" s="2">
        <v>-10659498.050000001</v>
      </c>
      <c r="K443" s="2">
        <v>-377913</v>
      </c>
      <c r="L443" s="2">
        <v>0</v>
      </c>
      <c r="M443" s="2">
        <v>0</v>
      </c>
      <c r="N443" s="2">
        <v>-11037411.050000001</v>
      </c>
      <c r="P443" t="s">
        <v>42</v>
      </c>
      <c r="Q443" s="2">
        <v>-7157602.3800000027</v>
      </c>
      <c r="R443" s="2">
        <v>-6113502.1600000001</v>
      </c>
      <c r="S443" s="2">
        <v>-1130502.3999999999</v>
      </c>
      <c r="T443" s="2">
        <v>0</v>
      </c>
      <c r="U443" s="2">
        <v>-14401606.940000003</v>
      </c>
      <c r="W443" t="s">
        <v>42</v>
      </c>
      <c r="X443" s="2">
        <v>-17817100.430000003</v>
      </c>
      <c r="Y443" s="2">
        <v>-6491415.1600000001</v>
      </c>
      <c r="Z443" s="2">
        <v>-1130502.3999999999</v>
      </c>
      <c r="AA443" s="2">
        <v>0</v>
      </c>
      <c r="AB443" s="2">
        <v>-25439017.990000002</v>
      </c>
      <c r="AD443" t="s">
        <v>42</v>
      </c>
      <c r="AE443" s="2">
        <v>-9958982.0399999917</v>
      </c>
      <c r="AF443" s="2">
        <v>-4119783.1199999992</v>
      </c>
      <c r="AG443" s="2">
        <v>-734622.98</v>
      </c>
      <c r="AH443" s="2">
        <v>-2681</v>
      </c>
      <c r="AI443" s="2">
        <v>-14816069.139999991</v>
      </c>
      <c r="AK443" t="s">
        <v>42</v>
      </c>
      <c r="AL443" s="2">
        <v>-9068427.1200000085</v>
      </c>
      <c r="AM443" s="2">
        <v>-4238250.9200000018</v>
      </c>
      <c r="AN443" s="2">
        <v>-759740.26000000024</v>
      </c>
      <c r="AO443" s="2">
        <v>-23318.01</v>
      </c>
      <c r="AP443" s="2">
        <v>-14089736.31000001</v>
      </c>
    </row>
    <row r="444" spans="2:42" x14ac:dyDescent="0.35">
      <c r="B444" t="s">
        <v>4</v>
      </c>
      <c r="C444" s="2">
        <v>0</v>
      </c>
      <c r="D444" s="2">
        <v>2</v>
      </c>
      <c r="E444" s="2">
        <v>0</v>
      </c>
      <c r="F444" s="2">
        <v>0</v>
      </c>
      <c r="G444" s="2">
        <v>2</v>
      </c>
      <c r="I444" t="s">
        <v>4</v>
      </c>
      <c r="J444" s="2">
        <v>0</v>
      </c>
      <c r="K444" s="2">
        <v>0</v>
      </c>
      <c r="L444" s="2">
        <v>0</v>
      </c>
      <c r="M444" s="2">
        <v>0</v>
      </c>
      <c r="N444" s="2">
        <v>0</v>
      </c>
      <c r="P444" t="s">
        <v>4</v>
      </c>
      <c r="Q444" s="2">
        <v>0</v>
      </c>
      <c r="R444" s="2">
        <v>0</v>
      </c>
      <c r="S444" s="2">
        <v>0</v>
      </c>
      <c r="T444" s="2">
        <v>0</v>
      </c>
      <c r="U444" s="2">
        <v>0</v>
      </c>
      <c r="W444" t="s">
        <v>4</v>
      </c>
      <c r="X444" s="2">
        <v>0</v>
      </c>
      <c r="Y444" s="2">
        <v>0</v>
      </c>
      <c r="Z444" s="2">
        <v>0</v>
      </c>
      <c r="AA444" s="2">
        <v>0</v>
      </c>
      <c r="AB444" s="2">
        <v>0</v>
      </c>
      <c r="AD444" t="s">
        <v>4</v>
      </c>
      <c r="AE444" s="2">
        <v>0</v>
      </c>
      <c r="AF444" s="2">
        <v>-1</v>
      </c>
      <c r="AG444" s="2">
        <v>0</v>
      </c>
      <c r="AH444" s="2">
        <v>0</v>
      </c>
      <c r="AI444" s="2">
        <v>-1</v>
      </c>
      <c r="AK444" t="s">
        <v>4</v>
      </c>
      <c r="AL444" s="2">
        <v>0</v>
      </c>
      <c r="AM444" s="2">
        <v>3</v>
      </c>
      <c r="AN444" s="2">
        <v>0</v>
      </c>
      <c r="AO444" s="2">
        <v>0</v>
      </c>
      <c r="AP444" s="2">
        <v>3</v>
      </c>
    </row>
    <row r="445" spans="2:42" x14ac:dyDescent="0.35">
      <c r="B445" t="s">
        <v>5</v>
      </c>
      <c r="C445" s="2">
        <v>-1814000</v>
      </c>
      <c r="D445" s="2">
        <v>0</v>
      </c>
      <c r="E445" s="2">
        <v>0</v>
      </c>
      <c r="F445" s="2">
        <v>0</v>
      </c>
      <c r="G445" s="2">
        <v>-1814000</v>
      </c>
      <c r="I445" t="s">
        <v>5</v>
      </c>
      <c r="J445" s="2">
        <v>-370000</v>
      </c>
      <c r="K445" s="2">
        <v>0</v>
      </c>
      <c r="L445" s="2">
        <v>0</v>
      </c>
      <c r="M445" s="2">
        <v>0</v>
      </c>
      <c r="N445" s="2">
        <v>-370000</v>
      </c>
      <c r="P445" t="s">
        <v>5</v>
      </c>
      <c r="Q445" s="2">
        <v>-696000</v>
      </c>
      <c r="R445" s="2">
        <v>0</v>
      </c>
      <c r="S445" s="2">
        <v>0</v>
      </c>
      <c r="T445" s="2">
        <v>0</v>
      </c>
      <c r="U445" s="2">
        <v>-696000</v>
      </c>
      <c r="W445" t="s">
        <v>5</v>
      </c>
      <c r="X445" s="2">
        <v>-1066000</v>
      </c>
      <c r="Y445" s="2">
        <v>0</v>
      </c>
      <c r="Z445" s="2">
        <v>0</v>
      </c>
      <c r="AA445" s="2">
        <v>0</v>
      </c>
      <c r="AB445" s="2">
        <v>-1066000</v>
      </c>
      <c r="AD445" t="s">
        <v>5</v>
      </c>
      <c r="AE445" s="2">
        <v>-377000</v>
      </c>
      <c r="AF445" s="2">
        <v>0</v>
      </c>
      <c r="AG445" s="2">
        <v>0</v>
      </c>
      <c r="AH445" s="2">
        <v>0</v>
      </c>
      <c r="AI445" s="2">
        <v>-377000</v>
      </c>
      <c r="AK445" t="s">
        <v>5</v>
      </c>
      <c r="AL445" s="2">
        <v>-371000</v>
      </c>
      <c r="AM445" s="2">
        <v>0</v>
      </c>
      <c r="AN445" s="2">
        <v>0</v>
      </c>
      <c r="AO445" s="2">
        <v>0</v>
      </c>
      <c r="AP445" s="2">
        <v>-371000</v>
      </c>
    </row>
    <row r="446" spans="2:42" x14ac:dyDescent="0.35">
      <c r="B446" t="s">
        <v>182</v>
      </c>
      <c r="C446" s="2">
        <v>-207343305.78999993</v>
      </c>
      <c r="D446" s="2">
        <v>-5784590.2069466999</v>
      </c>
      <c r="E446" s="2">
        <v>-2030741.6350000002</v>
      </c>
      <c r="F446" s="2">
        <v>35368.51</v>
      </c>
      <c r="G446" s="2">
        <v>-215123269.12194663</v>
      </c>
      <c r="I446" t="s">
        <v>182</v>
      </c>
      <c r="J446" s="2">
        <v>-76769622.410000011</v>
      </c>
      <c r="K446" s="2">
        <v>-2993690.2103815</v>
      </c>
      <c r="L446" s="2">
        <v>120100.342</v>
      </c>
      <c r="M446" s="2">
        <v>-7550.95</v>
      </c>
      <c r="N446" s="2">
        <v>-79650763.228381515</v>
      </c>
      <c r="P446" t="s">
        <v>182</v>
      </c>
      <c r="Q446" s="2">
        <v>-47019690.219999969</v>
      </c>
      <c r="R446" s="2">
        <v>-2293841.0910221995</v>
      </c>
      <c r="S446" s="2">
        <v>1917.6430000000109</v>
      </c>
      <c r="T446" s="2">
        <v>-16614.16</v>
      </c>
      <c r="U446" s="2">
        <v>-49328227.828022167</v>
      </c>
      <c r="W446" t="s">
        <v>182</v>
      </c>
      <c r="X446" s="2">
        <v>-123789312.62999998</v>
      </c>
      <c r="Y446" s="2">
        <v>-5287531.3014036994</v>
      </c>
      <c r="Z446" s="2">
        <v>122017.98500000002</v>
      </c>
      <c r="AA446" s="2">
        <v>-24165.11</v>
      </c>
      <c r="AB446" s="2">
        <v>-128978991.05640368</v>
      </c>
      <c r="AD446" t="s">
        <v>182</v>
      </c>
      <c r="AE446" s="2">
        <v>-54364720.930000082</v>
      </c>
      <c r="AF446" s="2">
        <v>-6434503.9235757012</v>
      </c>
      <c r="AG446" s="2">
        <v>507831.07999999996</v>
      </c>
      <c r="AH446" s="2">
        <v>8730</v>
      </c>
      <c r="AI446" s="2">
        <v>-60282663.773575783</v>
      </c>
      <c r="AK446" t="s">
        <v>182</v>
      </c>
      <c r="AL446" s="2">
        <v>-29189272.229999855</v>
      </c>
      <c r="AM446" s="2">
        <v>5937445.0180327008</v>
      </c>
      <c r="AN446" s="2">
        <v>-2660590.7000000002</v>
      </c>
      <c r="AO446" s="2">
        <v>50803.62</v>
      </c>
      <c r="AP446" s="2">
        <v>-25861614.291967154</v>
      </c>
    </row>
    <row r="447" spans="2:42" x14ac:dyDescent="0.35">
      <c r="B447" s="19" t="s">
        <v>11</v>
      </c>
      <c r="C447" s="20">
        <v>-850499907.79999995</v>
      </c>
      <c r="D447" s="20">
        <v>-151749033.40694669</v>
      </c>
      <c r="E447" s="20">
        <v>-32093214.187000006</v>
      </c>
      <c r="F447" s="20">
        <v>-32049745.259999998</v>
      </c>
      <c r="G447" s="20">
        <v>-1066391900.6539466</v>
      </c>
      <c r="I447" s="19" t="s">
        <v>11</v>
      </c>
      <c r="J447" s="20">
        <v>-280391630.88000005</v>
      </c>
      <c r="K447" s="20">
        <v>-35607094.2103815</v>
      </c>
      <c r="L447" s="20">
        <v>-7547244.0480000004</v>
      </c>
      <c r="M447" s="20">
        <v>-10161310.140000001</v>
      </c>
      <c r="N447" s="20">
        <v>-333707279.27838159</v>
      </c>
      <c r="P447" s="19" t="s">
        <v>11</v>
      </c>
      <c r="Q447" s="20">
        <v>-240712979.25</v>
      </c>
      <c r="R447" s="20">
        <v>-40078816.251022197</v>
      </c>
      <c r="S447" s="20">
        <v>-7693800.0480000013</v>
      </c>
      <c r="T447" s="20">
        <v>-7687219.9600000009</v>
      </c>
      <c r="U447" s="20">
        <v>-296172815.50902224</v>
      </c>
      <c r="W447" s="19" t="s">
        <v>11</v>
      </c>
      <c r="X447" s="20">
        <v>-521104610.13000005</v>
      </c>
      <c r="Y447" s="20">
        <v>-75685910.461403698</v>
      </c>
      <c r="Z447" s="20">
        <v>-15241044.096000003</v>
      </c>
      <c r="AA447" s="20">
        <v>-17848530.099999998</v>
      </c>
      <c r="AB447" s="20">
        <v>-629880094.7874037</v>
      </c>
      <c r="AD447" s="19" t="s">
        <v>11</v>
      </c>
      <c r="AE447" s="20">
        <v>-250433364.45999998</v>
      </c>
      <c r="AF447" s="20">
        <v>-41793281.043575697</v>
      </c>
      <c r="AG447" s="20">
        <v>-6657921.7009999976</v>
      </c>
      <c r="AH447" s="20">
        <v>-7633940.2199999988</v>
      </c>
      <c r="AI447" s="20">
        <v>-306518507.42457569</v>
      </c>
      <c r="AK447" s="19" t="s">
        <v>11</v>
      </c>
      <c r="AL447" s="20">
        <v>-78961933.209999785</v>
      </c>
      <c r="AM447" s="20">
        <v>-34269841.901967302</v>
      </c>
      <c r="AN447" s="20">
        <v>-10194248.390000004</v>
      </c>
      <c r="AO447" s="20">
        <v>-6567274.9400000004</v>
      </c>
      <c r="AP447" s="20">
        <v>-129993298.4419671</v>
      </c>
    </row>
    <row r="448" spans="2:42" x14ac:dyDescent="0.35">
      <c r="C448" s="2"/>
      <c r="D448" s="2"/>
      <c r="E448" s="2"/>
      <c r="F448" s="2"/>
      <c r="G448" s="2"/>
      <c r="J448" s="2"/>
      <c r="K448" s="2"/>
      <c r="L448" s="2"/>
      <c r="M448" s="2"/>
      <c r="N448" s="2"/>
      <c r="Q448" s="2"/>
      <c r="R448" s="2"/>
      <c r="S448" s="2"/>
      <c r="T448" s="2"/>
      <c r="U448" s="2"/>
      <c r="X448" s="2"/>
      <c r="Y448" s="2"/>
      <c r="Z448" s="2"/>
      <c r="AA448" s="2"/>
      <c r="AB448" s="2"/>
      <c r="AE448" s="2"/>
      <c r="AF448" s="2"/>
      <c r="AG448" s="2"/>
      <c r="AH448" s="2"/>
      <c r="AI448" s="2"/>
      <c r="AL448" s="2"/>
      <c r="AM448" s="2"/>
      <c r="AN448" s="2"/>
      <c r="AO448" s="2"/>
      <c r="AP448" s="2"/>
    </row>
    <row r="449" spans="2:43" x14ac:dyDescent="0.35">
      <c r="C449" s="2"/>
      <c r="D449" s="2"/>
      <c r="E449" s="2"/>
      <c r="F449" s="2"/>
      <c r="G449" s="2"/>
      <c r="J449" s="2"/>
      <c r="K449" s="2"/>
      <c r="L449" s="2"/>
      <c r="M449" s="2"/>
      <c r="N449" s="2"/>
      <c r="Q449" s="2"/>
      <c r="R449" s="2"/>
      <c r="S449" s="2"/>
      <c r="T449" s="2"/>
      <c r="U449" s="2"/>
      <c r="X449" s="2"/>
      <c r="Y449" s="2"/>
      <c r="Z449" s="2"/>
      <c r="AA449" s="2"/>
      <c r="AB449" s="2"/>
      <c r="AE449" s="2"/>
      <c r="AF449" s="2"/>
      <c r="AG449" s="2"/>
      <c r="AH449" s="2"/>
      <c r="AI449" s="2"/>
      <c r="AL449" s="2"/>
      <c r="AM449" s="2"/>
      <c r="AN449" s="2"/>
      <c r="AO449" s="2"/>
      <c r="AP449" s="2"/>
    </row>
    <row r="450" spans="2:43" x14ac:dyDescent="0.35">
      <c r="B450" s="11" t="s">
        <v>43</v>
      </c>
      <c r="C450" s="4">
        <v>879527882.10885477</v>
      </c>
      <c r="D450" s="4">
        <v>134993274.59305331</v>
      </c>
      <c r="E450" s="4">
        <v>30865318.836000003</v>
      </c>
      <c r="F450" s="4">
        <v>-27944480.176058739</v>
      </c>
      <c r="G450" s="4">
        <v>1017441995.3618493</v>
      </c>
      <c r="I450" s="11" t="s">
        <v>43</v>
      </c>
      <c r="J450" s="4">
        <v>184183576.5403161</v>
      </c>
      <c r="K450" s="4">
        <v>38727198.7896185</v>
      </c>
      <c r="L450" s="4">
        <v>320244.78300000168</v>
      </c>
      <c r="M450" s="4">
        <v>-8871985.6552192848</v>
      </c>
      <c r="N450" s="4">
        <v>214359034.4577153</v>
      </c>
      <c r="P450" s="11" t="s">
        <v>43</v>
      </c>
      <c r="Q450" s="4">
        <v>228278797.41940558</v>
      </c>
      <c r="R450" s="4">
        <v>29042999.748977803</v>
      </c>
      <c r="S450" s="4">
        <v>-3273766.8060000129</v>
      </c>
      <c r="T450" s="4">
        <v>-6543797.0840586852</v>
      </c>
      <c r="U450" s="4">
        <v>247504233.27832469</v>
      </c>
      <c r="W450" s="11" t="s">
        <v>43</v>
      </c>
      <c r="X450" s="4">
        <v>412462373.95972162</v>
      </c>
      <c r="Y450" s="4">
        <v>67770198.538596302</v>
      </c>
      <c r="Z450" s="4">
        <v>-2953522.0230000131</v>
      </c>
      <c r="AA450" s="4">
        <v>-15415782.739277966</v>
      </c>
      <c r="AB450" s="4">
        <v>461863267.73604</v>
      </c>
      <c r="AD450" s="11" t="s">
        <v>43</v>
      </c>
      <c r="AE450" s="4">
        <v>174994354.45914769</v>
      </c>
      <c r="AF450" s="4">
        <v>30409551.956424303</v>
      </c>
      <c r="AG450" s="4">
        <v>4614781.7390000187</v>
      </c>
      <c r="AH450" s="4">
        <v>-7889447.2058912441</v>
      </c>
      <c r="AI450" s="4">
        <v>202129240.94868076</v>
      </c>
      <c r="AK450" s="11" t="s">
        <v>43</v>
      </c>
      <c r="AL450" s="4">
        <v>292071153.68998587</v>
      </c>
      <c r="AM450" s="4">
        <v>36813524.098032698</v>
      </c>
      <c r="AN450" s="4">
        <v>29204059.120000001</v>
      </c>
      <c r="AO450" s="4">
        <v>-4639250.230889529</v>
      </c>
      <c r="AP450" s="4">
        <v>353449486.67712903</v>
      </c>
    </row>
    <row r="451" spans="2:43" x14ac:dyDescent="0.35">
      <c r="B451" t="s">
        <v>6</v>
      </c>
      <c r="C451" s="2">
        <v>-241714661.55000004</v>
      </c>
      <c r="D451" s="2">
        <v>-37109046</v>
      </c>
      <c r="E451" s="2">
        <v>-7223761.2700000005</v>
      </c>
      <c r="F451" s="2">
        <v>-3326200.0500000003</v>
      </c>
      <c r="G451" s="2">
        <v>-289373668.87000006</v>
      </c>
      <c r="I451" t="s">
        <v>6</v>
      </c>
      <c r="J451" s="2">
        <v>-60838738.399999991</v>
      </c>
      <c r="K451" s="2">
        <v>-8294551</v>
      </c>
      <c r="L451" s="2">
        <v>-3536.5399999999991</v>
      </c>
      <c r="M451" s="2">
        <v>-879036.09</v>
      </c>
      <c r="N451" s="2">
        <v>-70015862.030000001</v>
      </c>
      <c r="P451" t="s">
        <v>6</v>
      </c>
      <c r="Q451" s="2">
        <v>-60342029.160000026</v>
      </c>
      <c r="R451" s="2">
        <v>-8392612</v>
      </c>
      <c r="S451" s="2">
        <v>-11115.100000000002</v>
      </c>
      <c r="T451" s="2">
        <v>-793047.21000000008</v>
      </c>
      <c r="U451" s="2">
        <v>-69538803.470000014</v>
      </c>
      <c r="W451" t="s">
        <v>6</v>
      </c>
      <c r="X451" s="2">
        <v>-121180767.56000002</v>
      </c>
      <c r="Y451" s="2">
        <v>-16687163</v>
      </c>
      <c r="Z451" s="2">
        <v>-14651.640000000001</v>
      </c>
      <c r="AA451" s="2">
        <v>-1672083.3</v>
      </c>
      <c r="AB451" s="2">
        <v>-139554665.5</v>
      </c>
      <c r="AD451" t="s">
        <v>6</v>
      </c>
      <c r="AE451" s="2">
        <v>-50455607.020000026</v>
      </c>
      <c r="AF451" s="2">
        <v>-9730724</v>
      </c>
      <c r="AG451" s="2">
        <v>-114616.48000000003</v>
      </c>
      <c r="AH451" s="2">
        <v>-828192.22</v>
      </c>
      <c r="AI451" s="2">
        <v>-61129139.720000021</v>
      </c>
      <c r="AK451" t="s">
        <v>6</v>
      </c>
      <c r="AL451" s="2">
        <v>-70078286.970000014</v>
      </c>
      <c r="AM451" s="2">
        <v>-10691159</v>
      </c>
      <c r="AN451" s="2">
        <v>-7094493.1500000004</v>
      </c>
      <c r="AO451" s="2">
        <v>-825924.53</v>
      </c>
      <c r="AP451" s="2">
        <v>-88689863.650000021</v>
      </c>
    </row>
    <row r="452" spans="2:43" x14ac:dyDescent="0.35">
      <c r="B452" s="11" t="s">
        <v>7</v>
      </c>
      <c r="C452" s="4">
        <v>637813220.5588547</v>
      </c>
      <c r="D452" s="4">
        <v>97884228.593053311</v>
      </c>
      <c r="E452" s="4">
        <v>23641557.566000003</v>
      </c>
      <c r="F452" s="4">
        <v>-31270680.22605874</v>
      </c>
      <c r="G452" s="4">
        <v>728068326.4918493</v>
      </c>
      <c r="I452" s="11" t="s">
        <v>7</v>
      </c>
      <c r="J452" s="4">
        <v>123344838.14031611</v>
      </c>
      <c r="K452" s="4">
        <v>30432647.7896185</v>
      </c>
      <c r="L452" s="4">
        <v>316708.2430000017</v>
      </c>
      <c r="M452" s="4">
        <v>-9751021.7452192847</v>
      </c>
      <c r="N452" s="4">
        <v>144343172.42771533</v>
      </c>
      <c r="P452" s="11" t="s">
        <v>7</v>
      </c>
      <c r="Q452" s="4">
        <v>167936768.25940555</v>
      </c>
      <c r="R452" s="4">
        <v>20650387.748977803</v>
      </c>
      <c r="S452" s="4">
        <v>-3284881.906000013</v>
      </c>
      <c r="T452" s="4">
        <v>-7336844.2940586852</v>
      </c>
      <c r="U452" s="4">
        <v>177965429.80832466</v>
      </c>
      <c r="W452" s="11" t="s">
        <v>7</v>
      </c>
      <c r="X452" s="4">
        <v>291281606.39972162</v>
      </c>
      <c r="Y452" s="4">
        <v>51083035.538596302</v>
      </c>
      <c r="Z452" s="4">
        <v>-2968173.6630000132</v>
      </c>
      <c r="AA452" s="4">
        <v>-17087866.039277967</v>
      </c>
      <c r="AB452" s="4">
        <v>322308602.23603994</v>
      </c>
      <c r="AD452" s="11" t="s">
        <v>7</v>
      </c>
      <c r="AE452" s="4">
        <v>124538747.43914767</v>
      </c>
      <c r="AF452" s="4">
        <v>20678827.956424303</v>
      </c>
      <c r="AG452" s="4">
        <v>4500165.2590000182</v>
      </c>
      <c r="AH452" s="4">
        <v>-8717639.4258912448</v>
      </c>
      <c r="AI452" s="4">
        <v>141000101.22868076</v>
      </c>
      <c r="AK452" s="11" t="s">
        <v>7</v>
      </c>
      <c r="AL452" s="4">
        <v>221992866.71998584</v>
      </c>
      <c r="AM452" s="4">
        <v>26122365.098032698</v>
      </c>
      <c r="AN452" s="4">
        <v>22109565.969999999</v>
      </c>
      <c r="AO452" s="4">
        <v>-5465174.7608895293</v>
      </c>
      <c r="AP452" s="4">
        <v>264759623.02712905</v>
      </c>
    </row>
    <row r="453" spans="2:43" x14ac:dyDescent="0.35">
      <c r="B453" t="s">
        <v>8</v>
      </c>
      <c r="C453" s="2">
        <v>-12893216.692769637</v>
      </c>
      <c r="D453" s="2">
        <v>-17969454.787</v>
      </c>
      <c r="E453" s="2">
        <v>-4994015.1372000007</v>
      </c>
      <c r="F453" s="2">
        <v>-3559.0395039996079</v>
      </c>
      <c r="G453" s="2">
        <v>-35860245.656473637</v>
      </c>
      <c r="I453" t="s">
        <v>8</v>
      </c>
      <c r="J453" s="2">
        <v>-2391136.8732643016</v>
      </c>
      <c r="K453" s="2">
        <v>-6063208.1864</v>
      </c>
      <c r="L453" s="2">
        <v>23779.001400000016</v>
      </c>
      <c r="M453" s="2">
        <v>-908.12419199990052</v>
      </c>
      <c r="N453" s="2">
        <v>-8431474.1824563015</v>
      </c>
      <c r="P453" t="s">
        <v>8</v>
      </c>
      <c r="Q453" s="2">
        <v>-2220638.2803867357</v>
      </c>
      <c r="R453" s="2">
        <v>-4435155.0647999998</v>
      </c>
      <c r="S453" s="2">
        <v>569855.73120000202</v>
      </c>
      <c r="T453" s="2">
        <v>-838.07167999990668</v>
      </c>
      <c r="U453" s="2">
        <v>-6086775.6856667334</v>
      </c>
      <c r="W453" t="s">
        <v>8</v>
      </c>
      <c r="X453" s="2">
        <v>-4611775.1536510373</v>
      </c>
      <c r="Y453" s="2">
        <v>-10498363.2512</v>
      </c>
      <c r="Z453" s="2">
        <v>593634.73260000208</v>
      </c>
      <c r="AA453" s="2">
        <v>-1746.1958719998072</v>
      </c>
      <c r="AB453" s="2">
        <v>-14518249.868123036</v>
      </c>
      <c r="AD453" t="s">
        <v>8</v>
      </c>
      <c r="AE453" s="2">
        <v>-6150176.6241967743</v>
      </c>
      <c r="AF453" s="2">
        <v>-3616472.6043999996</v>
      </c>
      <c r="AG453" s="2">
        <v>-979298.83580000419</v>
      </c>
      <c r="AH453" s="2">
        <v>-859.08875999990664</v>
      </c>
      <c r="AI453" s="2">
        <v>-10746807.153156776</v>
      </c>
      <c r="AK453" t="s">
        <v>8</v>
      </c>
      <c r="AL453" s="2">
        <v>-2131264.9149218258</v>
      </c>
      <c r="AM453" s="2">
        <v>-3854618.931400001</v>
      </c>
      <c r="AN453" s="2">
        <v>-4608351.0339999981</v>
      </c>
      <c r="AO453" s="2">
        <v>-953.75487199989425</v>
      </c>
      <c r="AP453" s="2">
        <v>-10595188.635193825</v>
      </c>
    </row>
    <row r="454" spans="2:43" x14ac:dyDescent="0.35">
      <c r="B454" s="11" t="s">
        <v>161</v>
      </c>
      <c r="C454" s="4">
        <v>624920003.86608505</v>
      </c>
      <c r="D454" s="4">
        <v>79914773.806053311</v>
      </c>
      <c r="E454" s="4">
        <v>18647542.428800002</v>
      </c>
      <c r="F454" s="4">
        <v>-31274239.265562739</v>
      </c>
      <c r="G454" s="4">
        <v>692208080.83537555</v>
      </c>
      <c r="I454" s="11" t="s">
        <v>161</v>
      </c>
      <c r="J454" s="4">
        <v>120953701.26705182</v>
      </c>
      <c r="K454" s="4">
        <v>24369439.6032185</v>
      </c>
      <c r="L454" s="4">
        <v>340487.24440000171</v>
      </c>
      <c r="M454" s="4">
        <v>-9751929.8694112841</v>
      </c>
      <c r="N454" s="4">
        <v>135911698.24525902</v>
      </c>
      <c r="P454" s="11" t="s">
        <v>161</v>
      </c>
      <c r="Q454" s="4">
        <v>165716129.97901881</v>
      </c>
      <c r="R454" s="4">
        <v>16215232.684177803</v>
      </c>
      <c r="S454" s="4">
        <v>-2715026.1748000109</v>
      </c>
      <c r="T454" s="4">
        <v>-7337682.3657386852</v>
      </c>
      <c r="U454" s="4">
        <v>171878654.12265792</v>
      </c>
      <c r="W454" s="11" t="s">
        <v>161</v>
      </c>
      <c r="X454" s="4">
        <v>286669831.24607056</v>
      </c>
      <c r="Y454" s="4">
        <v>40584672.287396304</v>
      </c>
      <c r="Z454" s="4">
        <v>-2374538.9304000111</v>
      </c>
      <c r="AA454" s="4">
        <v>-17089612.235149968</v>
      </c>
      <c r="AB454" s="4">
        <v>307790352.36791688</v>
      </c>
      <c r="AD454" s="11" t="s">
        <v>161</v>
      </c>
      <c r="AE454" s="4">
        <v>118388570.8149509</v>
      </c>
      <c r="AF454" s="4">
        <v>17062355.352024302</v>
      </c>
      <c r="AG454" s="4">
        <v>3520866.423200014</v>
      </c>
      <c r="AH454" s="4">
        <v>-8718498.5146512445</v>
      </c>
      <c r="AI454" s="4">
        <v>130253294.07552397</v>
      </c>
      <c r="AK454" s="11" t="s">
        <v>9</v>
      </c>
      <c r="AL454" s="4">
        <v>219861601.80506402</v>
      </c>
      <c r="AM454" s="4">
        <v>22267746.166632697</v>
      </c>
      <c r="AN454" s="4">
        <v>17501214.936000001</v>
      </c>
      <c r="AO454" s="4">
        <v>-5466128.5157615291</v>
      </c>
      <c r="AP454" s="4">
        <v>254164434.3919352</v>
      </c>
    </row>
    <row r="455" spans="2:43" x14ac:dyDescent="0.35">
      <c r="C455">
        <v>0</v>
      </c>
      <c r="D455">
        <v>0</v>
      </c>
      <c r="E455">
        <v>0</v>
      </c>
      <c r="F455">
        <v>0</v>
      </c>
      <c r="G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AL455">
        <v>0</v>
      </c>
      <c r="AM455">
        <v>0</v>
      </c>
      <c r="AN455">
        <v>0</v>
      </c>
      <c r="AO455">
        <v>0</v>
      </c>
      <c r="AP455">
        <v>-5.3644180297851563E-7</v>
      </c>
    </row>
    <row r="458" spans="2:43" ht="18.5" x14ac:dyDescent="0.35">
      <c r="B458" s="303" t="s">
        <v>225</v>
      </c>
      <c r="C458" s="303"/>
      <c r="D458" s="303"/>
      <c r="E458" s="303"/>
      <c r="F458" s="303"/>
      <c r="G458" s="303"/>
      <c r="I458" s="303" t="s">
        <v>214</v>
      </c>
      <c r="J458" s="303"/>
      <c r="K458" s="303"/>
      <c r="L458" s="303"/>
      <c r="M458" s="303"/>
      <c r="N458" s="303"/>
      <c r="P458" s="303" t="s">
        <v>216</v>
      </c>
      <c r="Q458" s="303"/>
      <c r="R458" s="303"/>
      <c r="S458" s="303"/>
      <c r="T458" s="303"/>
      <c r="U458" s="303"/>
      <c r="W458" s="303" t="s">
        <v>217</v>
      </c>
      <c r="X458" s="303"/>
      <c r="Y458" s="303"/>
      <c r="Z458" s="303"/>
      <c r="AA458" s="303"/>
      <c r="AB458" s="303"/>
      <c r="AD458" s="303" t="s">
        <v>220</v>
      </c>
      <c r="AE458" s="303"/>
      <c r="AF458" s="303"/>
      <c r="AG458" s="303"/>
      <c r="AH458" s="303"/>
      <c r="AI458" s="303"/>
      <c r="AK458" s="303" t="s">
        <v>227</v>
      </c>
      <c r="AL458" s="303"/>
      <c r="AM458" s="303"/>
      <c r="AN458" s="303"/>
      <c r="AO458" s="303"/>
      <c r="AP458" s="303"/>
    </row>
    <row r="459" spans="2:43" ht="15.5" x14ac:dyDescent="0.35">
      <c r="B459" s="8"/>
      <c r="C459" s="8" t="s">
        <v>10</v>
      </c>
      <c r="D459" s="8" t="s">
        <v>69</v>
      </c>
      <c r="E459" s="8" t="s">
        <v>70</v>
      </c>
      <c r="F459" s="8" t="s">
        <v>44</v>
      </c>
      <c r="G459" s="9" t="s">
        <v>45</v>
      </c>
      <c r="I459" s="8"/>
      <c r="J459" s="8" t="s">
        <v>10</v>
      </c>
      <c r="K459" s="8" t="s">
        <v>69</v>
      </c>
      <c r="L459" s="8" t="s">
        <v>70</v>
      </c>
      <c r="M459" s="8" t="s">
        <v>44</v>
      </c>
      <c r="N459" s="9" t="s">
        <v>45</v>
      </c>
      <c r="P459" s="8"/>
      <c r="Q459" s="8" t="s">
        <v>10</v>
      </c>
      <c r="R459" s="8" t="s">
        <v>69</v>
      </c>
      <c r="S459" s="8" t="s">
        <v>70</v>
      </c>
      <c r="T459" s="8" t="s">
        <v>44</v>
      </c>
      <c r="U459" s="9" t="s">
        <v>45</v>
      </c>
      <c r="W459" s="8"/>
      <c r="X459" s="8" t="s">
        <v>10</v>
      </c>
      <c r="Y459" s="8" t="s">
        <v>69</v>
      </c>
      <c r="Z459" s="8" t="s">
        <v>70</v>
      </c>
      <c r="AA459" s="8" t="s">
        <v>44</v>
      </c>
      <c r="AB459" s="9" t="s">
        <v>45</v>
      </c>
      <c r="AD459" s="8"/>
      <c r="AE459" s="8" t="s">
        <v>10</v>
      </c>
      <c r="AF459" s="8" t="s">
        <v>69</v>
      </c>
      <c r="AG459" s="8" t="s">
        <v>70</v>
      </c>
      <c r="AH459" s="8" t="s">
        <v>44</v>
      </c>
      <c r="AI459" s="9" t="s">
        <v>45</v>
      </c>
      <c r="AK459" s="8"/>
      <c r="AL459" s="8" t="s">
        <v>10</v>
      </c>
      <c r="AM459" s="8" t="s">
        <v>69</v>
      </c>
      <c r="AN459" s="8" t="s">
        <v>70</v>
      </c>
      <c r="AO459" s="8" t="s">
        <v>44</v>
      </c>
      <c r="AP459" s="9" t="s">
        <v>45</v>
      </c>
    </row>
    <row r="460" spans="2:43" x14ac:dyDescent="0.35">
      <c r="B460" t="s">
        <v>85</v>
      </c>
      <c r="C460" s="2">
        <v>839977154.00999999</v>
      </c>
      <c r="D460" s="2">
        <v>0</v>
      </c>
      <c r="E460" s="2">
        <v>0</v>
      </c>
      <c r="F460" s="2">
        <v>0</v>
      </c>
      <c r="G460" s="233">
        <v>839977154.00999999</v>
      </c>
      <c r="I460" t="s">
        <v>85</v>
      </c>
      <c r="J460" s="2">
        <v>95904931.390000001</v>
      </c>
      <c r="K460" s="2">
        <v>0</v>
      </c>
      <c r="L460" s="2">
        <v>0</v>
      </c>
      <c r="M460" s="2">
        <v>0</v>
      </c>
      <c r="N460" s="233">
        <v>95904931.390000001</v>
      </c>
      <c r="P460" t="s">
        <v>85</v>
      </c>
      <c r="Q460" s="2">
        <v>177848849.31999999</v>
      </c>
      <c r="R460" s="2">
        <v>0</v>
      </c>
      <c r="S460" s="2">
        <v>0</v>
      </c>
      <c r="T460" s="2">
        <v>0</v>
      </c>
      <c r="U460" s="233">
        <v>177848849.31999999</v>
      </c>
      <c r="W460" t="s">
        <v>85</v>
      </c>
      <c r="X460" s="2">
        <v>273753780.70999998</v>
      </c>
      <c r="Y460" s="2">
        <v>0</v>
      </c>
      <c r="Z460" s="2">
        <v>0</v>
      </c>
      <c r="AA460" s="2">
        <v>0</v>
      </c>
      <c r="AB460" s="233">
        <v>273753780.70999998</v>
      </c>
      <c r="AD460" t="s">
        <v>85</v>
      </c>
      <c r="AE460" s="2">
        <v>263591166.57999998</v>
      </c>
      <c r="AF460" s="2">
        <v>0</v>
      </c>
      <c r="AG460" s="2">
        <v>0</v>
      </c>
      <c r="AH460" s="2">
        <v>0</v>
      </c>
      <c r="AI460" s="233">
        <v>263591166.57999998</v>
      </c>
      <c r="AK460" t="s">
        <v>85</v>
      </c>
      <c r="AL460" s="2">
        <v>302632206.71999997</v>
      </c>
      <c r="AM460" s="2">
        <v>0</v>
      </c>
      <c r="AN460" s="2">
        <v>0</v>
      </c>
      <c r="AO460" s="2">
        <v>0</v>
      </c>
      <c r="AP460" s="233">
        <v>302632206.71999997</v>
      </c>
      <c r="AQ460" s="3"/>
    </row>
    <row r="461" spans="2:43" x14ac:dyDescent="0.35">
      <c r="B461" t="s">
        <v>19</v>
      </c>
      <c r="C461" s="2">
        <v>394751813.96303993</v>
      </c>
      <c r="D461" s="2">
        <v>0</v>
      </c>
      <c r="E461" s="2">
        <v>0</v>
      </c>
      <c r="F461" s="2">
        <v>0</v>
      </c>
      <c r="G461" s="233">
        <v>394751813.96303993</v>
      </c>
      <c r="I461" t="s">
        <v>19</v>
      </c>
      <c r="J461" s="2">
        <v>94648665.723919988</v>
      </c>
      <c r="K461" s="2">
        <v>0</v>
      </c>
      <c r="L461" s="2">
        <v>0</v>
      </c>
      <c r="M461" s="2">
        <v>0</v>
      </c>
      <c r="N461" s="233">
        <v>94648665.723919988</v>
      </c>
      <c r="P461" t="s">
        <v>19</v>
      </c>
      <c r="Q461" s="2">
        <v>88721404.23120001</v>
      </c>
      <c r="R461" s="2">
        <v>0</v>
      </c>
      <c r="S461" s="2">
        <v>0</v>
      </c>
      <c r="T461" s="2">
        <v>0</v>
      </c>
      <c r="U461" s="233">
        <v>88721404.23120001</v>
      </c>
      <c r="W461" t="s">
        <v>19</v>
      </c>
      <c r="X461" s="2">
        <v>183370069.95512</v>
      </c>
      <c r="Y461" s="2">
        <v>0</v>
      </c>
      <c r="Z461" s="2">
        <v>0</v>
      </c>
      <c r="AA461" s="2">
        <v>0</v>
      </c>
      <c r="AB461" s="233">
        <v>183370069.95512</v>
      </c>
      <c r="AD461" t="s">
        <v>19</v>
      </c>
      <c r="AE461" s="2">
        <v>103760262.67525998</v>
      </c>
      <c r="AF461" s="2">
        <v>0</v>
      </c>
      <c r="AG461" s="2">
        <v>0</v>
      </c>
      <c r="AH461" s="2">
        <v>0</v>
      </c>
      <c r="AI461" s="233">
        <v>103760262.67525998</v>
      </c>
      <c r="AK461" t="s">
        <v>19</v>
      </c>
      <c r="AL461" s="2">
        <v>107621481.33265996</v>
      </c>
      <c r="AM461" s="2">
        <v>0</v>
      </c>
      <c r="AN461" s="2">
        <v>0</v>
      </c>
      <c r="AO461" s="2">
        <v>0</v>
      </c>
      <c r="AP461" s="233">
        <v>107621481.33265996</v>
      </c>
      <c r="AQ461" s="3"/>
    </row>
    <row r="462" spans="2:43" x14ac:dyDescent="0.35">
      <c r="B462" t="s">
        <v>86</v>
      </c>
      <c r="C462" s="2">
        <v>17789960.580000006</v>
      </c>
      <c r="D462" s="2">
        <v>0</v>
      </c>
      <c r="E462" s="2">
        <v>0</v>
      </c>
      <c r="F462" s="2">
        <v>0</v>
      </c>
      <c r="G462" s="233">
        <v>17789960.580000006</v>
      </c>
      <c r="I462" t="s">
        <v>86</v>
      </c>
      <c r="J462" s="2">
        <v>4275590.8099999987</v>
      </c>
      <c r="K462" s="2">
        <v>0</v>
      </c>
      <c r="L462" s="2">
        <v>0</v>
      </c>
      <c r="M462" s="2">
        <v>0</v>
      </c>
      <c r="N462" s="233">
        <v>4275590.8099999987</v>
      </c>
      <c r="P462" t="s">
        <v>86</v>
      </c>
      <c r="Q462" s="2">
        <v>3906528.6899999958</v>
      </c>
      <c r="R462" s="2">
        <v>0</v>
      </c>
      <c r="S462" s="2">
        <v>0</v>
      </c>
      <c r="T462" s="2">
        <v>0</v>
      </c>
      <c r="U462" s="233">
        <v>3906528.6899999958</v>
      </c>
      <c r="W462" t="s">
        <v>86</v>
      </c>
      <c r="X462" s="2">
        <v>8182119.4999999944</v>
      </c>
      <c r="Y462" s="2">
        <v>0</v>
      </c>
      <c r="Z462" s="2">
        <v>0</v>
      </c>
      <c r="AA462" s="2">
        <v>0</v>
      </c>
      <c r="AB462" s="233">
        <v>8182119.4999999944</v>
      </c>
      <c r="AD462" t="s">
        <v>86</v>
      </c>
      <c r="AE462" s="2">
        <v>4002524.9999999981</v>
      </c>
      <c r="AF462" s="2">
        <v>0</v>
      </c>
      <c r="AG462" s="2">
        <v>0</v>
      </c>
      <c r="AH462" s="2">
        <v>0</v>
      </c>
      <c r="AI462" s="233">
        <v>4002524.9999999981</v>
      </c>
      <c r="AK462" t="s">
        <v>86</v>
      </c>
      <c r="AL462" s="2">
        <v>5605316.0800000131</v>
      </c>
      <c r="AM462" s="2">
        <v>0</v>
      </c>
      <c r="AN462" s="2">
        <v>0</v>
      </c>
      <c r="AO462" s="2">
        <v>0</v>
      </c>
      <c r="AP462" s="233">
        <v>5605316.0800000131</v>
      </c>
      <c r="AQ462" s="3"/>
    </row>
    <row r="463" spans="2:43" x14ac:dyDescent="0.35">
      <c r="B463" t="s">
        <v>87</v>
      </c>
      <c r="C463" s="2">
        <v>-261669263.26999998</v>
      </c>
      <c r="D463" s="2">
        <v>0</v>
      </c>
      <c r="E463" s="2">
        <v>0</v>
      </c>
      <c r="F463" s="2">
        <v>0</v>
      </c>
      <c r="G463" s="233">
        <v>-261669263.26999998</v>
      </c>
      <c r="I463" t="s">
        <v>87</v>
      </c>
      <c r="J463" s="2">
        <v>-101021879.2</v>
      </c>
      <c r="K463" s="2">
        <v>0</v>
      </c>
      <c r="L463" s="2">
        <v>0</v>
      </c>
      <c r="M463" s="2">
        <v>0</v>
      </c>
      <c r="N463" s="233">
        <v>-101021879.2</v>
      </c>
      <c r="P463" t="s">
        <v>87</v>
      </c>
      <c r="Q463" s="2">
        <v>-37646264.359999999</v>
      </c>
      <c r="R463" s="2">
        <v>0</v>
      </c>
      <c r="S463" s="2">
        <v>0</v>
      </c>
      <c r="T463" s="2">
        <v>0</v>
      </c>
      <c r="U463" s="233">
        <v>-37646264.359999999</v>
      </c>
      <c r="W463" t="s">
        <v>87</v>
      </c>
      <c r="X463" s="2">
        <v>-138668143.56</v>
      </c>
      <c r="Y463" s="2">
        <v>0</v>
      </c>
      <c r="Z463" s="2">
        <v>0</v>
      </c>
      <c r="AA463" s="2">
        <v>0</v>
      </c>
      <c r="AB463" s="233">
        <v>-138668143.56</v>
      </c>
      <c r="AD463" t="s">
        <v>87</v>
      </c>
      <c r="AE463" s="2">
        <v>-63198925.979999989</v>
      </c>
      <c r="AF463" s="2">
        <v>0</v>
      </c>
      <c r="AG463" s="2">
        <v>0</v>
      </c>
      <c r="AH463" s="2">
        <v>0</v>
      </c>
      <c r="AI463" s="233">
        <v>-63198925.979999989</v>
      </c>
      <c r="AK463" t="s">
        <v>87</v>
      </c>
      <c r="AL463" s="2">
        <v>-59802193.729999989</v>
      </c>
      <c r="AM463" s="2">
        <v>0</v>
      </c>
      <c r="AN463" s="2">
        <v>0</v>
      </c>
      <c r="AO463" s="2">
        <v>0</v>
      </c>
      <c r="AP463" s="233">
        <v>-59802193.729999989</v>
      </c>
      <c r="AQ463" s="3"/>
    </row>
    <row r="464" spans="2:43" x14ac:dyDescent="0.35">
      <c r="B464" s="5" t="s">
        <v>18</v>
      </c>
      <c r="C464" s="235">
        <v>990849665.28303981</v>
      </c>
      <c r="D464" s="235">
        <v>0</v>
      </c>
      <c r="E464" s="235">
        <v>0</v>
      </c>
      <c r="F464" s="235">
        <v>0</v>
      </c>
      <c r="G464" s="235">
        <v>990849665.28303981</v>
      </c>
      <c r="I464" s="5" t="s">
        <v>18</v>
      </c>
      <c r="J464" s="235">
        <v>93807308.723919973</v>
      </c>
      <c r="K464" s="235">
        <v>0</v>
      </c>
      <c r="L464" s="235">
        <v>0</v>
      </c>
      <c r="M464" s="235">
        <v>0</v>
      </c>
      <c r="N464" s="235">
        <v>93807308.723919973</v>
      </c>
      <c r="P464" s="5" t="s">
        <v>18</v>
      </c>
      <c r="Q464" s="235">
        <v>232830517.88119996</v>
      </c>
      <c r="R464" s="235">
        <v>0</v>
      </c>
      <c r="S464" s="235">
        <v>0</v>
      </c>
      <c r="T464" s="235">
        <v>0</v>
      </c>
      <c r="U464" s="235">
        <v>232830517.88119996</v>
      </c>
      <c r="W464" s="5" t="s">
        <v>18</v>
      </c>
      <c r="X464" s="235">
        <v>326637826.60512</v>
      </c>
      <c r="Y464" s="235">
        <v>0</v>
      </c>
      <c r="Z464" s="235">
        <v>0</v>
      </c>
      <c r="AA464" s="235">
        <v>0</v>
      </c>
      <c r="AB464" s="235">
        <v>326637826.60512</v>
      </c>
      <c r="AD464" s="5" t="s">
        <v>18</v>
      </c>
      <c r="AE464" s="235">
        <v>308155028.27525997</v>
      </c>
      <c r="AF464" s="235">
        <v>0</v>
      </c>
      <c r="AG464" s="235">
        <v>0</v>
      </c>
      <c r="AH464" s="235">
        <v>0</v>
      </c>
      <c r="AI464" s="235">
        <v>308155028.27525997</v>
      </c>
      <c r="AK464" s="5" t="s">
        <v>18</v>
      </c>
      <c r="AL464" s="235">
        <v>356056810.40265989</v>
      </c>
      <c r="AM464" s="235">
        <v>0</v>
      </c>
      <c r="AN464" s="235">
        <v>0</v>
      </c>
      <c r="AO464" s="235">
        <v>0</v>
      </c>
      <c r="AP464" s="235">
        <v>356056810.40265989</v>
      </c>
      <c r="AQ464" s="3"/>
    </row>
    <row r="465" spans="2:43" x14ac:dyDescent="0.35">
      <c r="B465" s="6"/>
      <c r="C465" s="7"/>
      <c r="D465" s="7"/>
      <c r="E465" s="7"/>
      <c r="F465" s="7"/>
      <c r="G465" s="7"/>
      <c r="I465" s="6"/>
      <c r="J465" s="7"/>
      <c r="K465" s="7"/>
      <c r="L465" s="7"/>
      <c r="M465" s="7"/>
      <c r="N465" s="7"/>
      <c r="P465" s="6"/>
      <c r="Q465" s="7"/>
      <c r="R465" s="7"/>
      <c r="S465" s="7"/>
      <c r="T465" s="7"/>
      <c r="U465" s="7"/>
      <c r="W465" s="6"/>
      <c r="X465" s="7"/>
      <c r="Y465" s="7"/>
      <c r="Z465" s="7"/>
      <c r="AA465" s="7"/>
      <c r="AB465" s="7"/>
      <c r="AD465" s="6"/>
      <c r="AE465" s="7"/>
      <c r="AF465" s="7"/>
      <c r="AG465" s="7"/>
      <c r="AH465" s="7"/>
      <c r="AI465" s="7"/>
      <c r="AK465" s="6"/>
      <c r="AL465" s="7"/>
      <c r="AM465" s="7"/>
      <c r="AN465" s="7"/>
      <c r="AO465" s="7"/>
      <c r="AP465" s="7"/>
      <c r="AQ465" s="3"/>
    </row>
    <row r="466" spans="2:43" x14ac:dyDescent="0.35">
      <c r="B466" s="234"/>
      <c r="I466" s="234"/>
      <c r="P466" s="234"/>
      <c r="W466" s="234"/>
      <c r="AD466" s="234"/>
      <c r="AK466" s="234"/>
      <c r="AQ466" s="3"/>
    </row>
    <row r="467" spans="2:43" x14ac:dyDescent="0.35">
      <c r="B467" t="s">
        <v>12</v>
      </c>
      <c r="C467" s="2">
        <v>2302151112.1499996</v>
      </c>
      <c r="D467" s="2">
        <v>0</v>
      </c>
      <c r="E467" s="2">
        <v>0</v>
      </c>
      <c r="F467" s="2">
        <v>0</v>
      </c>
      <c r="G467" s="233">
        <v>2302151112.1499996</v>
      </c>
      <c r="I467" t="s">
        <v>12</v>
      </c>
      <c r="J467" s="2">
        <v>551374930.46999979</v>
      </c>
      <c r="K467" s="2">
        <v>0</v>
      </c>
      <c r="L467" s="2">
        <v>0</v>
      </c>
      <c r="M467" s="2">
        <v>0</v>
      </c>
      <c r="N467" s="233">
        <v>551374930.46999979</v>
      </c>
      <c r="P467" t="s">
        <v>12</v>
      </c>
      <c r="Q467" s="2">
        <v>499426155.69000053</v>
      </c>
      <c r="R467" s="2">
        <v>0</v>
      </c>
      <c r="S467" s="2">
        <v>0</v>
      </c>
      <c r="T467" s="2">
        <v>0</v>
      </c>
      <c r="U467" s="233">
        <v>499426155.69000053</v>
      </c>
      <c r="W467" t="s">
        <v>12</v>
      </c>
      <c r="X467" s="2">
        <v>1050801086.1600003</v>
      </c>
      <c r="Y467" s="2">
        <v>0</v>
      </c>
      <c r="Z467" s="2">
        <v>0</v>
      </c>
      <c r="AA467" s="2">
        <v>0</v>
      </c>
      <c r="AB467" s="233">
        <v>1050801086.1600003</v>
      </c>
      <c r="AD467" t="s">
        <v>12</v>
      </c>
      <c r="AE467" s="2">
        <v>579226356.17999959</v>
      </c>
      <c r="AF467" s="2">
        <v>0</v>
      </c>
      <c r="AG467" s="2">
        <v>0</v>
      </c>
      <c r="AH467" s="2">
        <v>0</v>
      </c>
      <c r="AI467" s="233">
        <v>579226356.17999959</v>
      </c>
      <c r="AK467" t="s">
        <v>12</v>
      </c>
      <c r="AL467" s="2">
        <v>672123669.8099997</v>
      </c>
      <c r="AM467" s="2">
        <v>0</v>
      </c>
      <c r="AN467" s="2">
        <v>0</v>
      </c>
      <c r="AO467" s="2">
        <v>0</v>
      </c>
      <c r="AP467" s="233">
        <v>672123669.8099997</v>
      </c>
      <c r="AQ467" s="3"/>
    </row>
    <row r="468" spans="2:43" x14ac:dyDescent="0.35">
      <c r="B468" t="s">
        <v>3</v>
      </c>
      <c r="C468" s="2">
        <v>-1490234397.5959725</v>
      </c>
      <c r="D468" s="2">
        <v>0</v>
      </c>
      <c r="E468" s="2">
        <v>0</v>
      </c>
      <c r="F468" s="2">
        <v>-79605.289999999994</v>
      </c>
      <c r="G468" s="233">
        <v>-1490314002.8859725</v>
      </c>
      <c r="I468" t="s">
        <v>3</v>
      </c>
      <c r="J468" s="2">
        <v>-334025953.89999998</v>
      </c>
      <c r="K468" s="2">
        <v>0</v>
      </c>
      <c r="L468" s="2">
        <v>0</v>
      </c>
      <c r="M468" s="2">
        <v>-12782.29</v>
      </c>
      <c r="N468" s="233">
        <v>-334038736.19</v>
      </c>
      <c r="P468" t="s">
        <v>3</v>
      </c>
      <c r="Q468" s="2">
        <v>-344555779.24999988</v>
      </c>
      <c r="R468" s="2">
        <v>0</v>
      </c>
      <c r="S468" s="2">
        <v>0</v>
      </c>
      <c r="T468" s="2">
        <v>-14572.29</v>
      </c>
      <c r="U468" s="233">
        <v>-344570351.5399999</v>
      </c>
      <c r="W468" t="s">
        <v>3</v>
      </c>
      <c r="X468" s="2">
        <v>-678581733.14999986</v>
      </c>
      <c r="Y468" s="2">
        <v>0</v>
      </c>
      <c r="Z468" s="2">
        <v>0</v>
      </c>
      <c r="AA468" s="2">
        <v>-27354.58</v>
      </c>
      <c r="AB468" s="233">
        <v>-678609087.7299999</v>
      </c>
      <c r="AD468" t="s">
        <v>3</v>
      </c>
      <c r="AE468" s="2">
        <v>-357926409.3824389</v>
      </c>
      <c r="AF468" s="2">
        <v>0</v>
      </c>
      <c r="AG468" s="2">
        <v>0</v>
      </c>
      <c r="AH468" s="2">
        <v>-21141.149999999994</v>
      </c>
      <c r="AI468" s="233">
        <v>-357947550.53243887</v>
      </c>
      <c r="AK468" t="s">
        <v>3</v>
      </c>
      <c r="AL468" s="2">
        <v>-453726255.06353378</v>
      </c>
      <c r="AM468" s="2">
        <v>0</v>
      </c>
      <c r="AN468" s="2">
        <v>0</v>
      </c>
      <c r="AO468" s="2">
        <v>-31109.559999999998</v>
      </c>
      <c r="AP468" s="233">
        <v>-453757364.62353379</v>
      </c>
      <c r="AQ468" s="3"/>
    </row>
    <row r="469" spans="2:43" x14ac:dyDescent="0.35">
      <c r="B469" t="s">
        <v>88</v>
      </c>
      <c r="C469" s="2">
        <v>121227682.31037955</v>
      </c>
      <c r="D469" s="2">
        <v>0</v>
      </c>
      <c r="E469" s="2">
        <v>0</v>
      </c>
      <c r="F469" s="2">
        <v>3134590.04</v>
      </c>
      <c r="G469" s="233">
        <v>124362272.35037956</v>
      </c>
      <c r="I469" t="s">
        <v>88</v>
      </c>
      <c r="J469" s="2">
        <v>25139838.959999993</v>
      </c>
      <c r="K469" s="2">
        <v>0</v>
      </c>
      <c r="L469" s="2">
        <v>0</v>
      </c>
      <c r="M469" s="2">
        <v>4701.6900000000005</v>
      </c>
      <c r="N469" s="233">
        <v>25144540.649999995</v>
      </c>
      <c r="P469" t="s">
        <v>88</v>
      </c>
      <c r="Q469" s="2">
        <v>28850742.710000001</v>
      </c>
      <c r="R469" s="2">
        <v>0</v>
      </c>
      <c r="S469" s="2">
        <v>0</v>
      </c>
      <c r="T469" s="2">
        <v>532344.09</v>
      </c>
      <c r="U469" s="233">
        <v>29383086.800000001</v>
      </c>
      <c r="W469" t="s">
        <v>88</v>
      </c>
      <c r="X469" s="2">
        <v>53990581.669999994</v>
      </c>
      <c r="Y469" s="2">
        <v>0</v>
      </c>
      <c r="Z469" s="2">
        <v>0</v>
      </c>
      <c r="AA469" s="2">
        <v>537045.77999999991</v>
      </c>
      <c r="AB469" s="233">
        <v>54527627.449999996</v>
      </c>
      <c r="AD469" t="s">
        <v>88</v>
      </c>
      <c r="AE469" s="2">
        <v>31450205.118402325</v>
      </c>
      <c r="AF469" s="2">
        <v>0</v>
      </c>
      <c r="AG469" s="2">
        <v>0</v>
      </c>
      <c r="AH469" s="2">
        <v>1058973.48</v>
      </c>
      <c r="AI469" s="233">
        <v>32509178.598402325</v>
      </c>
      <c r="AK469" t="s">
        <v>88</v>
      </c>
      <c r="AL469" s="2">
        <v>35786895.521977223</v>
      </c>
      <c r="AM469" s="2">
        <v>0</v>
      </c>
      <c r="AN469" s="2">
        <v>0</v>
      </c>
      <c r="AO469" s="2">
        <v>1538570.7800000003</v>
      </c>
      <c r="AP469" s="233">
        <v>37325466.301977225</v>
      </c>
      <c r="AQ469" s="3"/>
    </row>
    <row r="470" spans="2:43" x14ac:dyDescent="0.35">
      <c r="B470" t="s">
        <v>13</v>
      </c>
      <c r="C470" s="2">
        <v>-15913556.360000001</v>
      </c>
      <c r="D470" s="2">
        <v>0</v>
      </c>
      <c r="E470" s="2">
        <v>0</v>
      </c>
      <c r="F470" s="2">
        <v>0</v>
      </c>
      <c r="G470" s="233">
        <v>-15913556.360000001</v>
      </c>
      <c r="I470" t="s">
        <v>13</v>
      </c>
      <c r="J470" s="2">
        <v>-3302528.7699999996</v>
      </c>
      <c r="K470" s="2">
        <v>0</v>
      </c>
      <c r="L470" s="2">
        <v>0</v>
      </c>
      <c r="M470" s="2">
        <v>0</v>
      </c>
      <c r="N470" s="233">
        <v>-3302528.7699999996</v>
      </c>
      <c r="P470" t="s">
        <v>13</v>
      </c>
      <c r="Q470" s="2">
        <v>-3492705.4700000007</v>
      </c>
      <c r="R470" s="2">
        <v>0</v>
      </c>
      <c r="S470" s="2">
        <v>0</v>
      </c>
      <c r="T470" s="2">
        <v>0</v>
      </c>
      <c r="U470" s="233">
        <v>-3492705.4700000007</v>
      </c>
      <c r="W470" t="s">
        <v>13</v>
      </c>
      <c r="X470" s="2">
        <v>-6795234.2400000002</v>
      </c>
      <c r="Y470" s="2">
        <v>0</v>
      </c>
      <c r="Z470" s="2">
        <v>0</v>
      </c>
      <c r="AA470" s="2">
        <v>0</v>
      </c>
      <c r="AB470" s="233">
        <v>-6795234.2400000002</v>
      </c>
      <c r="AD470" t="s">
        <v>13</v>
      </c>
      <c r="AE470" s="2">
        <v>-3996794.0299999993</v>
      </c>
      <c r="AF470" s="2">
        <v>0</v>
      </c>
      <c r="AG470" s="2">
        <v>0</v>
      </c>
      <c r="AH470" s="2">
        <v>0</v>
      </c>
      <c r="AI470" s="233">
        <v>-3996794.0299999993</v>
      </c>
      <c r="AK470" t="s">
        <v>13</v>
      </c>
      <c r="AL470" s="2">
        <v>-5121528.0900000017</v>
      </c>
      <c r="AM470" s="2">
        <v>0</v>
      </c>
      <c r="AN470" s="2">
        <v>0</v>
      </c>
      <c r="AO470" s="2">
        <v>0</v>
      </c>
      <c r="AP470" s="233">
        <v>-5121528.0900000017</v>
      </c>
      <c r="AQ470" s="3"/>
    </row>
    <row r="471" spans="2:43" x14ac:dyDescent="0.35">
      <c r="B471" s="5" t="s">
        <v>14</v>
      </c>
      <c r="C471" s="235">
        <v>917230840.50440657</v>
      </c>
      <c r="D471" s="235">
        <v>0</v>
      </c>
      <c r="E471" s="235">
        <v>0</v>
      </c>
      <c r="F471" s="235">
        <v>3054984.75</v>
      </c>
      <c r="G471" s="235">
        <v>920285825.25440669</v>
      </c>
      <c r="I471" s="5" t="s">
        <v>14</v>
      </c>
      <c r="J471" s="235">
        <v>239186286.75999978</v>
      </c>
      <c r="K471" s="235">
        <v>0</v>
      </c>
      <c r="L471" s="235">
        <v>0</v>
      </c>
      <c r="M471" s="235">
        <v>-8080.6</v>
      </c>
      <c r="N471" s="235">
        <v>239178206.15999979</v>
      </c>
      <c r="P471" s="5" t="s">
        <v>14</v>
      </c>
      <c r="Q471" s="235">
        <v>180228413.68000066</v>
      </c>
      <c r="R471" s="235">
        <v>0</v>
      </c>
      <c r="S471" s="235">
        <v>0</v>
      </c>
      <c r="T471" s="235">
        <v>517771.8</v>
      </c>
      <c r="U471" s="235">
        <v>180746185.48000064</v>
      </c>
      <c r="W471" s="5" t="s">
        <v>14</v>
      </c>
      <c r="X471" s="235">
        <v>419414700.44000047</v>
      </c>
      <c r="Y471" s="235">
        <v>0</v>
      </c>
      <c r="Z471" s="235">
        <v>0</v>
      </c>
      <c r="AA471" s="235">
        <v>509691.1999999999</v>
      </c>
      <c r="AB471" s="235">
        <v>419924391.6400004</v>
      </c>
      <c r="AD471" s="5" t="s">
        <v>14</v>
      </c>
      <c r="AE471" s="235">
        <v>248753357.88596302</v>
      </c>
      <c r="AF471" s="235">
        <v>0</v>
      </c>
      <c r="AG471" s="235">
        <v>0</v>
      </c>
      <c r="AH471" s="235">
        <v>1037832.33</v>
      </c>
      <c r="AI471" s="235">
        <v>249791190.21596304</v>
      </c>
      <c r="AK471" s="5" t="s">
        <v>14</v>
      </c>
      <c r="AL471" s="235">
        <v>249062782.17844307</v>
      </c>
      <c r="AM471" s="235">
        <v>0</v>
      </c>
      <c r="AN471" s="235">
        <v>0</v>
      </c>
      <c r="AO471" s="235">
        <v>1507461.2200000002</v>
      </c>
      <c r="AP471" s="235">
        <v>250570243.39844313</v>
      </c>
      <c r="AQ471" s="3"/>
    </row>
    <row r="472" spans="2:43" x14ac:dyDescent="0.35">
      <c r="B472" s="6"/>
      <c r="C472" s="7"/>
      <c r="D472" s="7"/>
      <c r="E472" s="7"/>
      <c r="F472" s="7"/>
      <c r="G472" s="7"/>
      <c r="I472" s="6"/>
      <c r="J472" s="7"/>
      <c r="K472" s="7"/>
      <c r="L472" s="7"/>
      <c r="M472" s="7"/>
      <c r="N472" s="7"/>
      <c r="P472" s="6"/>
      <c r="Q472" s="7"/>
      <c r="R472" s="7"/>
      <c r="S472" s="7"/>
      <c r="T472" s="7"/>
      <c r="U472" s="7"/>
      <c r="W472" s="6"/>
      <c r="X472" s="7"/>
      <c r="Y472" s="7"/>
      <c r="Z472" s="7"/>
      <c r="AA472" s="7"/>
      <c r="AB472" s="7"/>
      <c r="AD472" s="6"/>
      <c r="AE472" s="7"/>
      <c r="AF472" s="7"/>
      <c r="AG472" s="7"/>
      <c r="AH472" s="7"/>
      <c r="AI472" s="7"/>
      <c r="AK472" s="6"/>
      <c r="AL472" s="7"/>
      <c r="AM472" s="7"/>
      <c r="AN472" s="7"/>
      <c r="AO472" s="7"/>
      <c r="AP472" s="7"/>
      <c r="AQ472" s="3"/>
    </row>
    <row r="473" spans="2:43" x14ac:dyDescent="0.35">
      <c r="B473" s="6"/>
      <c r="C473" s="7"/>
      <c r="D473" s="7"/>
      <c r="E473" s="7"/>
      <c r="F473" s="7"/>
      <c r="G473" s="7"/>
      <c r="I473" s="6"/>
      <c r="J473" s="7"/>
      <c r="K473" s="7"/>
      <c r="L473" s="7"/>
      <c r="M473" s="7"/>
      <c r="N473" s="7"/>
      <c r="P473" s="6"/>
      <c r="Q473" s="7"/>
      <c r="R473" s="7"/>
      <c r="S473" s="7"/>
      <c r="T473" s="7"/>
      <c r="U473" s="7"/>
      <c r="W473" s="6"/>
      <c r="X473" s="7"/>
      <c r="Y473" s="7"/>
      <c r="Z473" s="7"/>
      <c r="AA473" s="7"/>
      <c r="AB473" s="7"/>
      <c r="AD473" s="6"/>
      <c r="AE473" s="7"/>
      <c r="AF473" s="7"/>
      <c r="AG473" s="7"/>
      <c r="AH473" s="7"/>
      <c r="AI473" s="7"/>
      <c r="AK473" s="6"/>
      <c r="AL473" s="7"/>
      <c r="AM473" s="7"/>
      <c r="AN473" s="7"/>
      <c r="AO473" s="7"/>
      <c r="AP473" s="7"/>
      <c r="AQ473" s="3"/>
    </row>
    <row r="474" spans="2:43" x14ac:dyDescent="0.35">
      <c r="B474" t="s">
        <v>15</v>
      </c>
      <c r="C474" s="2">
        <v>203864514.70330817</v>
      </c>
      <c r="D474" s="2">
        <v>0</v>
      </c>
      <c r="E474" s="2">
        <v>0</v>
      </c>
      <c r="F474" s="2">
        <v>14790164.949999999</v>
      </c>
      <c r="G474" s="233">
        <v>218654679.65330815</v>
      </c>
      <c r="I474" t="s">
        <v>15</v>
      </c>
      <c r="J474" s="2">
        <v>38616692.690000005</v>
      </c>
      <c r="K474" s="2">
        <v>0</v>
      </c>
      <c r="L474" s="2">
        <v>0</v>
      </c>
      <c r="M474" s="2">
        <v>3895700.91</v>
      </c>
      <c r="N474" s="233">
        <v>42512393.600000009</v>
      </c>
      <c r="P474" t="s">
        <v>15</v>
      </c>
      <c r="Q474" s="2">
        <v>46472287.779999964</v>
      </c>
      <c r="R474" s="2">
        <v>0</v>
      </c>
      <c r="S474" s="2">
        <v>0</v>
      </c>
      <c r="T474" s="2">
        <v>3737486.1599999992</v>
      </c>
      <c r="U474" s="233">
        <v>50209773.93999996</v>
      </c>
      <c r="W474" t="s">
        <v>15</v>
      </c>
      <c r="X474" s="2">
        <v>85088980.469999969</v>
      </c>
      <c r="Y474" s="2">
        <v>0</v>
      </c>
      <c r="Z474" s="2">
        <v>0</v>
      </c>
      <c r="AA474" s="2">
        <v>7633187.0699999994</v>
      </c>
      <c r="AB474" s="233">
        <v>92722167.539999962</v>
      </c>
      <c r="AD474" t="s">
        <v>15</v>
      </c>
      <c r="AE474" s="2">
        <v>55282285.01000005</v>
      </c>
      <c r="AF474" s="2">
        <v>0</v>
      </c>
      <c r="AG474" s="2">
        <v>0</v>
      </c>
      <c r="AH474" s="2">
        <v>3817387.63</v>
      </c>
      <c r="AI474" s="233">
        <v>59099672.640000053</v>
      </c>
      <c r="AK474" t="s">
        <v>15</v>
      </c>
      <c r="AL474" s="2">
        <v>63493249.223308146</v>
      </c>
      <c r="AM474" s="2">
        <v>0</v>
      </c>
      <c r="AN474" s="2">
        <v>0</v>
      </c>
      <c r="AO474" s="2">
        <v>3339590.25</v>
      </c>
      <c r="AP474" s="233">
        <v>66832839.473308146</v>
      </c>
      <c r="AQ474" s="3"/>
    </row>
    <row r="475" spans="2:43" x14ac:dyDescent="0.35">
      <c r="B475" t="s">
        <v>16</v>
      </c>
      <c r="C475" s="2">
        <v>-110908275.07647723</v>
      </c>
      <c r="D475" s="2">
        <v>0</v>
      </c>
      <c r="E475" s="2">
        <v>0</v>
      </c>
      <c r="F475" s="2">
        <v>0</v>
      </c>
      <c r="G475" s="233">
        <v>-110908275.07647723</v>
      </c>
      <c r="I475" t="s">
        <v>16</v>
      </c>
      <c r="J475" s="2">
        <v>-32166196.959999997</v>
      </c>
      <c r="K475" s="2">
        <v>0</v>
      </c>
      <c r="L475" s="2">
        <v>0</v>
      </c>
      <c r="M475" s="2">
        <v>0</v>
      </c>
      <c r="N475" s="233">
        <v>-32166196.959999997</v>
      </c>
      <c r="P475" t="s">
        <v>16</v>
      </c>
      <c r="Q475" s="2">
        <v>-26666022.469999995</v>
      </c>
      <c r="R475" s="2">
        <v>0</v>
      </c>
      <c r="S475" s="2">
        <v>0</v>
      </c>
      <c r="T475" s="2">
        <v>0</v>
      </c>
      <c r="U475" s="233">
        <v>-26666022.469999995</v>
      </c>
      <c r="W475" t="s">
        <v>16</v>
      </c>
      <c r="X475" s="2">
        <v>-58832219.429999992</v>
      </c>
      <c r="Y475" s="2">
        <v>0</v>
      </c>
      <c r="Z475" s="2">
        <v>0</v>
      </c>
      <c r="AA475" s="2">
        <v>0</v>
      </c>
      <c r="AB475" s="233">
        <v>-58832219.429999992</v>
      </c>
      <c r="AD475" t="s">
        <v>16</v>
      </c>
      <c r="AE475" s="2">
        <v>-25693452.228474572</v>
      </c>
      <c r="AF475" s="2">
        <v>0</v>
      </c>
      <c r="AG475" s="2">
        <v>0</v>
      </c>
      <c r="AH475" s="2">
        <v>0</v>
      </c>
      <c r="AI475" s="233">
        <v>-25693452.228474572</v>
      </c>
      <c r="AK475" t="s">
        <v>16</v>
      </c>
      <c r="AL475" s="2">
        <v>-26382603.418002665</v>
      </c>
      <c r="AM475" s="2">
        <v>0</v>
      </c>
      <c r="AN475" s="2">
        <v>0</v>
      </c>
      <c r="AO475" s="2">
        <v>0</v>
      </c>
      <c r="AP475" s="233">
        <v>-26382603.418002665</v>
      </c>
      <c r="AQ475" s="3"/>
    </row>
    <row r="476" spans="2:43" x14ac:dyDescent="0.35">
      <c r="B476" s="5" t="s">
        <v>17</v>
      </c>
      <c r="C476" s="235">
        <v>92956239.626830935</v>
      </c>
      <c r="D476" s="235">
        <v>0</v>
      </c>
      <c r="E476" s="235">
        <v>0</v>
      </c>
      <c r="F476" s="235">
        <v>14790164.949999999</v>
      </c>
      <c r="G476" s="235">
        <v>107746404.57683092</v>
      </c>
      <c r="I476" s="5" t="s">
        <v>17</v>
      </c>
      <c r="J476" s="235">
        <v>6450495.7300000079</v>
      </c>
      <c r="K476" s="235">
        <v>0</v>
      </c>
      <c r="L476" s="235">
        <v>0</v>
      </c>
      <c r="M476" s="235">
        <v>3895700.91</v>
      </c>
      <c r="N476" s="235">
        <v>10346196.640000012</v>
      </c>
      <c r="P476" s="5" t="s">
        <v>17</v>
      </c>
      <c r="Q476" s="235">
        <v>19806265.309999969</v>
      </c>
      <c r="R476" s="235">
        <v>0</v>
      </c>
      <c r="S476" s="235">
        <v>0</v>
      </c>
      <c r="T476" s="235">
        <v>3737486.1599999992</v>
      </c>
      <c r="U476" s="235">
        <v>23543751.469999965</v>
      </c>
      <c r="W476" s="5" t="s">
        <v>17</v>
      </c>
      <c r="X476" s="235">
        <v>26256761.039999977</v>
      </c>
      <c r="Y476" s="235">
        <v>0</v>
      </c>
      <c r="Z476" s="235">
        <v>0</v>
      </c>
      <c r="AA476" s="235">
        <v>7633187.0699999994</v>
      </c>
      <c r="AB476" s="235">
        <v>33889948.10999997</v>
      </c>
      <c r="AD476" s="5" t="s">
        <v>17</v>
      </c>
      <c r="AE476" s="235">
        <v>29588832.781525478</v>
      </c>
      <c r="AF476" s="235">
        <v>0</v>
      </c>
      <c r="AG476" s="235">
        <v>0</v>
      </c>
      <c r="AH476" s="235">
        <v>3817387.63</v>
      </c>
      <c r="AI476" s="235">
        <v>33406220.41152548</v>
      </c>
      <c r="AK476" s="5" t="s">
        <v>17</v>
      </c>
      <c r="AL476" s="235">
        <v>37110645.805305481</v>
      </c>
      <c r="AM476" s="235">
        <v>0</v>
      </c>
      <c r="AN476" s="235">
        <v>0</v>
      </c>
      <c r="AO476" s="235">
        <v>3339590.25</v>
      </c>
      <c r="AP476" s="235">
        <v>40450236.055305481</v>
      </c>
      <c r="AQ476" s="3"/>
    </row>
    <row r="477" spans="2:43" x14ac:dyDescent="0.35">
      <c r="B477" s="6"/>
      <c r="C477" s="7"/>
      <c r="D477" s="7"/>
      <c r="E477" s="7"/>
      <c r="F477" s="7"/>
      <c r="G477" s="7"/>
      <c r="I477" s="6"/>
      <c r="J477" s="7"/>
      <c r="K477" s="7"/>
      <c r="L477" s="7"/>
      <c r="M477" s="7"/>
      <c r="N477" s="7"/>
      <c r="P477" s="6"/>
      <c r="Q477" s="7"/>
      <c r="R477" s="7"/>
      <c r="S477" s="7"/>
      <c r="T477" s="7"/>
      <c r="U477" s="7"/>
      <c r="W477" s="6"/>
      <c r="X477" s="7"/>
      <c r="Y477" s="7"/>
      <c r="Z477" s="7"/>
      <c r="AA477" s="7"/>
      <c r="AB477" s="7"/>
      <c r="AD477" s="6"/>
      <c r="AE477" s="7"/>
      <c r="AF477" s="7"/>
      <c r="AG477" s="7"/>
      <c r="AH477" s="7"/>
      <c r="AI477" s="7"/>
      <c r="AK477" s="6"/>
      <c r="AL477" s="7"/>
      <c r="AM477" s="7"/>
      <c r="AN477" s="7"/>
      <c r="AO477" s="7"/>
      <c r="AP477" s="7"/>
      <c r="AQ477" s="3"/>
    </row>
    <row r="478" spans="2:43" x14ac:dyDescent="0.35">
      <c r="AQ478" s="3"/>
    </row>
    <row r="479" spans="2:43" x14ac:dyDescent="0.35">
      <c r="B479" s="16" t="s">
        <v>20</v>
      </c>
      <c r="C479" s="23">
        <v>-14226626.895275222</v>
      </c>
      <c r="D479" s="23">
        <v>0</v>
      </c>
      <c r="E479" s="23">
        <v>0</v>
      </c>
      <c r="F479" s="23">
        <v>-25376904.196012277</v>
      </c>
      <c r="G479" s="28">
        <v>-39603531.091287501</v>
      </c>
      <c r="I479" s="16" t="s">
        <v>20</v>
      </c>
      <c r="J479" s="23">
        <v>-14365308.31833226</v>
      </c>
      <c r="K479" s="23">
        <v>0</v>
      </c>
      <c r="L479" s="23">
        <v>0</v>
      </c>
      <c r="M479" s="23">
        <v>-5277730.6695887204</v>
      </c>
      <c r="N479" s="28">
        <v>-19643038.987920981</v>
      </c>
      <c r="P479" s="16" t="s">
        <v>20</v>
      </c>
      <c r="Q479" s="23">
        <v>-7482887.1104817595</v>
      </c>
      <c r="R479" s="23">
        <v>0</v>
      </c>
      <c r="S479" s="23">
        <v>0</v>
      </c>
      <c r="T479" s="23">
        <v>-7796456.7577062529</v>
      </c>
      <c r="U479" s="28">
        <v>-15279343.868188012</v>
      </c>
      <c r="W479" s="16" t="s">
        <v>20</v>
      </c>
      <c r="X479" s="23">
        <v>-21848195.42881402</v>
      </c>
      <c r="Y479" s="23">
        <v>0</v>
      </c>
      <c r="Z479" s="23">
        <v>0</v>
      </c>
      <c r="AA479" s="23">
        <v>-13074187.427294973</v>
      </c>
      <c r="AB479" s="28">
        <v>-34922382.856108993</v>
      </c>
      <c r="AD479" s="16" t="s">
        <v>20</v>
      </c>
      <c r="AE479" s="23">
        <v>2914776.6106280684</v>
      </c>
      <c r="AF479" s="23">
        <v>0</v>
      </c>
      <c r="AG479" s="23">
        <v>0</v>
      </c>
      <c r="AH479" s="23">
        <v>-5001572.1525477022</v>
      </c>
      <c r="AI479" s="28">
        <v>-2086795.5419196337</v>
      </c>
      <c r="AK479" s="16" t="s">
        <v>20</v>
      </c>
      <c r="AL479" s="23">
        <v>4706791.9229107294</v>
      </c>
      <c r="AM479" s="23">
        <v>0</v>
      </c>
      <c r="AN479" s="23">
        <v>0</v>
      </c>
      <c r="AO479" s="23">
        <v>-7301144.6161696017</v>
      </c>
      <c r="AP479" s="28">
        <v>-2594352.6932588723</v>
      </c>
      <c r="AQ479" s="3"/>
    </row>
    <row r="480" spans="2:43" x14ac:dyDescent="0.35">
      <c r="B480" s="6"/>
      <c r="C480" s="103"/>
      <c r="D480" s="103"/>
      <c r="E480" s="103"/>
      <c r="F480" s="103"/>
      <c r="G480" s="233"/>
      <c r="I480" s="6"/>
      <c r="J480" s="103"/>
      <c r="K480" s="103"/>
      <c r="L480" s="103"/>
      <c r="M480" s="103"/>
      <c r="N480" s="233"/>
      <c r="P480" s="6"/>
      <c r="Q480" s="103"/>
      <c r="R480" s="103"/>
      <c r="S480" s="103"/>
      <c r="T480" s="103"/>
      <c r="U480" s="233"/>
      <c r="W480" s="6"/>
      <c r="X480" s="103"/>
      <c r="Y480" s="103"/>
      <c r="Z480" s="103"/>
      <c r="AA480" s="103"/>
      <c r="AB480" s="233"/>
      <c r="AD480" s="6"/>
      <c r="AE480" s="103"/>
      <c r="AF480" s="103"/>
      <c r="AG480" s="103"/>
      <c r="AH480" s="103"/>
      <c r="AI480" s="233"/>
      <c r="AK480" s="6"/>
      <c r="AL480" s="103"/>
      <c r="AM480" s="103"/>
      <c r="AN480" s="103"/>
      <c r="AO480" s="103"/>
      <c r="AP480" s="233"/>
      <c r="AQ480" s="3"/>
    </row>
    <row r="481" spans="2:43" x14ac:dyDescent="0.35">
      <c r="AQ481" s="3"/>
    </row>
    <row r="482" spans="2:43" x14ac:dyDescent="0.35">
      <c r="B482" t="s">
        <v>0</v>
      </c>
      <c r="C482" s="2">
        <v>0.05</v>
      </c>
      <c r="D482" s="2">
        <v>0</v>
      </c>
      <c r="E482" s="2">
        <v>0</v>
      </c>
      <c r="F482" s="2">
        <v>0</v>
      </c>
      <c r="G482" s="233">
        <v>0.05</v>
      </c>
      <c r="I482" t="s">
        <v>0</v>
      </c>
      <c r="J482" s="2">
        <v>0</v>
      </c>
      <c r="K482" s="2">
        <v>0</v>
      </c>
      <c r="L482" s="2">
        <v>0</v>
      </c>
      <c r="M482" s="2">
        <v>0</v>
      </c>
      <c r="N482" s="233">
        <v>0</v>
      </c>
      <c r="P482" t="s">
        <v>0</v>
      </c>
      <c r="Q482" s="2">
        <v>0</v>
      </c>
      <c r="R482" s="2">
        <v>0</v>
      </c>
      <c r="S482" s="2">
        <v>0</v>
      </c>
      <c r="T482" s="2">
        <v>0</v>
      </c>
      <c r="U482" s="233">
        <v>0</v>
      </c>
      <c r="W482" t="s">
        <v>0</v>
      </c>
      <c r="X482" s="2">
        <v>0</v>
      </c>
      <c r="Y482" s="2">
        <v>0</v>
      </c>
      <c r="Z482" s="2">
        <v>0</v>
      </c>
      <c r="AA482" s="2">
        <v>0</v>
      </c>
      <c r="AB482" s="233">
        <v>0</v>
      </c>
      <c r="AD482" t="s">
        <v>0</v>
      </c>
      <c r="AE482" s="2">
        <v>0</v>
      </c>
      <c r="AF482" s="2">
        <v>0</v>
      </c>
      <c r="AG482" s="2">
        <v>0</v>
      </c>
      <c r="AH482" s="2">
        <v>0</v>
      </c>
      <c r="AI482" s="233">
        <v>0</v>
      </c>
      <c r="AK482" t="s">
        <v>0</v>
      </c>
      <c r="AL482" s="2"/>
      <c r="AM482" s="2"/>
      <c r="AN482" s="2"/>
      <c r="AO482" s="2"/>
      <c r="AP482" s="233">
        <v>0</v>
      </c>
      <c r="AQ482" s="3"/>
    </row>
    <row r="483" spans="2:43" x14ac:dyDescent="0.35">
      <c r="B483" t="s">
        <v>2</v>
      </c>
      <c r="C483" s="2">
        <v>-0.52</v>
      </c>
      <c r="D483" s="2">
        <v>0</v>
      </c>
      <c r="E483" s="2">
        <v>0</v>
      </c>
      <c r="F483" s="2">
        <v>0</v>
      </c>
      <c r="G483" s="233">
        <v>-0.52</v>
      </c>
      <c r="I483" t="s">
        <v>2</v>
      </c>
      <c r="J483" s="2">
        <v>-0.47</v>
      </c>
      <c r="K483" s="2">
        <v>0</v>
      </c>
      <c r="L483" s="2">
        <v>0</v>
      </c>
      <c r="M483" s="2">
        <v>0</v>
      </c>
      <c r="N483" s="233">
        <v>-0.47</v>
      </c>
      <c r="P483" t="s">
        <v>2</v>
      </c>
      <c r="Q483" s="2">
        <v>0</v>
      </c>
      <c r="R483" s="2">
        <v>0</v>
      </c>
      <c r="S483" s="2">
        <v>0</v>
      </c>
      <c r="T483" s="2">
        <v>0</v>
      </c>
      <c r="U483" s="233">
        <v>0</v>
      </c>
      <c r="W483" t="s">
        <v>2</v>
      </c>
      <c r="X483" s="2">
        <v>-0.47</v>
      </c>
      <c r="Y483" s="2">
        <v>0</v>
      </c>
      <c r="Z483" s="2">
        <v>0</v>
      </c>
      <c r="AA483" s="2">
        <v>0</v>
      </c>
      <c r="AB483" s="233">
        <v>-0.47</v>
      </c>
      <c r="AD483" t="s">
        <v>2</v>
      </c>
      <c r="AE483" s="2">
        <v>0</v>
      </c>
      <c r="AF483" s="2">
        <v>0</v>
      </c>
      <c r="AG483" s="2">
        <v>0</v>
      </c>
      <c r="AH483" s="2">
        <v>0</v>
      </c>
      <c r="AI483" s="233">
        <v>0</v>
      </c>
      <c r="AK483" t="s">
        <v>2</v>
      </c>
      <c r="AL483" s="2">
        <v>-5.0000000000000044E-2</v>
      </c>
      <c r="AM483" s="2">
        <v>0</v>
      </c>
      <c r="AN483" s="2">
        <v>0</v>
      </c>
      <c r="AO483" s="2">
        <v>0</v>
      </c>
      <c r="AP483" s="233">
        <v>-5.0000000000000044E-2</v>
      </c>
      <c r="AQ483" s="3"/>
    </row>
    <row r="484" spans="2:43" x14ac:dyDescent="0.35">
      <c r="B484" s="5" t="s">
        <v>21</v>
      </c>
      <c r="C484" s="235">
        <v>-0.47000000000000003</v>
      </c>
      <c r="D484" s="235">
        <v>0</v>
      </c>
      <c r="E484" s="235">
        <v>0</v>
      </c>
      <c r="F484" s="235">
        <v>0</v>
      </c>
      <c r="G484" s="235">
        <v>-0.47000000000000003</v>
      </c>
      <c r="I484" s="5" t="s">
        <v>21</v>
      </c>
      <c r="J484" s="235">
        <v>-0.47</v>
      </c>
      <c r="K484" s="235">
        <v>0</v>
      </c>
      <c r="L484" s="235">
        <v>0</v>
      </c>
      <c r="M484" s="235">
        <v>0</v>
      </c>
      <c r="N484" s="235">
        <v>-0.47</v>
      </c>
      <c r="P484" s="5" t="s">
        <v>21</v>
      </c>
      <c r="Q484" s="235">
        <v>0</v>
      </c>
      <c r="R484" s="235">
        <v>0</v>
      </c>
      <c r="S484" s="235">
        <v>0</v>
      </c>
      <c r="T484" s="235">
        <v>0</v>
      </c>
      <c r="U484" s="235">
        <v>0</v>
      </c>
      <c r="W484" s="5" t="s">
        <v>21</v>
      </c>
      <c r="X484" s="235">
        <v>-0.47</v>
      </c>
      <c r="Y484" s="235">
        <v>0</v>
      </c>
      <c r="Z484" s="235">
        <v>0</v>
      </c>
      <c r="AA484" s="235">
        <v>0</v>
      </c>
      <c r="AB484" s="235">
        <v>-0.47</v>
      </c>
      <c r="AD484" s="5" t="s">
        <v>21</v>
      </c>
      <c r="AE484" s="235">
        <v>0</v>
      </c>
      <c r="AF484" s="235">
        <v>0</v>
      </c>
      <c r="AG484" s="235">
        <v>0</v>
      </c>
      <c r="AH484" s="235">
        <v>0</v>
      </c>
      <c r="AI484" s="235">
        <v>0</v>
      </c>
      <c r="AK484" s="5" t="s">
        <v>21</v>
      </c>
      <c r="AL484" s="235">
        <v>-5.0000000000000044E-2</v>
      </c>
      <c r="AM484" s="235">
        <v>0</v>
      </c>
      <c r="AN484" s="235">
        <v>0</v>
      </c>
      <c r="AO484" s="235">
        <v>0</v>
      </c>
      <c r="AP484" s="235">
        <v>-5.0000000000000044E-2</v>
      </c>
      <c r="AQ484" s="3"/>
    </row>
    <row r="485" spans="2:43" ht="15" thickBot="1" x14ac:dyDescent="0.4">
      <c r="B485" s="236" t="s">
        <v>22</v>
      </c>
      <c r="C485" s="237">
        <v>1986810118</v>
      </c>
      <c r="D485" s="237">
        <v>0</v>
      </c>
      <c r="E485" s="237">
        <v>0</v>
      </c>
      <c r="F485" s="237">
        <v>-7531754</v>
      </c>
      <c r="G485" s="237">
        <v>1979278364</v>
      </c>
      <c r="I485" s="236" t="s">
        <v>22</v>
      </c>
      <c r="J485" s="237">
        <v>325078782</v>
      </c>
      <c r="K485" s="237">
        <v>0</v>
      </c>
      <c r="L485" s="237">
        <v>0</v>
      </c>
      <c r="M485" s="237">
        <v>-1390110</v>
      </c>
      <c r="N485" s="237">
        <v>323688672</v>
      </c>
      <c r="P485" s="236" t="s">
        <v>22</v>
      </c>
      <c r="Q485" s="237">
        <v>425382310</v>
      </c>
      <c r="R485" s="237">
        <v>0</v>
      </c>
      <c r="S485" s="237">
        <v>0</v>
      </c>
      <c r="T485" s="237">
        <v>-3541199</v>
      </c>
      <c r="U485" s="237">
        <v>421841111</v>
      </c>
      <c r="W485" s="236" t="s">
        <v>22</v>
      </c>
      <c r="X485" s="237">
        <v>750461092</v>
      </c>
      <c r="Y485" s="237">
        <v>0</v>
      </c>
      <c r="Z485" s="237">
        <v>0</v>
      </c>
      <c r="AA485" s="237">
        <v>-4931309</v>
      </c>
      <c r="AB485" s="237">
        <v>745529783</v>
      </c>
      <c r="AD485" s="236" t="s">
        <v>22</v>
      </c>
      <c r="AE485" s="237">
        <v>589411996</v>
      </c>
      <c r="AF485" s="237">
        <v>0</v>
      </c>
      <c r="AG485" s="237">
        <v>0</v>
      </c>
      <c r="AH485" s="237">
        <v>-146352</v>
      </c>
      <c r="AI485" s="237">
        <v>589265643</v>
      </c>
      <c r="AK485" s="236" t="s">
        <v>22</v>
      </c>
      <c r="AL485" s="237">
        <v>646937030</v>
      </c>
      <c r="AM485" s="237">
        <v>0</v>
      </c>
      <c r="AN485" s="237">
        <v>0</v>
      </c>
      <c r="AO485" s="237">
        <v>-2454093</v>
      </c>
      <c r="AP485" s="237">
        <v>644482937</v>
      </c>
      <c r="AQ485" s="3"/>
    </row>
    <row r="486" spans="2:43" ht="15" thickTop="1" x14ac:dyDescent="0.35">
      <c r="B486" s="6"/>
      <c r="C486" s="7"/>
      <c r="D486" s="7"/>
      <c r="E486" s="7"/>
      <c r="F486" s="7"/>
      <c r="G486" s="7"/>
      <c r="I486" s="6"/>
      <c r="J486" s="7"/>
      <c r="K486" s="7"/>
      <c r="L486" s="7"/>
      <c r="M486" s="7"/>
      <c r="N486" s="7"/>
      <c r="P486" s="6"/>
      <c r="Q486" s="7"/>
      <c r="R486" s="7"/>
      <c r="S486" s="7"/>
      <c r="T486" s="7"/>
      <c r="U486" s="7"/>
      <c r="W486" s="6"/>
      <c r="X486" s="7"/>
      <c r="Y486" s="7"/>
      <c r="Z486" s="7"/>
      <c r="AA486" s="7"/>
      <c r="AB486" s="7"/>
      <c r="AD486" s="6"/>
      <c r="AE486" s="7"/>
      <c r="AF486" s="7"/>
      <c r="AG486" s="7"/>
      <c r="AH486" s="7"/>
      <c r="AI486" s="7"/>
      <c r="AK486" s="6"/>
      <c r="AL486" s="7"/>
      <c r="AM486" s="7"/>
      <c r="AN486" s="7"/>
      <c r="AO486" s="7"/>
      <c r="AP486" s="7"/>
      <c r="AQ486" s="3"/>
    </row>
    <row r="487" spans="2:43" x14ac:dyDescent="0.35">
      <c r="B487" s="234" t="s">
        <v>23</v>
      </c>
      <c r="C487" s="7"/>
      <c r="D487" s="7"/>
      <c r="E487" s="7"/>
      <c r="F487" s="7"/>
      <c r="G487" s="7"/>
      <c r="I487" s="234" t="s">
        <v>23</v>
      </c>
      <c r="J487" s="7"/>
      <c r="K487" s="7"/>
      <c r="L487" s="7"/>
      <c r="M487" s="7"/>
      <c r="N487" s="7"/>
      <c r="P487" s="234" t="s">
        <v>23</v>
      </c>
      <c r="Q487" s="7"/>
      <c r="R487" s="7"/>
      <c r="S487" s="7"/>
      <c r="T487" s="7"/>
      <c r="U487" s="7"/>
      <c r="W487" s="234" t="s">
        <v>23</v>
      </c>
      <c r="X487" s="7"/>
      <c r="Y487" s="7"/>
      <c r="Z487" s="7"/>
      <c r="AA487" s="7"/>
      <c r="AB487" s="7"/>
      <c r="AD487" s="234" t="s">
        <v>23</v>
      </c>
      <c r="AE487" s="7"/>
      <c r="AF487" s="7"/>
      <c r="AG487" s="7"/>
      <c r="AH487" s="7"/>
      <c r="AI487" s="7"/>
      <c r="AK487" s="234" t="s">
        <v>23</v>
      </c>
      <c r="AL487" s="7"/>
      <c r="AM487" s="7"/>
      <c r="AN487" s="7"/>
      <c r="AO487" s="7"/>
      <c r="AP487" s="7"/>
      <c r="AQ487" s="3"/>
    </row>
    <row r="488" spans="2:43" x14ac:dyDescent="0.35">
      <c r="B488" t="s">
        <v>241</v>
      </c>
      <c r="C488" s="2">
        <v>0</v>
      </c>
      <c r="D488" s="2">
        <v>1827698283.9245198</v>
      </c>
      <c r="E488" s="2">
        <v>0</v>
      </c>
      <c r="F488" s="2">
        <v>0</v>
      </c>
      <c r="G488" s="233">
        <v>1827698283.9245198</v>
      </c>
      <c r="I488" t="s">
        <v>241</v>
      </c>
      <c r="J488" s="2">
        <v>0</v>
      </c>
      <c r="K488" s="2">
        <v>357236095.77277207</v>
      </c>
      <c r="L488" s="2">
        <v>0</v>
      </c>
      <c r="M488" s="2">
        <v>0</v>
      </c>
      <c r="N488" s="233">
        <v>357236095.77277207</v>
      </c>
      <c r="P488" t="s">
        <v>241</v>
      </c>
      <c r="Q488" s="2">
        <v>0</v>
      </c>
      <c r="R488" s="2">
        <v>464663618.19711971</v>
      </c>
      <c r="S488" s="2">
        <v>0</v>
      </c>
      <c r="T488" s="2">
        <v>0</v>
      </c>
      <c r="U488" s="233">
        <v>464663618.19711971</v>
      </c>
      <c r="W488" t="s">
        <v>241</v>
      </c>
      <c r="X488" s="2">
        <v>0</v>
      </c>
      <c r="Y488" s="2">
        <v>821899713.96989179</v>
      </c>
      <c r="Z488" s="2">
        <v>0</v>
      </c>
      <c r="AA488" s="2">
        <v>0</v>
      </c>
      <c r="AB488" s="233">
        <v>821899713.96989179</v>
      </c>
      <c r="AD488" t="s">
        <v>241</v>
      </c>
      <c r="AE488" s="2">
        <v>0</v>
      </c>
      <c r="AF488" s="2">
        <v>499350513.75177073</v>
      </c>
      <c r="AG488" s="2">
        <v>0</v>
      </c>
      <c r="AH488" s="2">
        <v>0</v>
      </c>
      <c r="AI488" s="233">
        <v>499350513.75177073</v>
      </c>
      <c r="AK488" t="s">
        <v>241</v>
      </c>
      <c r="AL488" s="2">
        <v>0</v>
      </c>
      <c r="AM488" s="2">
        <v>506448056.20285726</v>
      </c>
      <c r="AN488" s="2">
        <v>0</v>
      </c>
      <c r="AO488" s="2">
        <v>0</v>
      </c>
      <c r="AP488" s="233">
        <v>506448056.20285726</v>
      </c>
      <c r="AQ488" s="3"/>
    </row>
    <row r="489" spans="2:43" x14ac:dyDescent="0.35">
      <c r="B489" t="s">
        <v>231</v>
      </c>
      <c r="C489" s="2">
        <v>0</v>
      </c>
      <c r="D489" s="2">
        <v>-1595785101.9923723</v>
      </c>
      <c r="E489" s="2">
        <v>0</v>
      </c>
      <c r="F489" s="2">
        <v>0</v>
      </c>
      <c r="G489" s="233">
        <v>-1595785101.9923723</v>
      </c>
      <c r="I489" t="s">
        <v>231</v>
      </c>
      <c r="J489" s="2">
        <v>0</v>
      </c>
      <c r="K489" s="2">
        <v>-405100290.93377209</v>
      </c>
      <c r="L489" s="2">
        <v>0</v>
      </c>
      <c r="M489" s="2">
        <v>0</v>
      </c>
      <c r="N489" s="233">
        <v>-405100290.93377209</v>
      </c>
      <c r="P489" t="s">
        <v>231</v>
      </c>
      <c r="Q489" s="2">
        <v>0</v>
      </c>
      <c r="R489" s="2">
        <v>-379363297.20658612</v>
      </c>
      <c r="S489" s="2">
        <v>0</v>
      </c>
      <c r="T489" s="2">
        <v>0</v>
      </c>
      <c r="U489" s="233">
        <v>-379363297.20658612</v>
      </c>
      <c r="W489" t="s">
        <v>231</v>
      </c>
      <c r="X489" s="2">
        <v>0</v>
      </c>
      <c r="Y489" s="2">
        <v>-784463588.14035821</v>
      </c>
      <c r="Z489" s="2">
        <v>0</v>
      </c>
      <c r="AA489" s="2">
        <v>0</v>
      </c>
      <c r="AB489" s="233">
        <v>-784463588.14035821</v>
      </c>
      <c r="AD489" t="s">
        <v>231</v>
      </c>
      <c r="AE489" s="2">
        <v>0</v>
      </c>
      <c r="AF489" s="2">
        <v>-431096912.7462852</v>
      </c>
      <c r="AG489" s="2">
        <v>0</v>
      </c>
      <c r="AH489" s="2">
        <v>0</v>
      </c>
      <c r="AI489" s="233">
        <v>-431096912.7462852</v>
      </c>
      <c r="AK489" t="s">
        <v>231</v>
      </c>
      <c r="AL489" s="2">
        <v>0</v>
      </c>
      <c r="AM489" s="2">
        <v>-380224601.10572886</v>
      </c>
      <c r="AN489" s="2">
        <v>0</v>
      </c>
      <c r="AO489" s="2">
        <v>0</v>
      </c>
      <c r="AP489" s="233">
        <v>-380224601.10572886</v>
      </c>
      <c r="AQ489" s="3"/>
    </row>
    <row r="490" spans="2:43" ht="15" thickBot="1" x14ac:dyDescent="0.4">
      <c r="B490" s="236" t="s">
        <v>232</v>
      </c>
      <c r="C490" s="238">
        <v>0</v>
      </c>
      <c r="D490" s="238">
        <v>231913181.9321475</v>
      </c>
      <c r="E490" s="238">
        <v>0</v>
      </c>
      <c r="F490" s="238">
        <v>0</v>
      </c>
      <c r="G490" s="238">
        <v>231913181.9321475</v>
      </c>
      <c r="I490" s="236" t="s">
        <v>232</v>
      </c>
      <c r="J490" s="238">
        <v>0</v>
      </c>
      <c r="K490" s="238">
        <v>-47864195.161000013</v>
      </c>
      <c r="L490" s="238">
        <v>0</v>
      </c>
      <c r="M490" s="238">
        <v>0</v>
      </c>
      <c r="N490" s="238">
        <v>-47864195.161000013</v>
      </c>
      <c r="P490" s="236" t="s">
        <v>232</v>
      </c>
      <c r="Q490" s="238">
        <v>0</v>
      </c>
      <c r="R490" s="238">
        <v>85300320.99053359</v>
      </c>
      <c r="S490" s="238">
        <v>0</v>
      </c>
      <c r="T490" s="238">
        <v>0</v>
      </c>
      <c r="U490" s="238">
        <v>85300320.99053359</v>
      </c>
      <c r="W490" s="236" t="s">
        <v>232</v>
      </c>
      <c r="X490" s="238">
        <v>0</v>
      </c>
      <c r="Y490" s="238">
        <v>37436125.829533577</v>
      </c>
      <c r="Z490" s="238">
        <v>0</v>
      </c>
      <c r="AA490" s="238">
        <v>0</v>
      </c>
      <c r="AB490" s="238">
        <v>37436125.829533577</v>
      </c>
      <c r="AD490" s="236" t="s">
        <v>232</v>
      </c>
      <c r="AE490" s="238">
        <v>0</v>
      </c>
      <c r="AF490" s="238">
        <v>68253601.005485535</v>
      </c>
      <c r="AG490" s="238">
        <v>0</v>
      </c>
      <c r="AH490" s="238">
        <v>0</v>
      </c>
      <c r="AI490" s="238">
        <v>68253601.005485535</v>
      </c>
      <c r="AK490" s="236" t="s">
        <v>232</v>
      </c>
      <c r="AL490" s="238">
        <v>0</v>
      </c>
      <c r="AM490" s="238">
        <v>126223455.09712839</v>
      </c>
      <c r="AN490" s="238">
        <v>0</v>
      </c>
      <c r="AO490" s="238">
        <v>0</v>
      </c>
      <c r="AP490" s="238">
        <v>126223455.09712839</v>
      </c>
      <c r="AQ490" s="3"/>
    </row>
    <row r="491" spans="2:43" ht="15" thickTop="1" x14ac:dyDescent="0.35">
      <c r="B491" t="s">
        <v>233</v>
      </c>
      <c r="C491" s="2">
        <v>0</v>
      </c>
      <c r="D491" s="2">
        <v>-504027835.02679831</v>
      </c>
      <c r="E491" s="2">
        <v>0</v>
      </c>
      <c r="F491" s="2">
        <v>0</v>
      </c>
      <c r="G491" s="233">
        <v>-504027835.02679831</v>
      </c>
      <c r="I491" t="s">
        <v>233</v>
      </c>
      <c r="J491" s="2">
        <v>0</v>
      </c>
      <c r="K491" s="2">
        <v>-89063298.684031114</v>
      </c>
      <c r="L491" s="2">
        <v>0</v>
      </c>
      <c r="M491" s="2">
        <v>0</v>
      </c>
      <c r="N491" s="233">
        <v>-89063298.684031114</v>
      </c>
      <c r="P491" t="s">
        <v>233</v>
      </c>
      <c r="Q491" s="2">
        <v>0</v>
      </c>
      <c r="R491" s="2">
        <v>-137272716.15860713</v>
      </c>
      <c r="S491" s="2">
        <v>0</v>
      </c>
      <c r="T491" s="2">
        <v>0</v>
      </c>
      <c r="U491" s="233">
        <v>-137272716.15860713</v>
      </c>
      <c r="W491" t="s">
        <v>233</v>
      </c>
      <c r="X491" s="2">
        <v>0</v>
      </c>
      <c r="Y491" s="2">
        <v>-226336014.84263825</v>
      </c>
      <c r="Z491" s="2">
        <v>0</v>
      </c>
      <c r="AA491" s="2">
        <v>0</v>
      </c>
      <c r="AB491" s="233">
        <v>-226336014.84263825</v>
      </c>
      <c r="AD491" t="s">
        <v>233</v>
      </c>
      <c r="AE491" s="2">
        <v>0</v>
      </c>
      <c r="AF491" s="2">
        <v>-131070771.90214074</v>
      </c>
      <c r="AG491" s="2">
        <v>0</v>
      </c>
      <c r="AH491" s="2">
        <v>0</v>
      </c>
      <c r="AI491" s="233">
        <v>-131070771.90214074</v>
      </c>
      <c r="AK491" t="s">
        <v>233</v>
      </c>
      <c r="AL491" s="2">
        <v>0</v>
      </c>
      <c r="AM491" s="2">
        <v>-146621048.28201932</v>
      </c>
      <c r="AN491" s="2">
        <v>0</v>
      </c>
      <c r="AO491" s="2">
        <v>0</v>
      </c>
      <c r="AP491" s="233">
        <v>-146621048.28201932</v>
      </c>
      <c r="AQ491" s="3"/>
    </row>
    <row r="492" spans="2:43" x14ac:dyDescent="0.35">
      <c r="B492" t="s">
        <v>234</v>
      </c>
      <c r="C492" s="2">
        <v>0</v>
      </c>
      <c r="D492" s="2">
        <v>497517279.39707416</v>
      </c>
      <c r="E492" s="2">
        <v>0</v>
      </c>
      <c r="F492" s="2">
        <v>0</v>
      </c>
      <c r="G492" s="233">
        <v>497517279.39707416</v>
      </c>
      <c r="I492" t="s">
        <v>234</v>
      </c>
      <c r="J492" s="2">
        <v>0</v>
      </c>
      <c r="K492" s="2">
        <v>145581053.61453649</v>
      </c>
      <c r="L492" s="2">
        <v>0</v>
      </c>
      <c r="M492" s="2">
        <v>0</v>
      </c>
      <c r="N492" s="233">
        <v>145581053.61453649</v>
      </c>
      <c r="P492" t="s">
        <v>234</v>
      </c>
      <c r="Q492" s="2">
        <v>0</v>
      </c>
      <c r="R492" s="2">
        <v>118648006.21448985</v>
      </c>
      <c r="S492" s="2">
        <v>0</v>
      </c>
      <c r="T492" s="2">
        <v>0</v>
      </c>
      <c r="U492" s="233">
        <v>118648006.21448985</v>
      </c>
      <c r="W492" t="s">
        <v>234</v>
      </c>
      <c r="X492" s="2">
        <v>0</v>
      </c>
      <c r="Y492" s="2">
        <v>264229059.82902634</v>
      </c>
      <c r="Z492" s="2">
        <v>0</v>
      </c>
      <c r="AA492" s="2">
        <v>0</v>
      </c>
      <c r="AB492" s="233">
        <v>264229059.82902634</v>
      </c>
      <c r="AD492" t="s">
        <v>234</v>
      </c>
      <c r="AE492" s="2">
        <v>0</v>
      </c>
      <c r="AF492" s="2">
        <v>141815760.73909378</v>
      </c>
      <c r="AG492" s="2">
        <v>0</v>
      </c>
      <c r="AH492" s="2">
        <v>0</v>
      </c>
      <c r="AI492" s="233">
        <v>141815760.73909378</v>
      </c>
      <c r="AK492" t="s">
        <v>234</v>
      </c>
      <c r="AL492" s="2">
        <v>0</v>
      </c>
      <c r="AM492" s="2">
        <v>91472458.828954041</v>
      </c>
      <c r="AN492" s="2">
        <v>0</v>
      </c>
      <c r="AO492" s="2">
        <v>0</v>
      </c>
      <c r="AP492" s="233">
        <v>91472458.828954041</v>
      </c>
      <c r="AQ492" s="3"/>
    </row>
    <row r="493" spans="2:43" ht="15" thickBot="1" x14ac:dyDescent="0.4">
      <c r="B493" s="236" t="s">
        <v>235</v>
      </c>
      <c r="C493" s="238">
        <v>0</v>
      </c>
      <c r="D493" s="238">
        <v>-6510555.6297241449</v>
      </c>
      <c r="E493" s="238">
        <v>0</v>
      </c>
      <c r="F493" s="238">
        <v>0</v>
      </c>
      <c r="G493" s="238">
        <v>-6510555.6297241449</v>
      </c>
      <c r="I493" s="236" t="s">
        <v>235</v>
      </c>
      <c r="J493" s="238">
        <v>0</v>
      </c>
      <c r="K493" s="238">
        <v>56517754.93050538</v>
      </c>
      <c r="L493" s="238">
        <v>0</v>
      </c>
      <c r="M493" s="238">
        <v>0</v>
      </c>
      <c r="N493" s="238">
        <v>56517754.93050538</v>
      </c>
      <c r="P493" s="236" t="s">
        <v>235</v>
      </c>
      <c r="Q493" s="238">
        <v>0</v>
      </c>
      <c r="R493" s="238">
        <v>-18624709.944117278</v>
      </c>
      <c r="S493" s="238">
        <v>0</v>
      </c>
      <c r="T493" s="238">
        <v>0</v>
      </c>
      <c r="U493" s="238">
        <v>-18624709.944117278</v>
      </c>
      <c r="W493" s="236" t="s">
        <v>235</v>
      </c>
      <c r="X493" s="238">
        <v>0</v>
      </c>
      <c r="Y493" s="238">
        <v>37893044.986388087</v>
      </c>
      <c r="Z493" s="238">
        <v>0</v>
      </c>
      <c r="AA493" s="238">
        <v>0</v>
      </c>
      <c r="AB493" s="238">
        <v>37893044.986388087</v>
      </c>
      <c r="AD493" s="236" t="s">
        <v>235</v>
      </c>
      <c r="AE493" s="238">
        <v>0</v>
      </c>
      <c r="AF493" s="238">
        <v>10744988.836953044</v>
      </c>
      <c r="AG493" s="238">
        <v>0</v>
      </c>
      <c r="AH493" s="238">
        <v>0</v>
      </c>
      <c r="AI493" s="238">
        <v>10744988.836953044</v>
      </c>
      <c r="AK493" s="236" t="s">
        <v>235</v>
      </c>
      <c r="AL493" s="238">
        <v>0</v>
      </c>
      <c r="AM493" s="238">
        <v>-55148589.453065276</v>
      </c>
      <c r="AN493" s="238">
        <v>0</v>
      </c>
      <c r="AO493" s="238">
        <v>0</v>
      </c>
      <c r="AP493" s="238">
        <v>-55148589.453065276</v>
      </c>
      <c r="AQ493" s="3"/>
    </row>
    <row r="494" spans="2:43" ht="15" thickTop="1" x14ac:dyDescent="0.35">
      <c r="C494" s="2"/>
      <c r="D494" s="2"/>
      <c r="E494" s="2"/>
      <c r="F494" s="2"/>
      <c r="G494" s="2"/>
      <c r="J494" s="2"/>
      <c r="K494" s="2"/>
      <c r="L494" s="2"/>
      <c r="M494" s="2"/>
      <c r="N494" s="2"/>
      <c r="Q494" s="2"/>
      <c r="R494" s="2"/>
      <c r="S494" s="2"/>
      <c r="T494" s="2"/>
      <c r="U494" s="2"/>
      <c r="X494" s="2"/>
      <c r="Y494" s="2"/>
      <c r="Z494" s="2"/>
      <c r="AA494" s="2"/>
      <c r="AB494" s="2"/>
      <c r="AE494" s="2"/>
      <c r="AF494" s="2"/>
      <c r="AG494" s="2"/>
      <c r="AH494" s="2"/>
      <c r="AI494" s="2"/>
      <c r="AL494" s="2"/>
      <c r="AM494" s="2"/>
      <c r="AN494" s="2"/>
      <c r="AO494" s="2"/>
      <c r="AP494" s="2"/>
      <c r="AQ494" s="3"/>
    </row>
    <row r="495" spans="2:43" x14ac:dyDescent="0.35">
      <c r="B495" t="s">
        <v>236</v>
      </c>
      <c r="C495" s="2">
        <v>0</v>
      </c>
      <c r="D495" s="2">
        <v>-44011834.814543001</v>
      </c>
      <c r="E495" s="2">
        <v>0</v>
      </c>
      <c r="F495" s="2">
        <v>0</v>
      </c>
      <c r="G495" s="233">
        <v>-44011834.814543001</v>
      </c>
      <c r="I495" t="s">
        <v>236</v>
      </c>
      <c r="J495" s="2">
        <v>0</v>
      </c>
      <c r="K495" s="2">
        <v>-12864179.308372848</v>
      </c>
      <c r="L495" s="2">
        <v>0</v>
      </c>
      <c r="M495" s="2">
        <v>0</v>
      </c>
      <c r="N495" s="233">
        <v>-12864179.308372848</v>
      </c>
      <c r="P495" t="s">
        <v>236</v>
      </c>
      <c r="Q495" s="2">
        <v>0</v>
      </c>
      <c r="R495" s="2">
        <v>-10184863.839771803</v>
      </c>
      <c r="S495" s="2">
        <v>0</v>
      </c>
      <c r="T495" s="2">
        <v>0</v>
      </c>
      <c r="U495" s="233">
        <v>-10184863.839771803</v>
      </c>
      <c r="W495" t="s">
        <v>236</v>
      </c>
      <c r="X495" s="2">
        <v>0</v>
      </c>
      <c r="Y495" s="2">
        <v>-23049043.148144651</v>
      </c>
      <c r="Z495" s="2">
        <v>0</v>
      </c>
      <c r="AA495" s="2">
        <v>0</v>
      </c>
      <c r="AB495" s="233">
        <v>-23049043.148144651</v>
      </c>
      <c r="AD495" t="s">
        <v>236</v>
      </c>
      <c r="AE495" s="2">
        <v>0</v>
      </c>
      <c r="AF495" s="2">
        <v>-12765964.486915972</v>
      </c>
      <c r="AG495" s="2">
        <v>0</v>
      </c>
      <c r="AH495" s="2">
        <v>0</v>
      </c>
      <c r="AI495" s="233">
        <v>-12765964.486915972</v>
      </c>
      <c r="AK495" t="s">
        <v>236</v>
      </c>
      <c r="AL495" s="2">
        <v>0</v>
      </c>
      <c r="AM495" s="2">
        <v>-8196827.1794823781</v>
      </c>
      <c r="AN495" s="2">
        <v>0</v>
      </c>
      <c r="AO495" s="2">
        <v>0</v>
      </c>
      <c r="AP495" s="233">
        <v>-8196827.1794823781</v>
      </c>
      <c r="AQ495" s="3"/>
    </row>
    <row r="496" spans="2:43" x14ac:dyDescent="0.35">
      <c r="B496" t="s">
        <v>237</v>
      </c>
      <c r="C496" s="2">
        <v>0</v>
      </c>
      <c r="D496" s="2">
        <v>24252507.678011999</v>
      </c>
      <c r="E496" s="2">
        <v>0</v>
      </c>
      <c r="F496" s="2">
        <v>0</v>
      </c>
      <c r="G496" s="233">
        <v>24252507.678011999</v>
      </c>
      <c r="I496" t="s">
        <v>237</v>
      </c>
      <c r="J496" s="2">
        <v>0</v>
      </c>
      <c r="K496" s="2">
        <v>7421060.2136769574</v>
      </c>
      <c r="L496" s="2">
        <v>0</v>
      </c>
      <c r="M496" s="2">
        <v>0</v>
      </c>
      <c r="N496" s="233">
        <v>7421060.2136769574</v>
      </c>
      <c r="P496" t="s">
        <v>237</v>
      </c>
      <c r="Q496" s="2">
        <v>0</v>
      </c>
      <c r="R496" s="2">
        <v>6400102.3554837238</v>
      </c>
      <c r="S496" s="2">
        <v>0</v>
      </c>
      <c r="T496" s="2">
        <v>0</v>
      </c>
      <c r="U496" s="233">
        <v>6400102.3554837238</v>
      </c>
      <c r="W496" t="s">
        <v>237</v>
      </c>
      <c r="X496" s="2">
        <v>0</v>
      </c>
      <c r="Y496" s="2">
        <v>13821162.569160681</v>
      </c>
      <c r="Z496" s="2">
        <v>0</v>
      </c>
      <c r="AA496" s="2">
        <v>0</v>
      </c>
      <c r="AB496" s="233">
        <v>13821162.569160681</v>
      </c>
      <c r="AD496" t="s">
        <v>237</v>
      </c>
      <c r="AE496" s="2">
        <v>0</v>
      </c>
      <c r="AF496" s="2">
        <v>6428195.9565922879</v>
      </c>
      <c r="AG496" s="2">
        <v>0</v>
      </c>
      <c r="AH496" s="2">
        <v>0</v>
      </c>
      <c r="AI496" s="233">
        <v>6428195.9565922879</v>
      </c>
      <c r="AK496" t="s">
        <v>237</v>
      </c>
      <c r="AL496" s="2">
        <v>0</v>
      </c>
      <c r="AM496" s="2">
        <v>4003149.1522590294</v>
      </c>
      <c r="AN496" s="2">
        <v>0</v>
      </c>
      <c r="AO496" s="2">
        <v>0</v>
      </c>
      <c r="AP496" s="233">
        <v>4003149.1522590294</v>
      </c>
      <c r="AQ496" s="3"/>
    </row>
    <row r="497" spans="2:43" x14ac:dyDescent="0.35">
      <c r="B497" s="5" t="s">
        <v>90</v>
      </c>
      <c r="C497" s="235">
        <v>0</v>
      </c>
      <c r="D497" s="235">
        <v>205643299.16589236</v>
      </c>
      <c r="E497" s="235">
        <v>0</v>
      </c>
      <c r="F497" s="235">
        <v>0</v>
      </c>
      <c r="G497" s="235">
        <v>205643299.16589236</v>
      </c>
      <c r="I497" s="5" t="s">
        <v>90</v>
      </c>
      <c r="J497" s="235">
        <v>0</v>
      </c>
      <c r="K497" s="235">
        <v>3210440.6748094764</v>
      </c>
      <c r="L497" s="235">
        <v>0</v>
      </c>
      <c r="M497" s="235">
        <v>0</v>
      </c>
      <c r="N497" s="235">
        <v>3210440.6748094764</v>
      </c>
      <c r="P497" s="5" t="s">
        <v>90</v>
      </c>
      <c r="Q497" s="235">
        <v>0</v>
      </c>
      <c r="R497" s="235">
        <v>62890849.562128231</v>
      </c>
      <c r="S497" s="235">
        <v>0</v>
      </c>
      <c r="T497" s="235">
        <v>0</v>
      </c>
      <c r="U497" s="235">
        <v>62890849.562128231</v>
      </c>
      <c r="W497" s="5" t="s">
        <v>90</v>
      </c>
      <c r="X497" s="235">
        <v>0</v>
      </c>
      <c r="Y497" s="235">
        <v>66101290.236937702</v>
      </c>
      <c r="Z497" s="235">
        <v>0</v>
      </c>
      <c r="AA497" s="235">
        <v>0</v>
      </c>
      <c r="AB497" s="235">
        <v>66101290.236937702</v>
      </c>
      <c r="AD497" s="5" t="s">
        <v>90</v>
      </c>
      <c r="AE497" s="235">
        <v>0</v>
      </c>
      <c r="AF497" s="235">
        <v>72660821.312114894</v>
      </c>
      <c r="AG497" s="235">
        <v>0</v>
      </c>
      <c r="AH497" s="235">
        <v>0</v>
      </c>
      <c r="AI497" s="235">
        <v>72660821.312114894</v>
      </c>
      <c r="AK497" s="5" t="s">
        <v>90</v>
      </c>
      <c r="AL497" s="235">
        <v>0</v>
      </c>
      <c r="AM497" s="235">
        <v>66881187.616839767</v>
      </c>
      <c r="AN497" s="235">
        <v>0</v>
      </c>
      <c r="AO497" s="235">
        <v>0</v>
      </c>
      <c r="AP497" s="235">
        <v>66881187.616839767</v>
      </c>
      <c r="AQ497" s="3"/>
    </row>
    <row r="498" spans="2:43" x14ac:dyDescent="0.35">
      <c r="B498" s="6"/>
      <c r="C498" s="7"/>
      <c r="D498" s="7"/>
      <c r="E498" s="7"/>
      <c r="F498" s="7"/>
      <c r="G498" s="7"/>
      <c r="I498" s="6"/>
      <c r="J498" s="7"/>
      <c r="K498" s="7"/>
      <c r="L498" s="7"/>
      <c r="M498" s="7"/>
      <c r="N498" s="7"/>
      <c r="P498" s="6"/>
      <c r="Q498" s="7"/>
      <c r="R498" s="7"/>
      <c r="S498" s="7"/>
      <c r="T498" s="7"/>
      <c r="U498" s="7"/>
      <c r="W498" s="6"/>
      <c r="X498" s="7"/>
      <c r="Y498" s="7"/>
      <c r="Z498" s="7"/>
      <c r="AA498" s="7"/>
      <c r="AB498" s="7"/>
      <c r="AD498" s="6"/>
      <c r="AE498" s="7"/>
      <c r="AF498" s="7"/>
      <c r="AG498" s="7"/>
      <c r="AH498" s="7"/>
      <c r="AI498" s="7"/>
      <c r="AK498" s="6"/>
      <c r="AL498" s="7"/>
      <c r="AM498" s="7"/>
      <c r="AN498" s="7"/>
      <c r="AO498" s="7"/>
      <c r="AP498" s="7"/>
      <c r="AQ498" s="3"/>
    </row>
    <row r="499" spans="2:43" x14ac:dyDescent="0.35">
      <c r="B499" s="16" t="s">
        <v>89</v>
      </c>
      <c r="C499" s="23">
        <v>0</v>
      </c>
      <c r="D499" s="23">
        <v>212355088</v>
      </c>
      <c r="E499" s="23">
        <v>2346951.4500000002</v>
      </c>
      <c r="F499" s="23">
        <v>0</v>
      </c>
      <c r="G499" s="28">
        <v>214702039.44999999</v>
      </c>
      <c r="I499" s="16" t="s">
        <v>89</v>
      </c>
      <c r="J499" s="23">
        <v>0</v>
      </c>
      <c r="K499" s="23">
        <v>50043174</v>
      </c>
      <c r="L499" s="23">
        <v>796901.7</v>
      </c>
      <c r="M499" s="23">
        <v>0</v>
      </c>
      <c r="N499" s="28">
        <v>50840075.700000003</v>
      </c>
      <c r="P499" s="16" t="s">
        <v>89</v>
      </c>
      <c r="Q499" s="23">
        <v>0</v>
      </c>
      <c r="R499" s="23">
        <v>52501263.312403947</v>
      </c>
      <c r="S499" s="23">
        <v>1032756.1500000001</v>
      </c>
      <c r="T499" s="23">
        <v>0</v>
      </c>
      <c r="U499" s="28">
        <v>53534019.462403946</v>
      </c>
      <c r="W499" s="16" t="s">
        <v>89</v>
      </c>
      <c r="X499" s="23">
        <v>0</v>
      </c>
      <c r="Y499" s="23">
        <v>102544437.31240395</v>
      </c>
      <c r="Z499" s="23">
        <v>1829657.85</v>
      </c>
      <c r="AA499" s="23">
        <v>0</v>
      </c>
      <c r="AB499" s="28">
        <v>104374095.16240394</v>
      </c>
      <c r="AD499" s="16" t="s">
        <v>89</v>
      </c>
      <c r="AE499" s="23">
        <v>0</v>
      </c>
      <c r="AF499" s="23">
        <v>54156138.687596053</v>
      </c>
      <c r="AG499" s="23">
        <v>1937554.35</v>
      </c>
      <c r="AH499" s="23">
        <v>0</v>
      </c>
      <c r="AI499" s="28">
        <v>56093693.037596054</v>
      </c>
      <c r="AK499" s="16" t="s">
        <v>89</v>
      </c>
      <c r="AL499" s="23">
        <v>0</v>
      </c>
      <c r="AM499" s="23">
        <v>55654512</v>
      </c>
      <c r="AN499" s="23">
        <v>-1420260.75</v>
      </c>
      <c r="AO499" s="23">
        <v>0</v>
      </c>
      <c r="AP499" s="28">
        <v>54234251.25</v>
      </c>
      <c r="AQ499" s="3"/>
    </row>
    <row r="500" spans="2:43" x14ac:dyDescent="0.35">
      <c r="C500" s="2"/>
      <c r="D500" s="2"/>
      <c r="E500" s="2"/>
      <c r="F500" s="2"/>
      <c r="G500" s="2"/>
      <c r="J500" s="2"/>
      <c r="K500" s="2"/>
      <c r="L500" s="2"/>
      <c r="M500" s="2"/>
      <c r="N500" s="2"/>
      <c r="Q500" s="2"/>
      <c r="R500" s="2"/>
      <c r="S500" s="2"/>
      <c r="T500" s="2"/>
      <c r="U500" s="2"/>
      <c r="X500" s="2"/>
      <c r="Y500" s="2"/>
      <c r="Z500" s="2"/>
      <c r="AA500" s="2"/>
      <c r="AB500" s="2"/>
      <c r="AE500" s="2"/>
      <c r="AF500" s="2"/>
      <c r="AG500" s="2"/>
      <c r="AH500" s="2"/>
      <c r="AI500" s="2"/>
      <c r="AL500" s="2"/>
      <c r="AM500" s="2"/>
      <c r="AN500" s="2"/>
      <c r="AO500" s="2"/>
      <c r="AP500" s="2"/>
      <c r="AQ500" s="3"/>
    </row>
    <row r="501" spans="2:43" x14ac:dyDescent="0.35">
      <c r="B501" t="s">
        <v>31</v>
      </c>
      <c r="C501" s="2">
        <v>0</v>
      </c>
      <c r="D501" s="2">
        <v>0</v>
      </c>
      <c r="E501" s="2">
        <v>128055796.17</v>
      </c>
      <c r="F501" s="2">
        <v>0</v>
      </c>
      <c r="G501" s="233">
        <v>128055796.17</v>
      </c>
      <c r="I501" t="s">
        <v>31</v>
      </c>
      <c r="J501" s="2">
        <v>0</v>
      </c>
      <c r="K501" s="2">
        <v>5746</v>
      </c>
      <c r="L501" s="2">
        <v>26697450.239999995</v>
      </c>
      <c r="M501" s="2">
        <v>0</v>
      </c>
      <c r="N501" s="233">
        <v>26703196.239999995</v>
      </c>
      <c r="P501" t="s">
        <v>31</v>
      </c>
      <c r="Q501" s="2">
        <v>0</v>
      </c>
      <c r="R501" s="2">
        <v>-5746</v>
      </c>
      <c r="S501" s="2">
        <v>26912109.859999992</v>
      </c>
      <c r="T501" s="2">
        <v>0</v>
      </c>
      <c r="U501" s="233">
        <v>26906363.859999992</v>
      </c>
      <c r="W501" t="s">
        <v>31</v>
      </c>
      <c r="X501" s="2">
        <v>0</v>
      </c>
      <c r="Y501" s="2">
        <v>0</v>
      </c>
      <c r="Z501" s="2">
        <v>53609560.099999987</v>
      </c>
      <c r="AA501" s="2">
        <v>0</v>
      </c>
      <c r="AB501" s="233">
        <v>53609560.099999987</v>
      </c>
      <c r="AD501" t="s">
        <v>31</v>
      </c>
      <c r="AE501" s="2">
        <v>0</v>
      </c>
      <c r="AF501" s="2">
        <v>0</v>
      </c>
      <c r="AG501" s="2">
        <v>32130087.57</v>
      </c>
      <c r="AH501" s="2">
        <v>0</v>
      </c>
      <c r="AI501" s="233">
        <v>32130087.57</v>
      </c>
      <c r="AK501" t="s">
        <v>31</v>
      </c>
      <c r="AL501" s="2">
        <v>0</v>
      </c>
      <c r="AM501" s="2">
        <v>0</v>
      </c>
      <c r="AN501" s="2">
        <v>42316148.500000022</v>
      </c>
      <c r="AO501" s="2">
        <v>0</v>
      </c>
      <c r="AP501" s="233">
        <v>42316148.500000022</v>
      </c>
      <c r="AQ501" s="3"/>
    </row>
    <row r="502" spans="2:43" x14ac:dyDescent="0.35">
      <c r="B502" t="s">
        <v>32</v>
      </c>
      <c r="C502" s="2">
        <v>0</v>
      </c>
      <c r="D502" s="2">
        <v>0</v>
      </c>
      <c r="E502" s="2">
        <v>-58072037.780000001</v>
      </c>
      <c r="F502" s="2">
        <v>0</v>
      </c>
      <c r="G502" s="233">
        <v>-58072037.780000001</v>
      </c>
      <c r="I502" t="s">
        <v>32</v>
      </c>
      <c r="J502" s="2">
        <v>0</v>
      </c>
      <c r="K502" s="2">
        <v>0</v>
      </c>
      <c r="L502" s="2">
        <v>-10025804.930000002</v>
      </c>
      <c r="M502" s="2">
        <v>0</v>
      </c>
      <c r="N502" s="233">
        <v>-10025804.930000002</v>
      </c>
      <c r="P502" t="s">
        <v>32</v>
      </c>
      <c r="Q502" s="2">
        <v>0</v>
      </c>
      <c r="R502" s="2">
        <v>0</v>
      </c>
      <c r="S502" s="2">
        <v>-10046916.109999998</v>
      </c>
      <c r="T502" s="2">
        <v>0</v>
      </c>
      <c r="U502" s="233">
        <v>-10046916.109999998</v>
      </c>
      <c r="W502" t="s">
        <v>32</v>
      </c>
      <c r="X502" s="2">
        <v>0</v>
      </c>
      <c r="Y502" s="2">
        <v>0</v>
      </c>
      <c r="Z502" s="2">
        <v>-20072721.039999999</v>
      </c>
      <c r="AA502" s="2">
        <v>0</v>
      </c>
      <c r="AB502" s="233">
        <v>-20072721.039999999</v>
      </c>
      <c r="AD502" t="s">
        <v>32</v>
      </c>
      <c r="AE502" s="2">
        <v>0</v>
      </c>
      <c r="AF502" s="2">
        <v>0</v>
      </c>
      <c r="AG502" s="2">
        <v>-11913317.98</v>
      </c>
      <c r="AH502" s="2">
        <v>0</v>
      </c>
      <c r="AI502" s="233">
        <v>-11913317.98</v>
      </c>
      <c r="AK502" t="s">
        <v>32</v>
      </c>
      <c r="AL502" s="2">
        <v>0</v>
      </c>
      <c r="AM502" s="2">
        <v>0</v>
      </c>
      <c r="AN502" s="2">
        <v>-26085998.760000002</v>
      </c>
      <c r="AO502" s="2">
        <v>0</v>
      </c>
      <c r="AP502" s="233">
        <v>-26085998.760000002</v>
      </c>
      <c r="AQ502" s="3"/>
    </row>
    <row r="503" spans="2:43" x14ac:dyDescent="0.35">
      <c r="B503" s="239" t="s">
        <v>33</v>
      </c>
      <c r="C503" s="235">
        <v>0</v>
      </c>
      <c r="D503" s="235">
        <v>0</v>
      </c>
      <c r="E503" s="235">
        <v>69983758.390000001</v>
      </c>
      <c r="F503" s="235">
        <v>0</v>
      </c>
      <c r="G503" s="235">
        <v>69983758.390000001</v>
      </c>
      <c r="I503" s="239" t="s">
        <v>33</v>
      </c>
      <c r="J503" s="235">
        <v>0</v>
      </c>
      <c r="K503" s="235">
        <v>5746</v>
      </c>
      <c r="L503" s="235">
        <v>16671645.309999993</v>
      </c>
      <c r="M503" s="235">
        <v>0</v>
      </c>
      <c r="N503" s="235">
        <v>16677391.309999993</v>
      </c>
      <c r="P503" s="239" t="s">
        <v>33</v>
      </c>
      <c r="Q503" s="235">
        <v>0</v>
      </c>
      <c r="R503" s="235">
        <v>-5746</v>
      </c>
      <c r="S503" s="235">
        <v>16865193.749999993</v>
      </c>
      <c r="T503" s="235">
        <v>0</v>
      </c>
      <c r="U503" s="235">
        <v>16859447.749999993</v>
      </c>
      <c r="W503" s="239" t="s">
        <v>33</v>
      </c>
      <c r="X503" s="235">
        <v>0</v>
      </c>
      <c r="Y503" s="235">
        <v>0</v>
      </c>
      <c r="Z503" s="235">
        <v>33536839.059999987</v>
      </c>
      <c r="AA503" s="235">
        <v>0</v>
      </c>
      <c r="AB503" s="235">
        <v>33536839.059999987</v>
      </c>
      <c r="AD503" s="239" t="s">
        <v>33</v>
      </c>
      <c r="AE503" s="235">
        <v>0</v>
      </c>
      <c r="AF503" s="235">
        <v>0</v>
      </c>
      <c r="AG503" s="235">
        <v>20216769.59</v>
      </c>
      <c r="AH503" s="235">
        <v>0</v>
      </c>
      <c r="AI503" s="235">
        <v>20216769.59</v>
      </c>
      <c r="AK503" s="239" t="s">
        <v>33</v>
      </c>
      <c r="AL503" s="235">
        <v>0</v>
      </c>
      <c r="AM503" s="235">
        <v>0</v>
      </c>
      <c r="AN503" s="235">
        <v>16230149.740000021</v>
      </c>
      <c r="AO503" s="235">
        <v>0</v>
      </c>
      <c r="AP503" s="235">
        <v>16230149.740000021</v>
      </c>
      <c r="AQ503" s="3"/>
    </row>
    <row r="504" spans="2:43" ht="15" thickBot="1" x14ac:dyDescent="0.4">
      <c r="B504" s="236" t="s">
        <v>34</v>
      </c>
      <c r="C504" s="237">
        <v>0</v>
      </c>
      <c r="D504" s="237">
        <v>417998387.16589236</v>
      </c>
      <c r="E504" s="237">
        <v>72330709.840000004</v>
      </c>
      <c r="F504" s="237">
        <v>0</v>
      </c>
      <c r="G504" s="237">
        <v>490329097.00589234</v>
      </c>
      <c r="I504" s="236" t="s">
        <v>34</v>
      </c>
      <c r="J504" s="237">
        <v>0</v>
      </c>
      <c r="K504" s="237">
        <v>53259360.674809478</v>
      </c>
      <c r="L504" s="237">
        <v>17468547.009999994</v>
      </c>
      <c r="M504" s="237">
        <v>0</v>
      </c>
      <c r="N504" s="237">
        <v>70727907.684809476</v>
      </c>
      <c r="P504" s="236" t="s">
        <v>34</v>
      </c>
      <c r="Q504" s="237">
        <v>0</v>
      </c>
      <c r="R504" s="237">
        <v>115386366.87453218</v>
      </c>
      <c r="S504" s="237">
        <v>17897949.899999991</v>
      </c>
      <c r="T504" s="237">
        <v>0</v>
      </c>
      <c r="U504" s="237">
        <v>133284316.77453217</v>
      </c>
      <c r="W504" s="236" t="s">
        <v>34</v>
      </c>
      <c r="X504" s="237">
        <v>0</v>
      </c>
      <c r="Y504" s="237">
        <v>168645727.54934165</v>
      </c>
      <c r="Z504" s="237">
        <v>35366496.909999989</v>
      </c>
      <c r="AA504" s="237">
        <v>0</v>
      </c>
      <c r="AB504" s="237">
        <v>204012224.45934165</v>
      </c>
      <c r="AD504" s="236" t="s">
        <v>34</v>
      </c>
      <c r="AE504" s="237">
        <v>0</v>
      </c>
      <c r="AF504" s="237">
        <v>126816959.99971095</v>
      </c>
      <c r="AG504" s="237">
        <v>22154323.940000001</v>
      </c>
      <c r="AH504" s="237">
        <v>0</v>
      </c>
      <c r="AI504" s="237">
        <v>148971283.93971094</v>
      </c>
      <c r="AK504" s="236" t="s">
        <v>34</v>
      </c>
      <c r="AL504" s="237">
        <v>0</v>
      </c>
      <c r="AM504" s="237">
        <v>122535699.61683977</v>
      </c>
      <c r="AN504" s="237">
        <v>14809888.990000021</v>
      </c>
      <c r="AO504" s="237">
        <v>0</v>
      </c>
      <c r="AP504" s="237">
        <v>137345588.60683978</v>
      </c>
      <c r="AQ504" s="3"/>
    </row>
    <row r="505" spans="2:43" ht="15" thickTop="1" x14ac:dyDescent="0.35">
      <c r="C505" s="2"/>
      <c r="D505" s="2"/>
      <c r="E505" s="2"/>
      <c r="F505" s="2"/>
      <c r="G505" s="2"/>
      <c r="I505" t="s">
        <v>224</v>
      </c>
      <c r="J505" s="2"/>
      <c r="K505" s="2"/>
      <c r="L505" s="2"/>
      <c r="M505" s="2"/>
      <c r="N505" s="2"/>
      <c r="Q505" s="2"/>
      <c r="R505" s="2"/>
      <c r="S505" s="2"/>
      <c r="T505" s="2"/>
      <c r="U505" s="2"/>
      <c r="X505" s="2"/>
      <c r="Y505" s="2"/>
      <c r="Z505" s="2"/>
      <c r="AA505" s="2"/>
      <c r="AB505" s="2"/>
      <c r="AE505" s="2"/>
      <c r="AF505" s="2"/>
      <c r="AG505" s="2"/>
      <c r="AH505" s="2"/>
      <c r="AI505" s="2"/>
      <c r="AL505" s="2"/>
      <c r="AM505" s="2"/>
      <c r="AN505" s="2"/>
      <c r="AO505" s="2"/>
      <c r="AP505" s="2"/>
      <c r="AQ505" s="3"/>
    </row>
    <row r="506" spans="2:43" x14ac:dyDescent="0.35">
      <c r="B506" t="s">
        <v>35</v>
      </c>
      <c r="C506" s="2">
        <v>32676765.540000003</v>
      </c>
      <c r="D506" s="2">
        <v>11882043</v>
      </c>
      <c r="E506" s="2">
        <v>0</v>
      </c>
      <c r="F506" s="2">
        <v>20492055.599999998</v>
      </c>
      <c r="G506" s="233">
        <v>65050864.140000001</v>
      </c>
      <c r="I506" t="s">
        <v>35</v>
      </c>
      <c r="J506" s="2">
        <v>5898333.1200000001</v>
      </c>
      <c r="K506" s="2">
        <v>10897086</v>
      </c>
      <c r="L506" s="2">
        <v>0</v>
      </c>
      <c r="M506" s="2">
        <v>3312018.43</v>
      </c>
      <c r="N506" s="233">
        <v>20107437.550000001</v>
      </c>
      <c r="P506" t="s">
        <v>35</v>
      </c>
      <c r="Q506" s="2">
        <v>5448092.1899999985</v>
      </c>
      <c r="R506" s="2">
        <v>-1657095.6495860517</v>
      </c>
      <c r="S506" s="2">
        <v>0</v>
      </c>
      <c r="T506" s="2">
        <v>5030750.59</v>
      </c>
      <c r="U506" s="233">
        <v>8821747.1304139458</v>
      </c>
      <c r="W506" t="s">
        <v>35</v>
      </c>
      <c r="X506" s="2">
        <v>11346425.309999999</v>
      </c>
      <c r="Y506" s="2">
        <v>9239990.3504139483</v>
      </c>
      <c r="Z506" s="2">
        <v>0</v>
      </c>
      <c r="AA506" s="2">
        <v>8342769.0200000005</v>
      </c>
      <c r="AB506" s="233">
        <v>28929184.680413947</v>
      </c>
      <c r="AD506" t="s">
        <v>35</v>
      </c>
      <c r="AE506" s="2">
        <v>6181278.8500000015</v>
      </c>
      <c r="AF506" s="2">
        <v>14723827.112082556</v>
      </c>
      <c r="AG506" s="2">
        <v>0</v>
      </c>
      <c r="AH506" s="2">
        <v>5622585.330000001</v>
      </c>
      <c r="AI506" s="233">
        <v>26527691.292082559</v>
      </c>
      <c r="AK506" t="s">
        <v>35</v>
      </c>
      <c r="AL506" s="2">
        <v>15149061.380000003</v>
      </c>
      <c r="AM506" s="2">
        <v>-12081774.462496504</v>
      </c>
      <c r="AN506" s="2">
        <v>0</v>
      </c>
      <c r="AO506" s="2">
        <v>6526701.2499999972</v>
      </c>
      <c r="AP506" s="233">
        <v>9593988.1675034948</v>
      </c>
      <c r="AQ506" s="3"/>
    </row>
    <row r="507" spans="2:43" x14ac:dyDescent="0.35">
      <c r="B507" t="s">
        <v>36</v>
      </c>
      <c r="C507" s="2">
        <v>-41489796.039999999</v>
      </c>
      <c r="D507" s="2">
        <v>-268011.45796954603</v>
      </c>
      <c r="E507" s="2">
        <v>0</v>
      </c>
      <c r="F507" s="2">
        <v>-6152258.5500000007</v>
      </c>
      <c r="G507" s="233">
        <v>-47910066.04796955</v>
      </c>
      <c r="I507" t="s">
        <v>36</v>
      </c>
      <c r="J507" s="2">
        <v>-9394925.9699999988</v>
      </c>
      <c r="K507" s="2">
        <v>-631563.25999999978</v>
      </c>
      <c r="L507" s="2">
        <v>0</v>
      </c>
      <c r="M507" s="2">
        <v>-1275921.8199999998</v>
      </c>
      <c r="N507" s="233">
        <v>-11302411.049999999</v>
      </c>
      <c r="P507" t="s">
        <v>36</v>
      </c>
      <c r="Q507" s="2">
        <v>-10059831.290000003</v>
      </c>
      <c r="R507" s="2">
        <v>631563.69999999972</v>
      </c>
      <c r="S507" s="2">
        <v>0</v>
      </c>
      <c r="T507" s="2">
        <v>-1643924.2600000002</v>
      </c>
      <c r="U507" s="233">
        <v>-11072191.850000003</v>
      </c>
      <c r="W507" t="s">
        <v>36</v>
      </c>
      <c r="X507" s="2">
        <v>-19454757.260000002</v>
      </c>
      <c r="Y507" s="2">
        <v>0.43999999994412065</v>
      </c>
      <c r="Z507" s="2">
        <v>0</v>
      </c>
      <c r="AA507" s="2">
        <v>-2919846.08</v>
      </c>
      <c r="AB507" s="233">
        <v>-22374602.899999999</v>
      </c>
      <c r="AD507" t="s">
        <v>36</v>
      </c>
      <c r="AE507" s="2">
        <v>-10129145.109999999</v>
      </c>
      <c r="AF507" s="2">
        <v>-374732.87999999942</v>
      </c>
      <c r="AG507" s="2">
        <v>0</v>
      </c>
      <c r="AH507" s="2">
        <v>-1526094.2700000005</v>
      </c>
      <c r="AI507" s="233">
        <v>-12029972.259999998</v>
      </c>
      <c r="AK507" t="s">
        <v>36</v>
      </c>
      <c r="AL507" s="2">
        <v>-11905893.669999998</v>
      </c>
      <c r="AM507" s="2">
        <v>106720.98203045345</v>
      </c>
      <c r="AN507" s="2">
        <v>0</v>
      </c>
      <c r="AO507" s="2">
        <v>-1706318.2000000002</v>
      </c>
      <c r="AP507" s="233">
        <v>-13505490.887969546</v>
      </c>
      <c r="AQ507" s="3"/>
    </row>
    <row r="508" spans="2:43" ht="15" thickBot="1" x14ac:dyDescent="0.4">
      <c r="B508" s="236" t="s">
        <v>37</v>
      </c>
      <c r="C508" s="237">
        <v>-8813030.4999999963</v>
      </c>
      <c r="D508" s="237">
        <v>11614031.542030454</v>
      </c>
      <c r="E508" s="237">
        <v>0</v>
      </c>
      <c r="F508" s="237">
        <v>14339797.049999997</v>
      </c>
      <c r="G508" s="237">
        <v>17140798.092030451</v>
      </c>
      <c r="I508" s="236" t="s">
        <v>37</v>
      </c>
      <c r="J508" s="237">
        <v>-3496592.8499999987</v>
      </c>
      <c r="K508" s="237">
        <v>10265522.74</v>
      </c>
      <c r="L508" s="237">
        <v>0</v>
      </c>
      <c r="M508" s="237">
        <v>2036096.6100000003</v>
      </c>
      <c r="N508" s="237">
        <v>8805026.5000000019</v>
      </c>
      <c r="P508" s="236" t="s">
        <v>37</v>
      </c>
      <c r="Q508" s="237">
        <v>-4611739.1000000043</v>
      </c>
      <c r="R508" s="237">
        <v>-1025531.949586052</v>
      </c>
      <c r="S508" s="237">
        <v>0</v>
      </c>
      <c r="T508" s="237">
        <v>3386826.3299999996</v>
      </c>
      <c r="U508" s="237">
        <v>-2250444.7195860576</v>
      </c>
      <c r="W508" s="236" t="s">
        <v>37</v>
      </c>
      <c r="X508" s="237">
        <v>-8108331.950000003</v>
      </c>
      <c r="Y508" s="237">
        <v>9239990.7904139478</v>
      </c>
      <c r="Z508" s="237">
        <v>0</v>
      </c>
      <c r="AA508" s="237">
        <v>5422922.9400000004</v>
      </c>
      <c r="AB508" s="237">
        <v>6554581.780413948</v>
      </c>
      <c r="AD508" s="236" t="s">
        <v>37</v>
      </c>
      <c r="AE508" s="237">
        <v>-3947866.2599999979</v>
      </c>
      <c r="AF508" s="237">
        <v>14349094.232082557</v>
      </c>
      <c r="AG508" s="237">
        <v>0</v>
      </c>
      <c r="AH508" s="237">
        <v>4096491.0600000005</v>
      </c>
      <c r="AI508" s="237">
        <v>14497719.032082561</v>
      </c>
      <c r="AK508" s="236" t="s">
        <v>37</v>
      </c>
      <c r="AL508" s="237">
        <v>3243167.7100000046</v>
      </c>
      <c r="AM508" s="237">
        <v>-11975053.480466051</v>
      </c>
      <c r="AN508" s="237">
        <v>0</v>
      </c>
      <c r="AO508" s="237">
        <v>4820383.0499999952</v>
      </c>
      <c r="AP508" s="237">
        <v>-3911502.7204660513</v>
      </c>
      <c r="AQ508" s="3"/>
    </row>
    <row r="509" spans="2:43" ht="15" thickTop="1" x14ac:dyDescent="0.35">
      <c r="B509" s="6"/>
      <c r="C509" s="7"/>
      <c r="D509" s="7"/>
      <c r="E509" s="7"/>
      <c r="F509" s="7"/>
      <c r="G509" s="7"/>
      <c r="I509" s="6"/>
      <c r="J509" s="7"/>
      <c r="K509" s="7"/>
      <c r="L509" s="7"/>
      <c r="M509" s="7"/>
      <c r="N509" s="7"/>
      <c r="P509" s="6"/>
      <c r="Q509" s="7"/>
      <c r="R509" s="7"/>
      <c r="S509" s="7"/>
      <c r="T509" s="7"/>
      <c r="U509" s="7"/>
      <c r="W509" s="6"/>
      <c r="X509" s="7"/>
      <c r="Y509" s="7"/>
      <c r="Z509" s="7"/>
      <c r="AA509" s="7"/>
      <c r="AB509" s="7"/>
      <c r="AD509" s="6"/>
      <c r="AE509" s="7"/>
      <c r="AF509" s="7"/>
      <c r="AG509" s="7"/>
      <c r="AH509" s="7"/>
      <c r="AI509" s="7"/>
      <c r="AK509" s="6"/>
      <c r="AL509" s="7"/>
      <c r="AM509" s="7"/>
      <c r="AN509" s="7"/>
      <c r="AO509" s="7"/>
      <c r="AP509" s="7"/>
      <c r="AQ509" s="3"/>
    </row>
    <row r="510" spans="2:43" x14ac:dyDescent="0.35">
      <c r="B510" t="s">
        <v>212</v>
      </c>
      <c r="C510" s="2">
        <v>0</v>
      </c>
      <c r="D510" s="2">
        <v>0</v>
      </c>
      <c r="E510" s="2">
        <v>0</v>
      </c>
      <c r="F510" s="2">
        <v>0</v>
      </c>
      <c r="G510" s="233">
        <v>0</v>
      </c>
      <c r="I510" t="s">
        <v>212</v>
      </c>
      <c r="J510" s="2">
        <v>0</v>
      </c>
      <c r="K510" s="2">
        <v>0</v>
      </c>
      <c r="L510" s="2">
        <v>0</v>
      </c>
      <c r="M510" s="2">
        <v>0</v>
      </c>
      <c r="N510" s="233">
        <v>0</v>
      </c>
      <c r="P510" t="s">
        <v>212</v>
      </c>
      <c r="Q510" s="2">
        <v>0</v>
      </c>
      <c r="R510" s="2">
        <v>0</v>
      </c>
      <c r="S510" s="2">
        <v>0</v>
      </c>
      <c r="T510" s="2">
        <v>0</v>
      </c>
      <c r="U510" s="233">
        <v>0</v>
      </c>
      <c r="W510" t="s">
        <v>212</v>
      </c>
      <c r="X510" s="2">
        <v>0</v>
      </c>
      <c r="Y510" s="2">
        <v>0</v>
      </c>
      <c r="Z510" s="2">
        <v>0</v>
      </c>
      <c r="AA510" s="2">
        <v>0</v>
      </c>
      <c r="AB510" s="233">
        <v>0</v>
      </c>
      <c r="AD510" t="s">
        <v>212</v>
      </c>
      <c r="AE510" s="2">
        <v>0</v>
      </c>
      <c r="AF510" s="2">
        <v>0</v>
      </c>
      <c r="AG510" s="2">
        <v>0</v>
      </c>
      <c r="AH510" s="2">
        <v>0</v>
      </c>
      <c r="AI510" s="233">
        <v>0</v>
      </c>
      <c r="AK510" t="s">
        <v>212</v>
      </c>
      <c r="AL510" s="2">
        <v>0</v>
      </c>
      <c r="AM510" s="2">
        <v>0</v>
      </c>
      <c r="AN510" s="2">
        <v>0</v>
      </c>
      <c r="AO510" s="2">
        <v>0</v>
      </c>
      <c r="AP510" s="233">
        <v>0</v>
      </c>
      <c r="AQ510" s="3"/>
    </row>
    <row r="511" spans="2:43" x14ac:dyDescent="0.35">
      <c r="B511" t="s">
        <v>38</v>
      </c>
      <c r="C511" s="2">
        <v>-112228504.81</v>
      </c>
      <c r="D511" s="2">
        <v>-16004870</v>
      </c>
      <c r="E511" s="2">
        <v>-2128155.48</v>
      </c>
      <c r="F511" s="2">
        <v>-2347166.84</v>
      </c>
      <c r="G511" s="233">
        <v>-132708697.13000001</v>
      </c>
      <c r="I511" t="s">
        <v>38</v>
      </c>
      <c r="J511" s="2">
        <v>-26968825.890000001</v>
      </c>
      <c r="K511" s="2">
        <v>-3474265</v>
      </c>
      <c r="L511" s="2">
        <v>-518670.4</v>
      </c>
      <c r="M511" s="2">
        <v>-604273.28</v>
      </c>
      <c r="N511" s="233">
        <v>-31566034.57</v>
      </c>
      <c r="P511" t="s">
        <v>38</v>
      </c>
      <c r="Q511" s="2">
        <v>-27071755.200000025</v>
      </c>
      <c r="R511" s="2">
        <v>-3641337</v>
      </c>
      <c r="S511" s="2">
        <v>-519683.20000000007</v>
      </c>
      <c r="T511" s="2">
        <v>-604273.29</v>
      </c>
      <c r="U511" s="233">
        <v>-31837048.690000024</v>
      </c>
      <c r="W511" t="s">
        <v>38</v>
      </c>
      <c r="X511" s="2">
        <v>-54040581.090000026</v>
      </c>
      <c r="Y511" s="2">
        <v>-7115602</v>
      </c>
      <c r="Z511" s="2">
        <v>-1038353.6000000001</v>
      </c>
      <c r="AA511" s="2">
        <v>-1208546.57</v>
      </c>
      <c r="AB511" s="233">
        <v>-63403083.260000028</v>
      </c>
      <c r="AD511" t="s">
        <v>38</v>
      </c>
      <c r="AE511" s="2">
        <v>-28432331.788502492</v>
      </c>
      <c r="AF511" s="2">
        <v>-4003094</v>
      </c>
      <c r="AG511" s="2">
        <v>-539755.81999999983</v>
      </c>
      <c r="AH511" s="2">
        <v>-613143.52</v>
      </c>
      <c r="AI511" s="233">
        <v>-33588325.128502496</v>
      </c>
      <c r="AK511" t="s">
        <v>38</v>
      </c>
      <c r="AL511" s="2">
        <v>-29755591.931497484</v>
      </c>
      <c r="AM511" s="2">
        <v>-4886174</v>
      </c>
      <c r="AN511" s="2">
        <v>-550046.06000000006</v>
      </c>
      <c r="AO511" s="2">
        <v>-525476.74999999977</v>
      </c>
      <c r="AP511" s="233">
        <v>-35717288.741497487</v>
      </c>
      <c r="AQ511" s="3"/>
    </row>
    <row r="512" spans="2:43" x14ac:dyDescent="0.35">
      <c r="B512" t="s">
        <v>78</v>
      </c>
      <c r="C512" s="2">
        <v>-687321467.38618422</v>
      </c>
      <c r="D512" s="2">
        <v>-97625556</v>
      </c>
      <c r="E512" s="2">
        <v>-27140754.670000002</v>
      </c>
      <c r="F512" s="2">
        <v>-19892834.870000001</v>
      </c>
      <c r="G512" s="233">
        <v>-831980612.92618418</v>
      </c>
      <c r="I512" t="s">
        <v>78</v>
      </c>
      <c r="J512" s="2">
        <v>-166745859.01999989</v>
      </c>
      <c r="K512" s="2">
        <v>-28575084</v>
      </c>
      <c r="L512" s="2">
        <v>-6566162.5800000001</v>
      </c>
      <c r="M512" s="2">
        <v>-7911233.0799999991</v>
      </c>
      <c r="N512" s="233">
        <v>-209798338.67999992</v>
      </c>
      <c r="P512" t="s">
        <v>78</v>
      </c>
      <c r="Q512" s="2">
        <v>-165130257.28000024</v>
      </c>
      <c r="R512" s="2">
        <v>-13633576.995599918</v>
      </c>
      <c r="S512" s="2">
        <v>-6687219.6899999995</v>
      </c>
      <c r="T512" s="2">
        <v>-4165385.3900000034</v>
      </c>
      <c r="U512" s="233">
        <v>-189616439.35560018</v>
      </c>
      <c r="W512" t="s">
        <v>78</v>
      </c>
      <c r="X512" s="2">
        <v>-331876116.30000013</v>
      </c>
      <c r="Y512" s="2">
        <v>-42208660.995599918</v>
      </c>
      <c r="Z512" s="2">
        <v>-13253382.27</v>
      </c>
      <c r="AA512" s="2">
        <v>-12076618.470000003</v>
      </c>
      <c r="AB512" s="233">
        <v>-399414778.03560007</v>
      </c>
      <c r="AD512" t="s">
        <v>78</v>
      </c>
      <c r="AE512" s="2">
        <v>-170656661.16389793</v>
      </c>
      <c r="AF512" s="2">
        <v>-35164476.016400091</v>
      </c>
      <c r="AG512" s="2">
        <v>-6777838.1600000001</v>
      </c>
      <c r="AH512" s="2">
        <v>-3870375.3299999982</v>
      </c>
      <c r="AI512" s="233">
        <v>-216469350.67029804</v>
      </c>
      <c r="AK512" t="s">
        <v>78</v>
      </c>
      <c r="AL512" s="2">
        <v>-184788689.92228615</v>
      </c>
      <c r="AM512" s="2">
        <v>-20252418.987999991</v>
      </c>
      <c r="AN512" s="2">
        <v>-7109534.2400000021</v>
      </c>
      <c r="AO512" s="2">
        <v>-3945841.0700000003</v>
      </c>
      <c r="AP512" s="233">
        <v>-216096484.22028613</v>
      </c>
      <c r="AQ512" s="3"/>
    </row>
    <row r="513" spans="2:43" x14ac:dyDescent="0.35">
      <c r="B513" t="s">
        <v>39</v>
      </c>
      <c r="C513" s="2">
        <v>-149675978.35226637</v>
      </c>
      <c r="D513" s="2">
        <v>-43946320</v>
      </c>
      <c r="E513" s="2">
        <v>-6666831.8700000001</v>
      </c>
      <c r="F513" s="2">
        <v>-8244694.178860059</v>
      </c>
      <c r="G513" s="233">
        <v>-208533824.40112644</v>
      </c>
      <c r="I513" t="s">
        <v>39</v>
      </c>
      <c r="J513" s="2">
        <v>-37400922.950000025</v>
      </c>
      <c r="K513" s="2">
        <v>-9368840</v>
      </c>
      <c r="L513" s="2">
        <v>-2144355.5099999998</v>
      </c>
      <c r="M513" s="2">
        <v>-1817001.94</v>
      </c>
      <c r="N513" s="233">
        <v>-50731120.400000021</v>
      </c>
      <c r="P513" t="s">
        <v>39</v>
      </c>
      <c r="Q513" s="2">
        <v>-39066102.649999999</v>
      </c>
      <c r="R513" s="2">
        <v>-3053936</v>
      </c>
      <c r="S513" s="2">
        <v>-1006653.330000001</v>
      </c>
      <c r="T513" s="2">
        <v>-1953793.4900000002</v>
      </c>
      <c r="U513" s="233">
        <v>-45080485.469999999</v>
      </c>
      <c r="W513" t="s">
        <v>39</v>
      </c>
      <c r="X513" s="2">
        <v>-76467025.600000024</v>
      </c>
      <c r="Y513" s="2">
        <v>-12422776</v>
      </c>
      <c r="Z513" s="2">
        <v>-3151008.8400000008</v>
      </c>
      <c r="AA513" s="2">
        <v>-3770795.43</v>
      </c>
      <c r="AB513" s="233">
        <v>-95811605.870000035</v>
      </c>
      <c r="AD513" t="s">
        <v>39</v>
      </c>
      <c r="AE513" s="2">
        <v>-38745108.675014824</v>
      </c>
      <c r="AF513" s="2">
        <v>-17431284.240000002</v>
      </c>
      <c r="AG513" s="2">
        <v>-1599402.79</v>
      </c>
      <c r="AH513" s="2">
        <v>-1983138.0400000005</v>
      </c>
      <c r="AI513" s="233">
        <v>-59758933.745014824</v>
      </c>
      <c r="AK513" t="s">
        <v>39</v>
      </c>
      <c r="AL513" s="2">
        <v>-34463844.077251524</v>
      </c>
      <c r="AM513" s="2">
        <v>-14092259.759999998</v>
      </c>
      <c r="AN513" s="2">
        <v>-1916420.2399999993</v>
      </c>
      <c r="AO513" s="2">
        <v>-2490760.7088600588</v>
      </c>
      <c r="AP513" s="233">
        <v>-52963284.786111586</v>
      </c>
      <c r="AQ513" s="3"/>
    </row>
    <row r="514" spans="2:43" x14ac:dyDescent="0.35">
      <c r="B514" t="s">
        <v>40</v>
      </c>
      <c r="C514" s="2">
        <v>-92674721.460000008</v>
      </c>
      <c r="D514" s="2">
        <v>-3755000</v>
      </c>
      <c r="E514" s="2">
        <v>-180799.38</v>
      </c>
      <c r="F514" s="2">
        <v>-1698195.04</v>
      </c>
      <c r="G514" s="233">
        <v>-98308715.88000001</v>
      </c>
      <c r="I514" t="s">
        <v>40</v>
      </c>
      <c r="J514" s="2">
        <v>-9843513.1400000006</v>
      </c>
      <c r="K514" s="2">
        <v>-4025961</v>
      </c>
      <c r="L514" s="2">
        <v>-63483.700000000012</v>
      </c>
      <c r="M514" s="2">
        <v>-275869.34000000003</v>
      </c>
      <c r="N514" s="233">
        <v>-14208827.18</v>
      </c>
      <c r="P514" t="s">
        <v>40</v>
      </c>
      <c r="Q514" s="2">
        <v>-12924784.059999999</v>
      </c>
      <c r="R514" s="2">
        <v>4025961</v>
      </c>
      <c r="S514" s="2">
        <v>-6024.8999999999942</v>
      </c>
      <c r="T514" s="2">
        <v>-418343.05</v>
      </c>
      <c r="U514" s="233">
        <v>-9323191.0099999998</v>
      </c>
      <c r="W514" t="s">
        <v>40</v>
      </c>
      <c r="X514" s="2">
        <v>-22768297.199999999</v>
      </c>
      <c r="Y514" s="2">
        <v>0</v>
      </c>
      <c r="Z514" s="2">
        <v>-69508.600000000006</v>
      </c>
      <c r="AA514" s="2">
        <v>-694212.39</v>
      </c>
      <c r="AB514" s="233">
        <v>-23532018.190000001</v>
      </c>
      <c r="AD514" t="s">
        <v>40</v>
      </c>
      <c r="AE514" s="2">
        <v>-27461980.099999998</v>
      </c>
      <c r="AF514" s="2">
        <v>-3375484</v>
      </c>
      <c r="AG514" s="2">
        <v>-17010.25</v>
      </c>
      <c r="AH514" s="2">
        <v>-121858.92999999993</v>
      </c>
      <c r="AI514" s="233">
        <v>-30976333.279999997</v>
      </c>
      <c r="AK514" t="s">
        <v>40</v>
      </c>
      <c r="AL514" s="2">
        <v>-42444444.160000011</v>
      </c>
      <c r="AM514" s="2">
        <v>-379516</v>
      </c>
      <c r="AN514" s="2">
        <v>-94280.53</v>
      </c>
      <c r="AO514" s="2">
        <v>-882123.72000000009</v>
      </c>
      <c r="AP514" s="233">
        <v>-43800364.410000011</v>
      </c>
      <c r="AQ514" s="3"/>
    </row>
    <row r="515" spans="2:43" x14ac:dyDescent="0.35">
      <c r="B515" t="s">
        <v>41</v>
      </c>
      <c r="C515" s="2">
        <v>15000000</v>
      </c>
      <c r="D515" s="2">
        <v>-200000</v>
      </c>
      <c r="E515" s="2">
        <v>0</v>
      </c>
      <c r="F515" s="2">
        <v>0</v>
      </c>
      <c r="G515" s="233">
        <v>14800000</v>
      </c>
      <c r="I515" t="s">
        <v>41</v>
      </c>
      <c r="J515" s="2">
        <v>15000000</v>
      </c>
      <c r="K515" s="2">
        <v>0</v>
      </c>
      <c r="L515" s="2">
        <v>0</v>
      </c>
      <c r="M515" s="2">
        <v>0</v>
      </c>
      <c r="N515" s="233">
        <v>15000000</v>
      </c>
      <c r="P515" t="s">
        <v>41</v>
      </c>
      <c r="Q515" s="2">
        <v>0</v>
      </c>
      <c r="R515" s="2">
        <v>-200000</v>
      </c>
      <c r="S515" s="2">
        <v>0</v>
      </c>
      <c r="T515" s="2">
        <v>0</v>
      </c>
      <c r="U515" s="233">
        <v>-200000</v>
      </c>
      <c r="W515" t="s">
        <v>41</v>
      </c>
      <c r="X515" s="2">
        <v>15000000</v>
      </c>
      <c r="Y515" s="2">
        <v>-200000</v>
      </c>
      <c r="Z515" s="2">
        <v>0</v>
      </c>
      <c r="AA515" s="2">
        <v>0</v>
      </c>
      <c r="AB515" s="233">
        <v>14800000</v>
      </c>
      <c r="AD515" t="s">
        <v>41</v>
      </c>
      <c r="AE515" s="2">
        <v>0</v>
      </c>
      <c r="AF515" s="2">
        <v>0</v>
      </c>
      <c r="AG515" s="2">
        <v>0</v>
      </c>
      <c r="AH515" s="2">
        <v>0</v>
      </c>
      <c r="AI515" s="233">
        <v>0</v>
      </c>
      <c r="AK515" t="s">
        <v>41</v>
      </c>
      <c r="AL515" s="2">
        <v>0</v>
      </c>
      <c r="AM515" s="2">
        <v>0</v>
      </c>
      <c r="AN515" s="2">
        <v>0</v>
      </c>
      <c r="AO515" s="2">
        <v>0</v>
      </c>
      <c r="AP515" s="233">
        <v>0</v>
      </c>
      <c r="AQ515" s="3"/>
    </row>
    <row r="516" spans="2:43" x14ac:dyDescent="0.35">
      <c r="B516" t="s">
        <v>42</v>
      </c>
      <c r="C516" s="2">
        <v>-46924041.559999995</v>
      </c>
      <c r="D516" s="2">
        <v>-18820057.039999999</v>
      </c>
      <c r="E516" s="2">
        <v>-3339163.03</v>
      </c>
      <c r="F516" s="2">
        <v>-584752.93000000005</v>
      </c>
      <c r="G516" s="233">
        <v>-69668014.560000002</v>
      </c>
      <c r="I516" t="s">
        <v>42</v>
      </c>
      <c r="J516" s="2">
        <v>-10058926.210000001</v>
      </c>
      <c r="K516" s="2">
        <v>-4414802.4400000004</v>
      </c>
      <c r="L516" s="2">
        <v>-795600.27</v>
      </c>
      <c r="M516" s="2">
        <v>-303489.39</v>
      </c>
      <c r="N516" s="233">
        <v>-15572818.310000002</v>
      </c>
      <c r="P516" t="s">
        <v>42</v>
      </c>
      <c r="Q516" s="2">
        <v>-11954344.509999998</v>
      </c>
      <c r="R516" s="2">
        <v>-4605659.4200000009</v>
      </c>
      <c r="S516" s="2">
        <v>-836647.44</v>
      </c>
      <c r="T516" s="2">
        <v>-113729.66999999998</v>
      </c>
      <c r="U516" s="233">
        <v>-17510381.040000003</v>
      </c>
      <c r="W516" t="s">
        <v>42</v>
      </c>
      <c r="X516" s="2">
        <v>-22013270.719999999</v>
      </c>
      <c r="Y516" s="2">
        <v>-9020461.8600000013</v>
      </c>
      <c r="Z516" s="2">
        <v>-1632247.71</v>
      </c>
      <c r="AA516" s="2">
        <v>-417219.06</v>
      </c>
      <c r="AB516" s="233">
        <v>-33083199.349999998</v>
      </c>
      <c r="AD516" t="s">
        <v>42</v>
      </c>
      <c r="AE516" s="2">
        <v>-12362964.699999996</v>
      </c>
      <c r="AF516" s="2">
        <v>-4751639.379999999</v>
      </c>
      <c r="AG516" s="2">
        <v>-851275.49000000022</v>
      </c>
      <c r="AH516" s="2">
        <v>-94956.979999999981</v>
      </c>
      <c r="AI516" s="233">
        <v>-18060836.549999993</v>
      </c>
      <c r="AK516" t="s">
        <v>42</v>
      </c>
      <c r="AL516" s="2">
        <v>-12547806.140000001</v>
      </c>
      <c r="AM516" s="2">
        <v>-5047955.7999999989</v>
      </c>
      <c r="AN516" s="2">
        <v>-855639.82999999961</v>
      </c>
      <c r="AO516" s="2">
        <v>-72576.890000000072</v>
      </c>
      <c r="AP516" s="233">
        <v>-18523978.659999996</v>
      </c>
      <c r="AQ516" s="3"/>
    </row>
    <row r="517" spans="2:43" x14ac:dyDescent="0.35">
      <c r="B517" t="s">
        <v>4</v>
      </c>
      <c r="C517" s="2">
        <v>750462.9</v>
      </c>
      <c r="D517" s="2">
        <v>-2202777</v>
      </c>
      <c r="E517" s="2">
        <v>2901881.68</v>
      </c>
      <c r="F517" s="2">
        <v>38156.010482644604</v>
      </c>
      <c r="G517" s="233">
        <v>1487723.5904826447</v>
      </c>
      <c r="I517" t="s">
        <v>4</v>
      </c>
      <c r="J517" s="2">
        <v>343395.01</v>
      </c>
      <c r="K517" s="2">
        <v>0</v>
      </c>
      <c r="L517" s="2">
        <v>0</v>
      </c>
      <c r="M517" s="2">
        <v>0</v>
      </c>
      <c r="N517" s="233">
        <v>343395.01</v>
      </c>
      <c r="P517" t="s">
        <v>4</v>
      </c>
      <c r="Q517" s="2">
        <v>17172.129999999946</v>
      </c>
      <c r="R517" s="2">
        <v>-6</v>
      </c>
      <c r="S517" s="2">
        <v>0</v>
      </c>
      <c r="T517" s="2">
        <v>9546.61</v>
      </c>
      <c r="U517" s="233">
        <v>26712.739999999947</v>
      </c>
      <c r="W517" t="s">
        <v>4</v>
      </c>
      <c r="X517" s="2">
        <v>360567.13999999996</v>
      </c>
      <c r="Y517" s="2">
        <v>-6</v>
      </c>
      <c r="Z517" s="2">
        <v>0</v>
      </c>
      <c r="AA517" s="2">
        <v>9546.61</v>
      </c>
      <c r="AB517" s="233">
        <v>370107.74999999994</v>
      </c>
      <c r="AD517" t="s">
        <v>4</v>
      </c>
      <c r="AE517" s="2">
        <v>57504.750000000058</v>
      </c>
      <c r="AF517" s="2">
        <v>188469</v>
      </c>
      <c r="AG517" s="2">
        <v>0</v>
      </c>
      <c r="AH517" s="2">
        <v>-54.989999999999782</v>
      </c>
      <c r="AI517" s="233">
        <v>245918.76000000007</v>
      </c>
      <c r="AK517" t="s">
        <v>4</v>
      </c>
      <c r="AL517" s="2">
        <v>332391.01</v>
      </c>
      <c r="AM517" s="2">
        <v>-2391240</v>
      </c>
      <c r="AN517" s="2">
        <v>2901881.68</v>
      </c>
      <c r="AO517" s="2">
        <v>28664.390482644601</v>
      </c>
      <c r="AP517" s="233">
        <v>871697.08048264473</v>
      </c>
      <c r="AQ517" s="3"/>
    </row>
    <row r="518" spans="2:43" x14ac:dyDescent="0.35">
      <c r="B518" t="s">
        <v>5</v>
      </c>
      <c r="C518" s="2">
        <v>-3793000</v>
      </c>
      <c r="D518" s="2">
        <v>0</v>
      </c>
      <c r="E518" s="2">
        <v>0</v>
      </c>
      <c r="F518" s="2">
        <v>0</v>
      </c>
      <c r="G518" s="233">
        <v>-3793000</v>
      </c>
      <c r="I518" t="s">
        <v>5</v>
      </c>
      <c r="J518" s="2">
        <v>-463000</v>
      </c>
      <c r="K518" s="2">
        <v>0</v>
      </c>
      <c r="L518" s="2">
        <v>0</v>
      </c>
      <c r="M518" s="2">
        <v>0</v>
      </c>
      <c r="N518" s="233">
        <v>-463000</v>
      </c>
      <c r="P518" t="s">
        <v>5</v>
      </c>
      <c r="Q518" s="2">
        <v>-895000</v>
      </c>
      <c r="R518" s="2">
        <v>0</v>
      </c>
      <c r="S518" s="2">
        <v>0</v>
      </c>
      <c r="T518" s="2">
        <v>0</v>
      </c>
      <c r="U518" s="233">
        <v>-895000</v>
      </c>
      <c r="W518" t="s">
        <v>5</v>
      </c>
      <c r="X518" s="2">
        <v>-1358000</v>
      </c>
      <c r="Y518" s="2">
        <v>0</v>
      </c>
      <c r="Z518" s="2">
        <v>0</v>
      </c>
      <c r="AA518" s="2">
        <v>0</v>
      </c>
      <c r="AB518" s="233">
        <v>-1358000</v>
      </c>
      <c r="AD518" t="s">
        <v>5</v>
      </c>
      <c r="AE518" s="2">
        <v>-1145000</v>
      </c>
      <c r="AF518" s="2">
        <v>0</v>
      </c>
      <c r="AG518" s="2">
        <v>0</v>
      </c>
      <c r="AH518" s="2">
        <v>0</v>
      </c>
      <c r="AI518" s="233">
        <v>-1145000</v>
      </c>
      <c r="AK518" t="s">
        <v>5</v>
      </c>
      <c r="AL518" s="2">
        <v>-1290000</v>
      </c>
      <c r="AM518" s="2">
        <v>0</v>
      </c>
      <c r="AN518" s="2">
        <v>0</v>
      </c>
      <c r="AO518" s="2">
        <v>0</v>
      </c>
      <c r="AP518" s="233">
        <v>-1290000</v>
      </c>
      <c r="AQ518" s="3"/>
    </row>
    <row r="519" spans="2:43" x14ac:dyDescent="0.35">
      <c r="B519" t="s">
        <v>182</v>
      </c>
      <c r="C519" s="2">
        <v>-120456075.59000002</v>
      </c>
      <c r="D519" s="2">
        <v>-346145</v>
      </c>
      <c r="E519" s="2">
        <v>3486511.6799999997</v>
      </c>
      <c r="F519" s="2">
        <v>-55846.19</v>
      </c>
      <c r="G519" s="233">
        <v>-117371555.10000002</v>
      </c>
      <c r="I519" t="s">
        <v>182</v>
      </c>
      <c r="J519" s="2">
        <v>-41602798.909999996</v>
      </c>
      <c r="K519" s="2">
        <v>598</v>
      </c>
      <c r="L519" s="2">
        <v>1093525.82</v>
      </c>
      <c r="M519" s="2">
        <v>-55846.19</v>
      </c>
      <c r="N519" s="233">
        <v>-40564521.279999994</v>
      </c>
      <c r="P519" t="s">
        <v>182</v>
      </c>
      <c r="Q519" s="2">
        <v>-25501418.230000004</v>
      </c>
      <c r="R519" s="2">
        <v>27413</v>
      </c>
      <c r="S519" s="2">
        <v>-896285.26</v>
      </c>
      <c r="T519" s="2">
        <v>0</v>
      </c>
      <c r="U519" s="233">
        <v>-26370290.490000006</v>
      </c>
      <c r="W519" t="s">
        <v>182</v>
      </c>
      <c r="X519" s="2">
        <v>-67104217.140000001</v>
      </c>
      <c r="Y519" s="2">
        <v>28011</v>
      </c>
      <c r="Z519" s="2">
        <v>197240.56000000006</v>
      </c>
      <c r="AA519" s="2">
        <v>-55846.19</v>
      </c>
      <c r="AB519" s="233">
        <v>-66934811.769999996</v>
      </c>
      <c r="AD519" t="s">
        <v>182</v>
      </c>
      <c r="AE519" s="2">
        <v>-16261414.059999987</v>
      </c>
      <c r="AF519" s="2">
        <v>413.65999999999985</v>
      </c>
      <c r="AG519" s="2">
        <v>1780120.8099999998</v>
      </c>
      <c r="AH519" s="2">
        <v>0</v>
      </c>
      <c r="AI519" s="233">
        <v>-14480879.589999987</v>
      </c>
      <c r="AK519" t="s">
        <v>182</v>
      </c>
      <c r="AL519" s="2">
        <v>-37090444.39000003</v>
      </c>
      <c r="AM519" s="2">
        <v>-374569.66</v>
      </c>
      <c r="AN519" s="2">
        <v>1509150.3099999998</v>
      </c>
      <c r="AO519" s="2">
        <v>0</v>
      </c>
      <c r="AP519" s="233">
        <v>-35955863.740000024</v>
      </c>
      <c r="AQ519" s="3"/>
    </row>
    <row r="520" spans="2:43" x14ac:dyDescent="0.35">
      <c r="B520" s="5" t="s">
        <v>11</v>
      </c>
      <c r="C520" s="235">
        <v>-1197323326.2584503</v>
      </c>
      <c r="D520" s="235">
        <v>-182900725.03999999</v>
      </c>
      <c r="E520" s="235">
        <v>-33067311.070000008</v>
      </c>
      <c r="F520" s="235">
        <v>-32785334.038377419</v>
      </c>
      <c r="G520" s="235">
        <v>-1446076696.4068279</v>
      </c>
      <c r="I520" s="5" t="s">
        <v>11</v>
      </c>
      <c r="J520" s="235">
        <v>-277740451.10999995</v>
      </c>
      <c r="K520" s="235">
        <v>-49858354.439999998</v>
      </c>
      <c r="L520" s="235">
        <v>-8994746.6399999987</v>
      </c>
      <c r="M520" s="235">
        <v>-10967713.219999999</v>
      </c>
      <c r="N520" s="235">
        <v>-347561265.40999991</v>
      </c>
      <c r="P520" s="5" t="s">
        <v>11</v>
      </c>
      <c r="Q520" s="235">
        <v>-282526489.80000025</v>
      </c>
      <c r="R520" s="235">
        <v>-21081141.41559992</v>
      </c>
      <c r="S520" s="235">
        <v>-9952513.8200000003</v>
      </c>
      <c r="T520" s="235">
        <v>-7245978.2800000031</v>
      </c>
      <c r="U520" s="235">
        <v>-320806123.31560022</v>
      </c>
      <c r="W520" s="5" t="s">
        <v>11</v>
      </c>
      <c r="X520" s="235">
        <v>-560266940.91000021</v>
      </c>
      <c r="Y520" s="235">
        <v>-70939495.855599925</v>
      </c>
      <c r="Z520" s="235">
        <v>-18947260.460000005</v>
      </c>
      <c r="AA520" s="235">
        <v>-18213691.500000004</v>
      </c>
      <c r="AB520" s="235">
        <v>-668367388.72560024</v>
      </c>
      <c r="AD520" s="5" t="s">
        <v>11</v>
      </c>
      <c r="AE520" s="235">
        <v>-295007955.73741525</v>
      </c>
      <c r="AF520" s="235">
        <v>-64537094.976400092</v>
      </c>
      <c r="AG520" s="235">
        <v>-8005161.7000000002</v>
      </c>
      <c r="AH520" s="235">
        <v>-6683527.7899999991</v>
      </c>
      <c r="AI520" s="235">
        <v>-374233740.20381534</v>
      </c>
      <c r="AK520" s="5" t="s">
        <v>11</v>
      </c>
      <c r="AL520" s="235">
        <v>-342048429.61103523</v>
      </c>
      <c r="AM520" s="235">
        <v>-47424134.207999982</v>
      </c>
      <c r="AN520" s="235">
        <v>-6114888.9100000029</v>
      </c>
      <c r="AO520" s="235">
        <v>-7888114.7483774135</v>
      </c>
      <c r="AP520" s="235">
        <v>-403475567.47741252</v>
      </c>
      <c r="AQ520" s="3"/>
    </row>
    <row r="521" spans="2:43" x14ac:dyDescent="0.35">
      <c r="B521" s="6"/>
      <c r="C521" s="7"/>
      <c r="D521" s="7"/>
      <c r="E521" s="7"/>
      <c r="F521" s="7"/>
      <c r="G521" s="7"/>
      <c r="I521" s="6"/>
      <c r="J521" s="7"/>
      <c r="K521" s="7"/>
      <c r="L521" s="7"/>
      <c r="M521" s="7"/>
      <c r="N521" s="7"/>
      <c r="P521" s="6"/>
      <c r="Q521" s="7"/>
      <c r="R521" s="7"/>
      <c r="S521" s="7"/>
      <c r="T521" s="7"/>
      <c r="U521" s="7"/>
      <c r="W521" s="6"/>
      <c r="X521" s="7"/>
      <c r="Y521" s="7"/>
      <c r="Z521" s="7"/>
      <c r="AA521" s="7"/>
      <c r="AB521" s="7"/>
      <c r="AD521" s="6"/>
      <c r="AE521" s="7"/>
      <c r="AF521" s="7"/>
      <c r="AG521" s="7"/>
      <c r="AH521" s="7"/>
      <c r="AI521" s="7"/>
      <c r="AK521" s="6"/>
      <c r="AL521" s="7"/>
      <c r="AM521" s="7"/>
      <c r="AN521" s="7"/>
      <c r="AO521" s="7"/>
      <c r="AP521" s="7"/>
      <c r="AQ521" s="3"/>
    </row>
    <row r="522" spans="2:43" x14ac:dyDescent="0.35">
      <c r="B522" s="6"/>
      <c r="C522" s="7"/>
      <c r="D522" s="7"/>
      <c r="E522" s="7"/>
      <c r="F522" s="7"/>
      <c r="G522" s="7"/>
      <c r="I522" s="6"/>
      <c r="J522" s="7"/>
      <c r="K522" s="7"/>
      <c r="L522" s="7"/>
      <c r="M522" s="7"/>
      <c r="N522" s="7"/>
      <c r="P522" s="6"/>
      <c r="Q522" s="7"/>
      <c r="R522" s="7"/>
      <c r="S522" s="7"/>
      <c r="T522" s="7"/>
      <c r="U522" s="7"/>
      <c r="W522" s="6"/>
      <c r="X522" s="7"/>
      <c r="Y522" s="7"/>
      <c r="Z522" s="7"/>
      <c r="AA522" s="7"/>
      <c r="AB522" s="7"/>
      <c r="AD522" s="6"/>
      <c r="AE522" s="7"/>
      <c r="AF522" s="7"/>
      <c r="AG522" s="7"/>
      <c r="AH522" s="7"/>
      <c r="AI522" s="7"/>
      <c r="AK522" s="6"/>
      <c r="AL522" s="7"/>
      <c r="AM522" s="7"/>
      <c r="AN522" s="7"/>
      <c r="AO522" s="7"/>
      <c r="AP522" s="7"/>
      <c r="AQ522" s="3"/>
    </row>
    <row r="523" spans="2:43" x14ac:dyDescent="0.35">
      <c r="B523" s="240" t="s">
        <v>43</v>
      </c>
      <c r="C523" s="241">
        <v>780673761.24154973</v>
      </c>
      <c r="D523" s="241">
        <v>246711693.66792282</v>
      </c>
      <c r="E523" s="241">
        <v>39263398.769999996</v>
      </c>
      <c r="F523" s="241">
        <v>-25977290.988377422</v>
      </c>
      <c r="G523" s="241">
        <v>1040671562.6910948</v>
      </c>
      <c r="I523" s="240" t="s">
        <v>43</v>
      </c>
      <c r="J523" s="241">
        <v>43841738.040000044</v>
      </c>
      <c r="K523" s="241">
        <v>13666528.974809481</v>
      </c>
      <c r="L523" s="241">
        <v>8473800.3699999955</v>
      </c>
      <c r="M523" s="241">
        <v>-10321726.609999999</v>
      </c>
      <c r="N523" s="241">
        <v>55660340.774809539</v>
      </c>
      <c r="P523" s="240" t="s">
        <v>43</v>
      </c>
      <c r="Q523" s="241">
        <v>138244081.09999976</v>
      </c>
      <c r="R523" s="241">
        <v>93279693.509346202</v>
      </c>
      <c r="S523" s="241">
        <v>7945436.0799999908</v>
      </c>
      <c r="T523" s="241">
        <v>-7400350.950000003</v>
      </c>
      <c r="U523" s="241">
        <v>232068859.73934594</v>
      </c>
      <c r="W523" s="240" t="s">
        <v>43</v>
      </c>
      <c r="X523" s="241">
        <v>182085819.13999981</v>
      </c>
      <c r="Y523" s="241">
        <v>106946222.48415567</v>
      </c>
      <c r="Z523" s="241">
        <v>16419236.449999984</v>
      </c>
      <c r="AA523" s="241">
        <v>-17722077.560000002</v>
      </c>
      <c r="AB523" s="241">
        <v>287729200.51415533</v>
      </c>
      <c r="AD523" s="240" t="s">
        <v>43</v>
      </c>
      <c r="AE523" s="241">
        <v>290456174.00258476</v>
      </c>
      <c r="AF523" s="241">
        <v>76628959.255393416</v>
      </c>
      <c r="AG523" s="241">
        <v>14149162.240000002</v>
      </c>
      <c r="AH523" s="241">
        <v>-2733388.7299999986</v>
      </c>
      <c r="AI523" s="241">
        <v>378500905.76797831</v>
      </c>
      <c r="AK523" s="240" t="s">
        <v>43</v>
      </c>
      <c r="AL523" s="241">
        <v>308131768.09896475</v>
      </c>
      <c r="AM523" s="241">
        <v>63136511.928373739</v>
      </c>
      <c r="AN523" s="241">
        <v>8695000.0800000168</v>
      </c>
      <c r="AO523" s="241">
        <v>-5521824.6983774174</v>
      </c>
      <c r="AP523" s="241">
        <v>374441455.40896118</v>
      </c>
      <c r="AQ523" s="3"/>
    </row>
    <row r="524" spans="2:43" x14ac:dyDescent="0.35">
      <c r="B524" t="s">
        <v>6</v>
      </c>
      <c r="C524" s="2">
        <v>-210786505.53999996</v>
      </c>
      <c r="D524" s="2">
        <v>-46859155</v>
      </c>
      <c r="E524" s="2">
        <v>-8032686.6500000004</v>
      </c>
      <c r="F524" s="2">
        <v>-3356338.76</v>
      </c>
      <c r="G524" s="233">
        <v>-269034685.94999999</v>
      </c>
      <c r="I524" t="s">
        <v>6</v>
      </c>
      <c r="J524" s="2">
        <v>-20985703.220000003</v>
      </c>
      <c r="K524" s="2">
        <v>-12752816</v>
      </c>
      <c r="L524" s="2">
        <v>-1938011.32</v>
      </c>
      <c r="M524" s="2">
        <v>-409011.67000000004</v>
      </c>
      <c r="N524" s="233">
        <v>-36085542.210000001</v>
      </c>
      <c r="P524" t="s">
        <v>6</v>
      </c>
      <c r="Q524" s="2">
        <v>-44767532.770000011</v>
      </c>
      <c r="R524" s="2">
        <v>-11279171</v>
      </c>
      <c r="S524" s="2">
        <v>-1837011.0899999996</v>
      </c>
      <c r="T524" s="2">
        <v>-381881.06999999995</v>
      </c>
      <c r="U524" s="233">
        <v>-58265595.930000007</v>
      </c>
      <c r="W524" t="s">
        <v>6</v>
      </c>
      <c r="X524" s="2">
        <v>-65753235.99000001</v>
      </c>
      <c r="Y524" s="2">
        <v>-24031987</v>
      </c>
      <c r="Z524" s="2">
        <v>-3775022.4099999997</v>
      </c>
      <c r="AA524" s="2">
        <v>-790892.74</v>
      </c>
      <c r="AB524" s="233">
        <v>-94351138.140000001</v>
      </c>
      <c r="AD524" t="s">
        <v>6</v>
      </c>
      <c r="AE524" s="2">
        <v>-80194309.849999994</v>
      </c>
      <c r="AF524" s="2">
        <v>-10306856.950000003</v>
      </c>
      <c r="AG524" s="2">
        <v>-2785886.1600000006</v>
      </c>
      <c r="AH524" s="2">
        <v>-1233407.3600000001</v>
      </c>
      <c r="AI524" s="233">
        <v>-94520460.319999993</v>
      </c>
      <c r="AK524" t="s">
        <v>6</v>
      </c>
      <c r="AL524" s="2">
        <v>-64838959.699999958</v>
      </c>
      <c r="AM524" s="2">
        <v>-12520311.049999997</v>
      </c>
      <c r="AN524" s="2">
        <v>-1471778.0799999996</v>
      </c>
      <c r="AO524" s="2">
        <v>-1332038.6599999995</v>
      </c>
      <c r="AP524" s="233">
        <v>-80163087.48999995</v>
      </c>
      <c r="AQ524" s="3"/>
    </row>
    <row r="525" spans="2:43" x14ac:dyDescent="0.35">
      <c r="B525" s="242" t="s">
        <v>7</v>
      </c>
      <c r="C525" s="243">
        <v>569887255.70154977</v>
      </c>
      <c r="D525" s="243">
        <v>199852538.66792282</v>
      </c>
      <c r="E525" s="243">
        <v>31230712.119999997</v>
      </c>
      <c r="F525" s="243">
        <v>-29333629.74837742</v>
      </c>
      <c r="G525" s="243">
        <v>771636876.74109483</v>
      </c>
      <c r="I525" s="242" t="s">
        <v>7</v>
      </c>
      <c r="J525" s="243">
        <v>22856034.820000041</v>
      </c>
      <c r="K525" s="243">
        <v>913712.97480948083</v>
      </c>
      <c r="L525" s="243">
        <v>6535789.0499999952</v>
      </c>
      <c r="M525" s="243">
        <v>-10730738.279999999</v>
      </c>
      <c r="N525" s="243">
        <v>19574798.564809538</v>
      </c>
      <c r="P525" s="242" t="s">
        <v>7</v>
      </c>
      <c r="Q525" s="243">
        <v>93476548.329999745</v>
      </c>
      <c r="R525" s="243">
        <v>82000522.509346202</v>
      </c>
      <c r="S525" s="243">
        <v>6108424.9899999909</v>
      </c>
      <c r="T525" s="243">
        <v>-7782232.0200000033</v>
      </c>
      <c r="U525" s="243">
        <v>173803263.80934593</v>
      </c>
      <c r="W525" s="242" t="s">
        <v>7</v>
      </c>
      <c r="X525" s="243">
        <v>116332583.1499998</v>
      </c>
      <c r="Y525" s="243">
        <v>82914235.48415567</v>
      </c>
      <c r="Z525" s="243">
        <v>12644214.039999984</v>
      </c>
      <c r="AA525" s="243">
        <v>-18512970.300000001</v>
      </c>
      <c r="AB525" s="243">
        <v>193378062.37415534</v>
      </c>
      <c r="AD525" s="242" t="s">
        <v>7</v>
      </c>
      <c r="AE525" s="243">
        <v>210261864.15258476</v>
      </c>
      <c r="AF525" s="243">
        <v>66322102.305393413</v>
      </c>
      <c r="AG525" s="243">
        <v>11363276.080000002</v>
      </c>
      <c r="AH525" s="243">
        <v>-3966796.0899999989</v>
      </c>
      <c r="AI525" s="243">
        <v>283980445.44797832</v>
      </c>
      <c r="AK525" s="242" t="s">
        <v>7</v>
      </c>
      <c r="AL525" s="243">
        <v>243292808.39896479</v>
      </c>
      <c r="AM525" s="243">
        <v>50616200.878373742</v>
      </c>
      <c r="AN525" s="243">
        <v>7223222.0000000168</v>
      </c>
      <c r="AO525" s="243">
        <v>-6853863.3583774166</v>
      </c>
      <c r="AP525" s="243">
        <v>294278367.91896123</v>
      </c>
      <c r="AQ525" s="3"/>
    </row>
    <row r="526" spans="2:43" x14ac:dyDescent="0.35">
      <c r="B526" t="s">
        <v>8</v>
      </c>
      <c r="C526" s="2">
        <v>-36412279.649136864</v>
      </c>
      <c r="D526" s="2">
        <v>-36757255.769458115</v>
      </c>
      <c r="E526" s="2">
        <v>-6163730.2439999999</v>
      </c>
      <c r="F526" s="2">
        <v>-3857.3517999995752</v>
      </c>
      <c r="G526" s="233">
        <v>-79337123.014394984</v>
      </c>
      <c r="I526" t="s">
        <v>8</v>
      </c>
      <c r="J526" s="2">
        <v>-2618208.7300202404</v>
      </c>
      <c r="K526" s="2">
        <v>-1073057.8814075084</v>
      </c>
      <c r="L526" s="2">
        <v>-1476281.4859999984</v>
      </c>
      <c r="M526" s="2">
        <v>-750.92200799991735</v>
      </c>
      <c r="N526" s="233">
        <v>-5168299.0194357475</v>
      </c>
      <c r="P526" t="s">
        <v>8</v>
      </c>
      <c r="Q526" s="2">
        <v>-5145481.579917483</v>
      </c>
      <c r="R526" s="2">
        <v>-14321832.82644384</v>
      </c>
      <c r="S526" s="2">
        <v>-1062516.5959999987</v>
      </c>
      <c r="T526" s="2">
        <v>-885.50793599990209</v>
      </c>
      <c r="U526" s="233">
        <v>-20530716.510297321</v>
      </c>
      <c r="W526" t="s">
        <v>8</v>
      </c>
      <c r="X526" s="2">
        <v>-7763690.309937723</v>
      </c>
      <c r="Y526" s="2">
        <v>-15394890.707851348</v>
      </c>
      <c r="Z526" s="2">
        <v>-2538798.0819999971</v>
      </c>
      <c r="AA526" s="2">
        <v>-1636.4299439998194</v>
      </c>
      <c r="AB526" s="233">
        <v>-25699015.529733073</v>
      </c>
      <c r="AD526" t="s">
        <v>8</v>
      </c>
      <c r="AE526" s="2">
        <v>-6301312.7848059926</v>
      </c>
      <c r="AF526" s="2">
        <v>-12445575.050817976</v>
      </c>
      <c r="AG526" s="2">
        <v>-2268060.961999998</v>
      </c>
      <c r="AH526" s="2">
        <v>-1047.9567919998844</v>
      </c>
      <c r="AI526" s="233">
        <v>-21015996.754415967</v>
      </c>
      <c r="AK526" t="s">
        <v>8</v>
      </c>
      <c r="AL526" s="2">
        <v>-22347276.55439315</v>
      </c>
      <c r="AM526" s="2">
        <v>-8916790.010788789</v>
      </c>
      <c r="AN526" s="2">
        <v>-1356871.2000000048</v>
      </c>
      <c r="AO526" s="2">
        <v>-1172.9650639998713</v>
      </c>
      <c r="AP526" s="233">
        <v>-32622110.730245944</v>
      </c>
      <c r="AQ526" s="3"/>
    </row>
    <row r="527" spans="2:43" x14ac:dyDescent="0.35">
      <c r="B527" s="242" t="s">
        <v>161</v>
      </c>
      <c r="C527" s="244">
        <v>533474976.05241293</v>
      </c>
      <c r="D527" s="244">
        <v>163095282.89846471</v>
      </c>
      <c r="E527" s="244">
        <v>25066981.875999998</v>
      </c>
      <c r="F527" s="244">
        <v>-29337487.100177418</v>
      </c>
      <c r="G527" s="244">
        <v>692299753.72669983</v>
      </c>
      <c r="I527" s="242" t="s">
        <v>9</v>
      </c>
      <c r="J527" s="244">
        <v>20237826.089979801</v>
      </c>
      <c r="K527" s="244">
        <v>-159344.90659802756</v>
      </c>
      <c r="L527" s="244">
        <v>5059507.5639999965</v>
      </c>
      <c r="M527" s="244">
        <v>-10731489.202008</v>
      </c>
      <c r="N527" s="244">
        <v>14406499.54537379</v>
      </c>
      <c r="P527" s="242" t="s">
        <v>161</v>
      </c>
      <c r="Q527" s="244">
        <v>88331066.750082254</v>
      </c>
      <c r="R527" s="244">
        <v>67678689.682902366</v>
      </c>
      <c r="S527" s="244">
        <v>5045908.3939999919</v>
      </c>
      <c r="T527" s="244">
        <v>-7783117.5279360032</v>
      </c>
      <c r="U527" s="244">
        <v>153272547.2990486</v>
      </c>
      <c r="W527" s="242" t="s">
        <v>161</v>
      </c>
      <c r="X527" s="244">
        <v>108568892.84006208</v>
      </c>
      <c r="Y527" s="244">
        <v>67519344.77630432</v>
      </c>
      <c r="Z527" s="244">
        <v>10105415.957999988</v>
      </c>
      <c r="AA527" s="244">
        <v>-18514606.729944002</v>
      </c>
      <c r="AB527" s="244">
        <v>167679046.84442228</v>
      </c>
      <c r="AD527" s="242" t="s">
        <v>161</v>
      </c>
      <c r="AE527" s="244">
        <v>203960551.36777878</v>
      </c>
      <c r="AF527" s="244">
        <v>53876527.254575439</v>
      </c>
      <c r="AG527" s="244">
        <v>9095215.1180000044</v>
      </c>
      <c r="AH527" s="244">
        <v>-3967844.0467919987</v>
      </c>
      <c r="AI527" s="244">
        <v>262964448.69356236</v>
      </c>
      <c r="AK527" s="242" t="s">
        <v>9</v>
      </c>
      <c r="AL527" s="244">
        <v>220945531.84457165</v>
      </c>
      <c r="AM527" s="244">
        <v>41699410.867584951</v>
      </c>
      <c r="AN527" s="244">
        <v>5866350.8000000119</v>
      </c>
      <c r="AO527" s="244">
        <v>-6855036.323441416</v>
      </c>
      <c r="AP527" s="244">
        <v>261656257.18871528</v>
      </c>
      <c r="AQ527" s="3"/>
    </row>
    <row r="528" spans="2:43" x14ac:dyDescent="0.35">
      <c r="C528" s="15"/>
      <c r="D528" s="15"/>
      <c r="E528" s="15"/>
      <c r="F528" s="15"/>
      <c r="G528" s="15"/>
      <c r="J528" s="15"/>
      <c r="K528" s="15"/>
      <c r="L528" s="15"/>
      <c r="M528" s="15"/>
      <c r="N528" s="15"/>
      <c r="Q528" s="15"/>
      <c r="R528" s="15"/>
      <c r="S528" s="15"/>
      <c r="T528" s="15"/>
      <c r="U528" s="15"/>
      <c r="X528" s="15">
        <v>-0.1863061785697937</v>
      </c>
      <c r="Y528" s="15">
        <v>0</v>
      </c>
      <c r="Z528" s="15">
        <v>0</v>
      </c>
      <c r="AA528" s="15">
        <v>0.15729497373104095</v>
      </c>
      <c r="AB528" s="15">
        <v>-2.9011309146881104E-2</v>
      </c>
      <c r="AE528" s="15">
        <v>0.26031714677810669</v>
      </c>
      <c r="AF528" s="15">
        <v>0</v>
      </c>
      <c r="AG528" s="15">
        <v>0</v>
      </c>
      <c r="AH528" s="15">
        <v>0.34984267503023148</v>
      </c>
      <c r="AI528" s="15">
        <v>-0.38984012603759766</v>
      </c>
      <c r="AL528" s="15">
        <v>4.1723251342773438E-7</v>
      </c>
      <c r="AM528" s="15">
        <v>0</v>
      </c>
      <c r="AN528" s="15">
        <v>0</v>
      </c>
      <c r="AO528" s="15">
        <v>0</v>
      </c>
      <c r="AP528" s="15">
        <v>0.99999991059303284</v>
      </c>
    </row>
    <row r="529" spans="2:42" x14ac:dyDescent="0.35">
      <c r="C529" s="15"/>
      <c r="D529" s="15"/>
      <c r="E529" s="15"/>
      <c r="F529" s="15"/>
      <c r="G529" s="15"/>
      <c r="J529" s="15"/>
      <c r="K529" s="15"/>
      <c r="L529" s="15"/>
      <c r="M529" s="15"/>
      <c r="N529" s="15"/>
      <c r="Q529" s="15"/>
      <c r="R529" s="15"/>
      <c r="S529" s="15"/>
      <c r="T529" s="15"/>
      <c r="U529" s="15"/>
      <c r="X529" s="15"/>
      <c r="Y529" s="15"/>
      <c r="Z529" s="15"/>
      <c r="AA529" s="15"/>
      <c r="AB529" s="15"/>
      <c r="AE529" s="15"/>
      <c r="AF529" s="15"/>
      <c r="AG529" s="15"/>
      <c r="AH529" s="15"/>
      <c r="AI529" s="15"/>
      <c r="AL529" s="15"/>
      <c r="AM529" s="15"/>
      <c r="AN529" s="15"/>
      <c r="AO529" s="15"/>
      <c r="AP529" s="15"/>
    </row>
    <row r="530" spans="2:42" x14ac:dyDescent="0.35">
      <c r="C530" s="15"/>
      <c r="D530" s="15"/>
      <c r="E530" s="15"/>
      <c r="F530" s="15"/>
      <c r="G530" s="15"/>
      <c r="J530" s="15"/>
      <c r="K530" s="15"/>
      <c r="L530" s="15"/>
      <c r="M530" s="15"/>
      <c r="N530" s="15"/>
      <c r="Q530" s="15"/>
      <c r="R530" s="15"/>
      <c r="S530" s="15"/>
      <c r="T530" s="15"/>
      <c r="U530" s="15"/>
      <c r="X530" s="15"/>
      <c r="Y530" s="15"/>
      <c r="Z530" s="15"/>
      <c r="AA530" s="15"/>
      <c r="AB530" s="15"/>
      <c r="AE530" s="15"/>
      <c r="AF530" s="15"/>
      <c r="AG530" s="15"/>
      <c r="AH530" s="15"/>
      <c r="AI530" s="15"/>
      <c r="AL530" s="15"/>
      <c r="AM530" s="15"/>
      <c r="AN530" s="15"/>
      <c r="AO530" s="15"/>
      <c r="AP530" s="15"/>
    </row>
    <row r="531" spans="2:42" x14ac:dyDescent="0.35">
      <c r="C531" s="15"/>
      <c r="D531" s="15"/>
      <c r="E531" s="15"/>
      <c r="F531" s="15"/>
      <c r="G531" s="15"/>
      <c r="J531" s="15"/>
      <c r="K531" s="15"/>
      <c r="L531" s="15"/>
      <c r="M531" s="15"/>
      <c r="N531" s="15"/>
      <c r="Q531" s="15"/>
      <c r="R531" s="15"/>
      <c r="S531" s="15"/>
      <c r="T531" s="15"/>
      <c r="U531" s="15"/>
      <c r="X531" s="15"/>
      <c r="Y531" s="15"/>
      <c r="Z531" s="15"/>
      <c r="AA531" s="15"/>
      <c r="AB531" s="15"/>
      <c r="AE531" s="15"/>
      <c r="AF531" s="15"/>
      <c r="AG531" s="15"/>
      <c r="AH531" s="15"/>
      <c r="AI531" s="15"/>
      <c r="AL531" s="15"/>
      <c r="AM531" s="15"/>
      <c r="AN531" s="15"/>
      <c r="AO531" s="15"/>
      <c r="AP531" s="15"/>
    </row>
    <row r="535" spans="2:42" ht="18.5" x14ac:dyDescent="0.35">
      <c r="B535" s="303" t="s">
        <v>255</v>
      </c>
      <c r="C535" s="303"/>
      <c r="D535" s="303"/>
      <c r="E535" s="303"/>
      <c r="F535" s="303"/>
      <c r="G535" s="303"/>
      <c r="I535" s="303" t="s">
        <v>229</v>
      </c>
      <c r="J535" s="303"/>
      <c r="K535" s="303"/>
      <c r="L535" s="303"/>
      <c r="M535" s="303"/>
      <c r="N535" s="303"/>
      <c r="P535" s="303" t="s">
        <v>243</v>
      </c>
      <c r="Q535" s="303"/>
      <c r="R535" s="303"/>
      <c r="S535" s="303"/>
      <c r="T535" s="303"/>
      <c r="U535" s="303"/>
      <c r="W535" s="303" t="s">
        <v>244</v>
      </c>
      <c r="X535" s="303"/>
      <c r="Y535" s="303"/>
      <c r="Z535" s="303"/>
      <c r="AA535" s="303"/>
      <c r="AB535" s="303"/>
      <c r="AD535" s="303" t="s">
        <v>249</v>
      </c>
      <c r="AE535" s="303"/>
      <c r="AF535" s="303"/>
      <c r="AG535" s="303"/>
      <c r="AH535" s="303"/>
      <c r="AI535" s="303"/>
      <c r="AK535" s="303" t="s">
        <v>256</v>
      </c>
      <c r="AL535" s="303"/>
      <c r="AM535" s="303"/>
      <c r="AN535" s="303"/>
      <c r="AO535" s="303"/>
      <c r="AP535" s="303"/>
    </row>
    <row r="536" spans="2:42" ht="15.5" x14ac:dyDescent="0.35">
      <c r="B536" s="8"/>
      <c r="C536" s="8" t="s">
        <v>10</v>
      </c>
      <c r="D536" s="8" t="s">
        <v>69</v>
      </c>
      <c r="E536" s="8" t="s">
        <v>70</v>
      </c>
      <c r="F536" s="8" t="s">
        <v>44</v>
      </c>
      <c r="G536" s="9" t="s">
        <v>45</v>
      </c>
      <c r="I536" s="8"/>
      <c r="J536" s="8" t="s">
        <v>10</v>
      </c>
      <c r="K536" s="8" t="s">
        <v>69</v>
      </c>
      <c r="L536" s="8" t="s">
        <v>70</v>
      </c>
      <c r="M536" s="8" t="s">
        <v>44</v>
      </c>
      <c r="N536" s="9" t="s">
        <v>45</v>
      </c>
      <c r="P536" s="8"/>
      <c r="Q536" s="8" t="s">
        <v>10</v>
      </c>
      <c r="R536" s="8" t="s">
        <v>69</v>
      </c>
      <c r="S536" s="8" t="s">
        <v>70</v>
      </c>
      <c r="T536" s="8" t="s">
        <v>44</v>
      </c>
      <c r="U536" s="9" t="s">
        <v>45</v>
      </c>
      <c r="W536" s="8"/>
      <c r="X536" s="8" t="s">
        <v>10</v>
      </c>
      <c r="Y536" s="8" t="s">
        <v>69</v>
      </c>
      <c r="Z536" s="8" t="s">
        <v>70</v>
      </c>
      <c r="AA536" s="8" t="s">
        <v>44</v>
      </c>
      <c r="AB536" s="9" t="s">
        <v>45</v>
      </c>
      <c r="AD536" s="8"/>
      <c r="AE536" s="8" t="s">
        <v>10</v>
      </c>
      <c r="AF536" s="8" t="s">
        <v>69</v>
      </c>
      <c r="AG536" s="8" t="s">
        <v>70</v>
      </c>
      <c r="AH536" s="8" t="s">
        <v>44</v>
      </c>
      <c r="AI536" s="9" t="s">
        <v>45</v>
      </c>
      <c r="AK536" s="8"/>
      <c r="AL536" s="8" t="s">
        <v>10</v>
      </c>
      <c r="AM536" s="8" t="s">
        <v>69</v>
      </c>
      <c r="AN536" s="8" t="s">
        <v>70</v>
      </c>
      <c r="AO536" s="8" t="s">
        <v>44</v>
      </c>
      <c r="AP536" s="9" t="s">
        <v>45</v>
      </c>
    </row>
    <row r="537" spans="2:42" x14ac:dyDescent="0.35">
      <c r="B537" s="234" t="s">
        <v>223</v>
      </c>
      <c r="I537" s="234" t="s">
        <v>223</v>
      </c>
      <c r="P537" s="234" t="s">
        <v>223</v>
      </c>
      <c r="W537" s="234" t="s">
        <v>223</v>
      </c>
      <c r="AD537" s="234" t="s">
        <v>223</v>
      </c>
      <c r="AK537" s="234" t="s">
        <v>223</v>
      </c>
    </row>
    <row r="538" spans="2:42" x14ac:dyDescent="0.35">
      <c r="B538" s="234"/>
      <c r="I538" s="234"/>
      <c r="P538" s="234"/>
      <c r="W538" s="234"/>
      <c r="AD538" s="234"/>
      <c r="AK538" s="234"/>
    </row>
    <row r="539" spans="2:42" x14ac:dyDescent="0.35">
      <c r="B539" t="s">
        <v>85</v>
      </c>
      <c r="C539" s="2">
        <v>966841810.41000009</v>
      </c>
      <c r="D539" s="2">
        <v>0</v>
      </c>
      <c r="E539" s="2">
        <v>0</v>
      </c>
      <c r="F539" s="2">
        <v>0</v>
      </c>
      <c r="G539" s="233">
        <v>966841810.41000009</v>
      </c>
      <c r="I539" t="s">
        <v>85</v>
      </c>
      <c r="J539" s="2">
        <v>58492442.890000001</v>
      </c>
      <c r="K539" s="2">
        <v>0</v>
      </c>
      <c r="L539" s="2">
        <v>0</v>
      </c>
      <c r="M539" s="2">
        <v>0</v>
      </c>
      <c r="N539" s="233">
        <v>58492442.890000001</v>
      </c>
      <c r="P539" t="s">
        <v>85</v>
      </c>
      <c r="Q539" s="2">
        <v>260352274.84000003</v>
      </c>
      <c r="R539" s="2">
        <v>0</v>
      </c>
      <c r="S539" s="2">
        <v>0</v>
      </c>
      <c r="T539" s="2">
        <v>0</v>
      </c>
      <c r="U539" s="233">
        <v>260352274.84000003</v>
      </c>
      <c r="W539" t="s">
        <v>85</v>
      </c>
      <c r="X539" s="2">
        <v>318844717.73000002</v>
      </c>
      <c r="Y539" s="2">
        <v>0</v>
      </c>
      <c r="Z539" s="2">
        <v>0</v>
      </c>
      <c r="AA539" s="2">
        <v>0</v>
      </c>
      <c r="AB539" s="233">
        <v>318844717.73000002</v>
      </c>
      <c r="AD539" t="s">
        <v>85</v>
      </c>
      <c r="AE539" s="2">
        <v>341556702.08000004</v>
      </c>
      <c r="AF539" s="2">
        <v>0</v>
      </c>
      <c r="AG539" s="2">
        <v>0</v>
      </c>
      <c r="AH539" s="2">
        <v>0</v>
      </c>
      <c r="AI539" s="233">
        <v>341556702.08000004</v>
      </c>
      <c r="AJ539" s="3"/>
      <c r="AK539" t="s">
        <v>85</v>
      </c>
      <c r="AL539" s="2">
        <v>306440390.60000002</v>
      </c>
      <c r="AM539" s="2">
        <v>0</v>
      </c>
      <c r="AN539" s="2">
        <v>0</v>
      </c>
      <c r="AO539" s="2">
        <v>0</v>
      </c>
      <c r="AP539" s="233">
        <v>306440390.60000002</v>
      </c>
    </row>
    <row r="540" spans="2:42" x14ac:dyDescent="0.35">
      <c r="B540" t="s">
        <v>19</v>
      </c>
      <c r="C540" s="2">
        <v>340764870.31941992</v>
      </c>
      <c r="D540" s="2">
        <v>0</v>
      </c>
      <c r="E540" s="2">
        <v>0</v>
      </c>
      <c r="F540" s="2">
        <v>0</v>
      </c>
      <c r="G540" s="233">
        <v>340764870.31941992</v>
      </c>
      <c r="I540" t="s">
        <v>19</v>
      </c>
      <c r="J540" s="2">
        <v>96320349.973860011</v>
      </c>
      <c r="K540" s="2">
        <v>0</v>
      </c>
      <c r="L540" s="2">
        <v>0</v>
      </c>
      <c r="M540" s="2">
        <v>0</v>
      </c>
      <c r="N540" s="233">
        <v>96320349.973860011</v>
      </c>
      <c r="P540" t="s">
        <v>19</v>
      </c>
      <c r="Q540" s="2">
        <v>91481861.098859981</v>
      </c>
      <c r="R540" s="2">
        <v>0</v>
      </c>
      <c r="S540" s="2">
        <v>0</v>
      </c>
      <c r="T540" s="2">
        <v>0</v>
      </c>
      <c r="U540" s="233">
        <v>91481861.098859981</v>
      </c>
      <c r="W540" t="s">
        <v>19</v>
      </c>
      <c r="X540" s="2">
        <v>187802211.07271999</v>
      </c>
      <c r="Y540" s="2">
        <v>0</v>
      </c>
      <c r="Z540" s="2">
        <v>0</v>
      </c>
      <c r="AA540" s="2">
        <v>0</v>
      </c>
      <c r="AB540" s="233">
        <v>187802211.07271999</v>
      </c>
      <c r="AD540" t="s">
        <v>19</v>
      </c>
      <c r="AE540" s="2">
        <v>68049811.860459983</v>
      </c>
      <c r="AF540" s="2">
        <v>0</v>
      </c>
      <c r="AG540" s="2">
        <v>0</v>
      </c>
      <c r="AH540" s="2">
        <v>0</v>
      </c>
      <c r="AI540" s="233">
        <v>68049811.860459983</v>
      </c>
      <c r="AJ540" s="3"/>
      <c r="AK540" t="s">
        <v>19</v>
      </c>
      <c r="AL540" s="2">
        <v>84912847.386239946</v>
      </c>
      <c r="AM540" s="2">
        <v>0</v>
      </c>
      <c r="AN540" s="2">
        <v>0</v>
      </c>
      <c r="AO540" s="2">
        <v>0</v>
      </c>
      <c r="AP540" s="233">
        <v>84912847.386239946</v>
      </c>
    </row>
    <row r="541" spans="2:42" x14ac:dyDescent="0.35">
      <c r="B541" t="s">
        <v>86</v>
      </c>
      <c r="C541" s="2">
        <v>9693206.6599999983</v>
      </c>
      <c r="D541" s="2">
        <v>0</v>
      </c>
      <c r="E541" s="2">
        <v>0</v>
      </c>
      <c r="F541" s="2">
        <v>0</v>
      </c>
      <c r="G541" s="233">
        <v>9693206.6599999983</v>
      </c>
      <c r="I541" t="s">
        <v>86</v>
      </c>
      <c r="J541" s="2">
        <v>3238948.7899999996</v>
      </c>
      <c r="K541" s="2">
        <v>0</v>
      </c>
      <c r="L541" s="2">
        <v>0</v>
      </c>
      <c r="M541" s="2">
        <v>0</v>
      </c>
      <c r="N541" s="233">
        <v>3238948.7899999996</v>
      </c>
      <c r="P541" t="s">
        <v>86</v>
      </c>
      <c r="Q541" s="2">
        <v>2207332.2300000028</v>
      </c>
      <c r="R541" s="2">
        <v>0</v>
      </c>
      <c r="S541" s="2">
        <v>0</v>
      </c>
      <c r="T541" s="2">
        <v>0</v>
      </c>
      <c r="U541" s="233">
        <v>2207332.2300000028</v>
      </c>
      <c r="W541" t="s">
        <v>86</v>
      </c>
      <c r="X541" s="2">
        <v>5446281.0200000023</v>
      </c>
      <c r="Y541" s="2">
        <v>0</v>
      </c>
      <c r="Z541" s="2">
        <v>0</v>
      </c>
      <c r="AA541" s="2">
        <v>0</v>
      </c>
      <c r="AB541" s="233">
        <v>5446281.0200000023</v>
      </c>
      <c r="AD541" t="s">
        <v>86</v>
      </c>
      <c r="AE541" s="2">
        <v>3241248.9299999969</v>
      </c>
      <c r="AF541" s="2">
        <v>0</v>
      </c>
      <c r="AG541" s="2">
        <v>0</v>
      </c>
      <c r="AH541" s="2">
        <v>0</v>
      </c>
      <c r="AI541" s="233">
        <v>3241248.9299999969</v>
      </c>
      <c r="AJ541" s="3"/>
      <c r="AK541" t="s">
        <v>86</v>
      </c>
      <c r="AL541" s="2">
        <v>1005676.709999999</v>
      </c>
      <c r="AM541" s="2">
        <v>0</v>
      </c>
      <c r="AN541" s="2">
        <v>0</v>
      </c>
      <c r="AO541" s="2">
        <v>0</v>
      </c>
      <c r="AP541" s="233">
        <v>1005676.709999999</v>
      </c>
    </row>
    <row r="542" spans="2:42" x14ac:dyDescent="0.35">
      <c r="B542" t="s">
        <v>87</v>
      </c>
      <c r="C542" s="2">
        <v>-240433437.64000002</v>
      </c>
      <c r="D542" s="2">
        <v>0</v>
      </c>
      <c r="E542" s="2">
        <v>0</v>
      </c>
      <c r="F542" s="2">
        <v>0</v>
      </c>
      <c r="G542" s="233">
        <v>-240433437.64000002</v>
      </c>
      <c r="I542" t="s">
        <v>87</v>
      </c>
      <c r="J542" s="2">
        <v>-75590375.590000004</v>
      </c>
      <c r="K542" s="2">
        <v>0</v>
      </c>
      <c r="L542" s="2">
        <v>0</v>
      </c>
      <c r="M542" s="2">
        <v>0</v>
      </c>
      <c r="N542" s="233">
        <v>-75590375.590000004</v>
      </c>
      <c r="P542" t="s">
        <v>87</v>
      </c>
      <c r="Q542" s="2">
        <v>-58101905.989999995</v>
      </c>
      <c r="R542" s="2">
        <v>0</v>
      </c>
      <c r="S542" s="2">
        <v>0</v>
      </c>
      <c r="T542" s="2">
        <v>0</v>
      </c>
      <c r="U542" s="233">
        <v>-58101905.989999995</v>
      </c>
      <c r="W542" t="s">
        <v>87</v>
      </c>
      <c r="X542" s="2">
        <v>-133692281.58</v>
      </c>
      <c r="Y542" s="2">
        <v>0</v>
      </c>
      <c r="Z542" s="2">
        <v>0</v>
      </c>
      <c r="AA542" s="2">
        <v>0</v>
      </c>
      <c r="AB542" s="233">
        <v>-133692281.58</v>
      </c>
      <c r="AD542" t="s">
        <v>87</v>
      </c>
      <c r="AE542" s="2">
        <v>-48206573.179999992</v>
      </c>
      <c r="AF542" s="2">
        <v>0</v>
      </c>
      <c r="AG542" s="2">
        <v>0</v>
      </c>
      <c r="AH542" s="2">
        <v>0</v>
      </c>
      <c r="AI542" s="233">
        <v>-48206573.179999992</v>
      </c>
      <c r="AJ542" s="3"/>
      <c r="AK542" t="s">
        <v>87</v>
      </c>
      <c r="AL542" s="2">
        <v>-58534582.880000025</v>
      </c>
      <c r="AM542" s="2">
        <v>0</v>
      </c>
      <c r="AN542" s="2">
        <v>0</v>
      </c>
      <c r="AO542" s="2">
        <v>0</v>
      </c>
      <c r="AP542" s="233">
        <v>-58534582.880000025</v>
      </c>
    </row>
    <row r="543" spans="2:42" x14ac:dyDescent="0.35">
      <c r="B543" s="5" t="s">
        <v>18</v>
      </c>
      <c r="C543" s="235">
        <v>1076866449.7494199</v>
      </c>
      <c r="D543" s="235">
        <v>0</v>
      </c>
      <c r="E543" s="235">
        <v>0</v>
      </c>
      <c r="F543" s="235">
        <v>0</v>
      </c>
      <c r="G543" s="235">
        <v>1076866449.7494199</v>
      </c>
      <c r="I543" s="5" t="s">
        <v>18</v>
      </c>
      <c r="J543" s="235">
        <v>82461366.063859999</v>
      </c>
      <c r="K543" s="235">
        <v>0</v>
      </c>
      <c r="L543" s="235">
        <v>0</v>
      </c>
      <c r="M543" s="235">
        <v>0</v>
      </c>
      <c r="N543" s="235">
        <v>82461366.063859999</v>
      </c>
      <c r="P543" s="5" t="s">
        <v>18</v>
      </c>
      <c r="Q543" s="235">
        <v>295939562.17886001</v>
      </c>
      <c r="R543" s="235">
        <v>0</v>
      </c>
      <c r="S543" s="235">
        <v>0</v>
      </c>
      <c r="T543" s="235">
        <v>0</v>
      </c>
      <c r="U543" s="235">
        <v>295939562.17886001</v>
      </c>
      <c r="W543" s="5" t="s">
        <v>18</v>
      </c>
      <c r="X543" s="235">
        <v>378400928.24272001</v>
      </c>
      <c r="Y543" s="235">
        <v>0</v>
      </c>
      <c r="Z543" s="235">
        <v>0</v>
      </c>
      <c r="AA543" s="235">
        <v>0</v>
      </c>
      <c r="AB543" s="235">
        <v>378400928.24272001</v>
      </c>
      <c r="AD543" s="5" t="s">
        <v>18</v>
      </c>
      <c r="AE543" s="235">
        <v>364641189.69046003</v>
      </c>
      <c r="AF543" s="235">
        <v>0</v>
      </c>
      <c r="AG543" s="235">
        <v>0</v>
      </c>
      <c r="AH543" s="235">
        <v>0</v>
      </c>
      <c r="AI543" s="235">
        <v>364641189.69046003</v>
      </c>
      <c r="AJ543" s="3"/>
      <c r="AK543" s="5" t="s">
        <v>18</v>
      </c>
      <c r="AL543" s="235">
        <v>333824331.81623995</v>
      </c>
      <c r="AM543" s="235">
        <v>0</v>
      </c>
      <c r="AN543" s="235">
        <v>0</v>
      </c>
      <c r="AO543" s="235">
        <v>0</v>
      </c>
      <c r="AP543" s="235">
        <v>333824331.81623995</v>
      </c>
    </row>
    <row r="544" spans="2:42" x14ac:dyDescent="0.35">
      <c r="B544" s="234"/>
      <c r="I544" s="234"/>
      <c r="P544" s="234"/>
      <c r="W544" s="234"/>
      <c r="AD544" s="234"/>
      <c r="AJ544" s="3"/>
      <c r="AK544" s="234"/>
    </row>
    <row r="545" spans="2:42" x14ac:dyDescent="0.35">
      <c r="B545" t="s">
        <v>12</v>
      </c>
      <c r="C545" s="2">
        <v>2689024259.23</v>
      </c>
      <c r="D545" s="2">
        <v>0</v>
      </c>
      <c r="E545" s="2">
        <v>0</v>
      </c>
      <c r="F545" s="2">
        <v>0</v>
      </c>
      <c r="G545" s="233">
        <v>2689024259.23</v>
      </c>
      <c r="I545" t="s">
        <v>12</v>
      </c>
      <c r="J545" s="2">
        <v>668395186.42000008</v>
      </c>
      <c r="K545" s="2">
        <v>0</v>
      </c>
      <c r="L545" s="2">
        <v>0</v>
      </c>
      <c r="M545" s="2">
        <v>0</v>
      </c>
      <c r="N545" s="233">
        <v>668395186.42000008</v>
      </c>
      <c r="P545" t="s">
        <v>12</v>
      </c>
      <c r="Q545" s="2">
        <v>716212556.77999949</v>
      </c>
      <c r="R545" s="2">
        <v>0</v>
      </c>
      <c r="S545" s="2">
        <v>0</v>
      </c>
      <c r="T545" s="2">
        <v>0</v>
      </c>
      <c r="U545" s="233">
        <v>716212556.77999949</v>
      </c>
      <c r="W545" t="s">
        <v>12</v>
      </c>
      <c r="X545" s="2">
        <v>1384607743.1999996</v>
      </c>
      <c r="Y545" s="2">
        <v>0</v>
      </c>
      <c r="Z545" s="2">
        <v>0</v>
      </c>
      <c r="AA545" s="2">
        <v>0</v>
      </c>
      <c r="AB545" s="233">
        <v>1384607743.1999996</v>
      </c>
      <c r="AD545" t="s">
        <v>12</v>
      </c>
      <c r="AE545" s="2">
        <v>678335863.31000066</v>
      </c>
      <c r="AF545" s="2">
        <v>0</v>
      </c>
      <c r="AG545" s="2">
        <v>0</v>
      </c>
      <c r="AH545" s="2">
        <v>0</v>
      </c>
      <c r="AI545" s="233">
        <v>678335863.31000066</v>
      </c>
      <c r="AJ545" s="3"/>
      <c r="AK545" t="s">
        <v>12</v>
      </c>
      <c r="AL545" s="2">
        <v>626080652.71999979</v>
      </c>
      <c r="AM545" s="2">
        <v>0</v>
      </c>
      <c r="AN545" s="2">
        <v>0</v>
      </c>
      <c r="AO545" s="2">
        <v>0</v>
      </c>
      <c r="AP545" s="233">
        <v>626080652.71999979</v>
      </c>
    </row>
    <row r="546" spans="2:42" x14ac:dyDescent="0.35">
      <c r="B546" t="s">
        <v>3</v>
      </c>
      <c r="C546" s="2">
        <v>-1819195213.9451902</v>
      </c>
      <c r="D546" s="2">
        <v>0</v>
      </c>
      <c r="E546" s="2">
        <v>0</v>
      </c>
      <c r="F546" s="2">
        <v>-127350.65</v>
      </c>
      <c r="G546" s="233">
        <v>-1819322564.5951903</v>
      </c>
      <c r="I546" t="s">
        <v>3</v>
      </c>
      <c r="J546" s="2">
        <v>-437859662.28459907</v>
      </c>
      <c r="K546" s="2">
        <v>0</v>
      </c>
      <c r="L546" s="2">
        <v>0</v>
      </c>
      <c r="M546" s="2">
        <v>-28160.89</v>
      </c>
      <c r="N546" s="233">
        <v>-437887823.17459905</v>
      </c>
      <c r="P546" t="s">
        <v>3</v>
      </c>
      <c r="Q546" s="2">
        <v>-467048280.42679346</v>
      </c>
      <c r="R546" s="2">
        <v>0</v>
      </c>
      <c r="S546" s="2">
        <v>0</v>
      </c>
      <c r="T546" s="2">
        <v>-24153.43</v>
      </c>
      <c r="U546" s="233">
        <v>-467072433.85679346</v>
      </c>
      <c r="W546" t="s">
        <v>3</v>
      </c>
      <c r="X546" s="2">
        <v>-904907942.71139252</v>
      </c>
      <c r="Y546" s="2">
        <v>0</v>
      </c>
      <c r="Z546" s="2">
        <v>0</v>
      </c>
      <c r="AA546" s="2">
        <v>-52314.32</v>
      </c>
      <c r="AB546" s="233">
        <v>-904960257.03139257</v>
      </c>
      <c r="AD546" t="s">
        <v>3</v>
      </c>
      <c r="AE546" s="2">
        <v>-466801581.95983183</v>
      </c>
      <c r="AF546" s="2">
        <v>0</v>
      </c>
      <c r="AG546" s="2">
        <v>0</v>
      </c>
      <c r="AH546" s="2">
        <v>-32604.780000000006</v>
      </c>
      <c r="AI546" s="233">
        <v>-466834186.73983181</v>
      </c>
      <c r="AJ546" s="3"/>
      <c r="AK546" t="s">
        <v>3</v>
      </c>
      <c r="AL546" s="2">
        <v>-447485689.27396584</v>
      </c>
      <c r="AM546" s="2">
        <v>0</v>
      </c>
      <c r="AN546" s="2">
        <v>0</v>
      </c>
      <c r="AO546" s="2">
        <v>-42431.549999999981</v>
      </c>
      <c r="AP546" s="233">
        <v>-447528120.82396585</v>
      </c>
    </row>
    <row r="547" spans="2:42" x14ac:dyDescent="0.35">
      <c r="B547" t="s">
        <v>88</v>
      </c>
      <c r="C547" s="2">
        <v>153493886.23893625</v>
      </c>
      <c r="D547" s="2">
        <v>0</v>
      </c>
      <c r="E547" s="2">
        <v>0</v>
      </c>
      <c r="F547" s="2">
        <v>6491004.1900000004</v>
      </c>
      <c r="G547" s="233">
        <v>159984890.42893624</v>
      </c>
      <c r="I547" t="s">
        <v>88</v>
      </c>
      <c r="J547" s="2">
        <v>43163798.574248567</v>
      </c>
      <c r="K547" s="2">
        <v>0</v>
      </c>
      <c r="L547" s="2">
        <v>0</v>
      </c>
      <c r="M547" s="2">
        <v>1509750.4100000001</v>
      </c>
      <c r="N547" s="233">
        <v>44673548.984248564</v>
      </c>
      <c r="P547" t="s">
        <v>88</v>
      </c>
      <c r="Q547" s="2">
        <v>38403510.642289445</v>
      </c>
      <c r="R547" s="2">
        <v>0</v>
      </c>
      <c r="S547" s="2">
        <v>0</v>
      </c>
      <c r="T547" s="2">
        <v>1702360.9800000004</v>
      </c>
      <c r="U547" s="233">
        <v>40105871.622289449</v>
      </c>
      <c r="W547" t="s">
        <v>88</v>
      </c>
      <c r="X547" s="2">
        <v>81567309.216538012</v>
      </c>
      <c r="Y547" s="2">
        <v>0</v>
      </c>
      <c r="Z547" s="2">
        <v>0</v>
      </c>
      <c r="AA547" s="2">
        <v>3212111.3900000006</v>
      </c>
      <c r="AB547" s="233">
        <v>84779420.606538013</v>
      </c>
      <c r="AD547" t="s">
        <v>88</v>
      </c>
      <c r="AE547" s="2">
        <v>34121650.229297221</v>
      </c>
      <c r="AF547" s="2">
        <v>0</v>
      </c>
      <c r="AG547" s="2">
        <v>0</v>
      </c>
      <c r="AH547" s="2">
        <v>1355526.1599999992</v>
      </c>
      <c r="AI547" s="233">
        <v>35477176.389297217</v>
      </c>
      <c r="AJ547" s="3"/>
      <c r="AK547" t="s">
        <v>88</v>
      </c>
      <c r="AL547" s="2">
        <v>37804926.793101013</v>
      </c>
      <c r="AM547" s="2">
        <v>0</v>
      </c>
      <c r="AN547" s="2">
        <v>0</v>
      </c>
      <c r="AO547" s="2">
        <v>1923366.6400000006</v>
      </c>
      <c r="AP547" s="233">
        <v>39728293.433101013</v>
      </c>
    </row>
    <row r="548" spans="2:42" x14ac:dyDescent="0.35">
      <c r="B548" t="s">
        <v>13</v>
      </c>
      <c r="C548" s="2">
        <v>-20510831.119999997</v>
      </c>
      <c r="D548" s="2">
        <v>0</v>
      </c>
      <c r="E548" s="2">
        <v>0</v>
      </c>
      <c r="F548" s="2">
        <v>0</v>
      </c>
      <c r="G548" s="233">
        <v>-20510831.119999997</v>
      </c>
      <c r="I548" t="s">
        <v>13</v>
      </c>
      <c r="J548" s="2">
        <v>-5696247.1000000006</v>
      </c>
      <c r="K548" s="2">
        <v>0</v>
      </c>
      <c r="L548" s="2">
        <v>0</v>
      </c>
      <c r="M548" s="2">
        <v>0</v>
      </c>
      <c r="N548" s="233">
        <v>-5696247.1000000006</v>
      </c>
      <c r="P548" t="s">
        <v>13</v>
      </c>
      <c r="Q548" s="2">
        <v>-5554887.6099999966</v>
      </c>
      <c r="R548" s="2">
        <v>0</v>
      </c>
      <c r="S548" s="2">
        <v>0</v>
      </c>
      <c r="T548" s="2">
        <v>0</v>
      </c>
      <c r="U548" s="233">
        <v>-5554887.6099999966</v>
      </c>
      <c r="W548" t="s">
        <v>13</v>
      </c>
      <c r="X548" s="2">
        <v>-11251134.709999997</v>
      </c>
      <c r="Y548" s="2">
        <v>0</v>
      </c>
      <c r="Z548" s="2">
        <v>0</v>
      </c>
      <c r="AA548" s="2">
        <v>0</v>
      </c>
      <c r="AB548" s="233">
        <v>-11251134.709999997</v>
      </c>
      <c r="AD548" t="s">
        <v>13</v>
      </c>
      <c r="AE548" s="2">
        <v>-6081489.1900000013</v>
      </c>
      <c r="AF548" s="2">
        <v>0</v>
      </c>
      <c r="AG548" s="2">
        <v>0</v>
      </c>
      <c r="AH548" s="2">
        <v>0</v>
      </c>
      <c r="AI548" s="233">
        <v>-6081489.1900000013</v>
      </c>
      <c r="AJ548" s="3"/>
      <c r="AK548" t="s">
        <v>13</v>
      </c>
      <c r="AL548" s="2">
        <v>-3178207.2199999988</v>
      </c>
      <c r="AM548" s="2">
        <v>0</v>
      </c>
      <c r="AN548" s="2">
        <v>0</v>
      </c>
      <c r="AO548" s="2">
        <v>0</v>
      </c>
      <c r="AP548" s="233">
        <v>-3178207.2199999988</v>
      </c>
    </row>
    <row r="549" spans="2:42" x14ac:dyDescent="0.35">
      <c r="B549" s="5" t="s">
        <v>14</v>
      </c>
      <c r="C549" s="235">
        <v>1002812100.403746</v>
      </c>
      <c r="D549" s="235">
        <v>0</v>
      </c>
      <c r="E549" s="235">
        <v>0</v>
      </c>
      <c r="F549" s="235">
        <v>6363653.54</v>
      </c>
      <c r="G549" s="235">
        <v>1009175753.943746</v>
      </c>
      <c r="I549" s="5" t="s">
        <v>14</v>
      </c>
      <c r="J549" s="235">
        <v>268003075.60964957</v>
      </c>
      <c r="K549" s="235">
        <v>0</v>
      </c>
      <c r="L549" s="235">
        <v>0</v>
      </c>
      <c r="M549" s="235">
        <v>1481589.5200000003</v>
      </c>
      <c r="N549" s="235">
        <v>269484665.12964958</v>
      </c>
      <c r="P549" s="5" t="s">
        <v>14</v>
      </c>
      <c r="Q549" s="235">
        <v>282012899.38549548</v>
      </c>
      <c r="R549" s="235">
        <v>0</v>
      </c>
      <c r="S549" s="235">
        <v>0</v>
      </c>
      <c r="T549" s="235">
        <v>1678207.5500000005</v>
      </c>
      <c r="U549" s="235">
        <v>283691106.9354955</v>
      </c>
      <c r="W549" s="5" t="s">
        <v>14</v>
      </c>
      <c r="X549" s="235">
        <v>550015974.99514508</v>
      </c>
      <c r="Y549" s="235">
        <v>0</v>
      </c>
      <c r="Z549" s="235">
        <v>0</v>
      </c>
      <c r="AA549" s="235">
        <v>3159797.0700000008</v>
      </c>
      <c r="AB549" s="235">
        <v>553175772.06514502</v>
      </c>
      <c r="AD549" s="5" t="s">
        <v>14</v>
      </c>
      <c r="AE549" s="235">
        <v>239574442.38946605</v>
      </c>
      <c r="AF549" s="235">
        <v>0</v>
      </c>
      <c r="AG549" s="235">
        <v>0</v>
      </c>
      <c r="AH549" s="235">
        <v>1322921.3799999992</v>
      </c>
      <c r="AI549" s="235">
        <v>240897363.76946607</v>
      </c>
      <c r="AJ549" s="3"/>
      <c r="AK549" s="5" t="s">
        <v>14</v>
      </c>
      <c r="AL549" s="235">
        <v>213221683.01913497</v>
      </c>
      <c r="AM549" s="235">
        <v>0</v>
      </c>
      <c r="AN549" s="235">
        <v>0</v>
      </c>
      <c r="AO549" s="235">
        <v>1880935.0900000005</v>
      </c>
      <c r="AP549" s="235">
        <v>215102618.10913494</v>
      </c>
    </row>
    <row r="550" spans="2:42" x14ac:dyDescent="0.35">
      <c r="B550" s="6"/>
      <c r="C550" s="7"/>
      <c r="D550" s="7"/>
      <c r="E550" s="7"/>
      <c r="F550" s="7"/>
      <c r="G550" s="7"/>
      <c r="I550" s="6"/>
      <c r="J550" s="7"/>
      <c r="K550" s="7"/>
      <c r="L550" s="7"/>
      <c r="M550" s="7"/>
      <c r="N550" s="7"/>
      <c r="P550" s="6"/>
      <c r="Q550" s="7"/>
      <c r="R550" s="7"/>
      <c r="S550" s="7"/>
      <c r="T550" s="7"/>
      <c r="U550" s="7"/>
      <c r="W550" s="6"/>
      <c r="X550" s="7"/>
      <c r="Y550" s="7"/>
      <c r="Z550" s="7"/>
      <c r="AA550" s="7"/>
      <c r="AB550" s="7"/>
      <c r="AD550" s="6"/>
      <c r="AE550" s="7"/>
      <c r="AF550" s="7"/>
      <c r="AG550" s="7"/>
      <c r="AH550" s="7"/>
      <c r="AI550" s="7"/>
      <c r="AJ550" s="3"/>
      <c r="AK550" s="6"/>
      <c r="AL550" s="7"/>
      <c r="AM550" s="7"/>
      <c r="AN550" s="7"/>
      <c r="AO550" s="7"/>
      <c r="AP550" s="7"/>
    </row>
    <row r="551" spans="2:42" x14ac:dyDescent="0.35">
      <c r="B551" t="s">
        <v>15</v>
      </c>
      <c r="C551" s="2">
        <v>202600799.68657789</v>
      </c>
      <c r="D551" s="2">
        <v>0</v>
      </c>
      <c r="E551" s="2">
        <v>0</v>
      </c>
      <c r="F551" s="2">
        <v>10253578.439999999</v>
      </c>
      <c r="G551" s="233">
        <v>212854378.12657788</v>
      </c>
      <c r="I551" t="s">
        <v>15</v>
      </c>
      <c r="J551" s="2">
        <v>37378543.130364396</v>
      </c>
      <c r="K551" s="2">
        <v>0</v>
      </c>
      <c r="L551" s="2">
        <v>0</v>
      </c>
      <c r="M551" s="2">
        <v>2747545.25</v>
      </c>
      <c r="N551" s="233">
        <v>40126088.380364396</v>
      </c>
      <c r="P551" t="s">
        <v>15</v>
      </c>
      <c r="Q551" s="2">
        <v>48331277.747414671</v>
      </c>
      <c r="R551" s="2">
        <v>0</v>
      </c>
      <c r="S551" s="2">
        <v>0</v>
      </c>
      <c r="T551" s="2">
        <v>2692870.7599999988</v>
      </c>
      <c r="U551" s="233">
        <v>51024148.507414669</v>
      </c>
      <c r="W551" t="s">
        <v>15</v>
      </c>
      <c r="X551" s="2">
        <v>85709820.877779067</v>
      </c>
      <c r="Y551" s="2">
        <v>0</v>
      </c>
      <c r="Z551" s="2">
        <v>0</v>
      </c>
      <c r="AA551" s="2">
        <v>5440416.0099999988</v>
      </c>
      <c r="AB551" s="233">
        <v>91150236.887779072</v>
      </c>
      <c r="AD551" t="s">
        <v>15</v>
      </c>
      <c r="AE551" s="2">
        <v>67060685.182141066</v>
      </c>
      <c r="AF551" s="2">
        <v>0</v>
      </c>
      <c r="AG551" s="2">
        <v>0</v>
      </c>
      <c r="AH551" s="2">
        <v>2480183.6300000008</v>
      </c>
      <c r="AI551" s="233">
        <v>69540868.812141061</v>
      </c>
      <c r="AJ551" s="3"/>
      <c r="AK551" t="s">
        <v>15</v>
      </c>
      <c r="AL551" s="2">
        <v>49830293.626657754</v>
      </c>
      <c r="AM551" s="2">
        <v>0</v>
      </c>
      <c r="AN551" s="2">
        <v>0</v>
      </c>
      <c r="AO551" s="2">
        <v>2332978.7999999998</v>
      </c>
      <c r="AP551" s="233">
        <v>52163272.426657751</v>
      </c>
    </row>
    <row r="552" spans="2:42" x14ac:dyDescent="0.35">
      <c r="B552" t="s">
        <v>16</v>
      </c>
      <c r="C552" s="2">
        <v>-96984188.978518531</v>
      </c>
      <c r="D552" s="2">
        <v>0</v>
      </c>
      <c r="E552" s="2">
        <v>0</v>
      </c>
      <c r="F552" s="2">
        <v>0</v>
      </c>
      <c r="G552" s="233">
        <v>-96984188.978518531</v>
      </c>
      <c r="I552" t="s">
        <v>16</v>
      </c>
      <c r="J552" s="2">
        <v>-19274717.600000001</v>
      </c>
      <c r="K552" s="2">
        <v>0</v>
      </c>
      <c r="L552" s="2">
        <v>0</v>
      </c>
      <c r="M552" s="2">
        <v>0</v>
      </c>
      <c r="N552" s="233">
        <v>-19274717.600000001</v>
      </c>
      <c r="P552" t="s">
        <v>16</v>
      </c>
      <c r="Q552" s="2">
        <v>-21829132.00999999</v>
      </c>
      <c r="R552" s="2">
        <v>0</v>
      </c>
      <c r="S552" s="2">
        <v>0</v>
      </c>
      <c r="T552" s="2">
        <v>0</v>
      </c>
      <c r="U552" s="233">
        <v>-21829132.00999999</v>
      </c>
      <c r="W552" t="s">
        <v>16</v>
      </c>
      <c r="X552" s="2">
        <v>-41103849.609999992</v>
      </c>
      <c r="Y552" s="2">
        <v>0</v>
      </c>
      <c r="Z552" s="2">
        <v>0</v>
      </c>
      <c r="AA552" s="2">
        <v>0</v>
      </c>
      <c r="AB552" s="233">
        <v>-41103849.609999992</v>
      </c>
      <c r="AD552" t="s">
        <v>16</v>
      </c>
      <c r="AE552" s="2">
        <v>-33653910.598260872</v>
      </c>
      <c r="AF552" s="2">
        <v>0</v>
      </c>
      <c r="AG552" s="2">
        <v>0</v>
      </c>
      <c r="AH552" s="2">
        <v>0</v>
      </c>
      <c r="AI552" s="233">
        <v>-33653910.598260872</v>
      </c>
      <c r="AJ552" s="3"/>
      <c r="AK552" t="s">
        <v>16</v>
      </c>
      <c r="AL552" s="2">
        <v>-22226428.770257667</v>
      </c>
      <c r="AM552" s="2">
        <v>0</v>
      </c>
      <c r="AN552" s="2">
        <v>0</v>
      </c>
      <c r="AO552" s="2">
        <v>0</v>
      </c>
      <c r="AP552" s="233">
        <v>-22226428.770257667</v>
      </c>
    </row>
    <row r="553" spans="2:42" x14ac:dyDescent="0.35">
      <c r="B553" s="5" t="s">
        <v>17</v>
      </c>
      <c r="C553" s="235">
        <v>105616610.70805936</v>
      </c>
      <c r="D553" s="235">
        <v>0</v>
      </c>
      <c r="E553" s="235">
        <v>0</v>
      </c>
      <c r="F553" s="235">
        <v>10253578.439999999</v>
      </c>
      <c r="G553" s="235">
        <v>115870189.14805935</v>
      </c>
      <c r="I553" s="5" t="s">
        <v>17</v>
      </c>
      <c r="J553" s="235">
        <v>18103825.530364394</v>
      </c>
      <c r="K553" s="235">
        <v>0</v>
      </c>
      <c r="L553" s="235">
        <v>0</v>
      </c>
      <c r="M553" s="235">
        <v>2747545.25</v>
      </c>
      <c r="N553" s="235">
        <v>20851370.780364394</v>
      </c>
      <c r="P553" s="5" t="s">
        <v>17</v>
      </c>
      <c r="Q553" s="235">
        <v>26502145.73741468</v>
      </c>
      <c r="R553" s="235">
        <v>0</v>
      </c>
      <c r="S553" s="235">
        <v>0</v>
      </c>
      <c r="T553" s="235">
        <v>2692870.7599999988</v>
      </c>
      <c r="U553" s="235">
        <v>29195016.497414678</v>
      </c>
      <c r="W553" s="5" t="s">
        <v>17</v>
      </c>
      <c r="X553" s="235">
        <v>44605971.267779075</v>
      </c>
      <c r="Y553" s="235">
        <v>0</v>
      </c>
      <c r="Z553" s="235">
        <v>0</v>
      </c>
      <c r="AA553" s="235">
        <v>5440416.0099999988</v>
      </c>
      <c r="AB553" s="235">
        <v>50046387.27777908</v>
      </c>
      <c r="AD553" s="5" t="s">
        <v>17</v>
      </c>
      <c r="AE553" s="235">
        <v>33406774.583880194</v>
      </c>
      <c r="AF553" s="235">
        <v>0</v>
      </c>
      <c r="AG553" s="235">
        <v>0</v>
      </c>
      <c r="AH553" s="235">
        <v>2480183.6300000008</v>
      </c>
      <c r="AI553" s="235">
        <v>35886958.213880189</v>
      </c>
      <c r="AJ553" s="3"/>
      <c r="AK553" s="5" t="s">
        <v>17</v>
      </c>
      <c r="AL553" s="235">
        <v>27603864.856400087</v>
      </c>
      <c r="AM553" s="235">
        <v>0</v>
      </c>
      <c r="AN553" s="235">
        <v>0</v>
      </c>
      <c r="AO553" s="235">
        <v>2332978.7999999998</v>
      </c>
      <c r="AP553" s="235">
        <v>29936843.656400084</v>
      </c>
    </row>
    <row r="554" spans="2:42" x14ac:dyDescent="0.35">
      <c r="AJ554" s="3"/>
    </row>
    <row r="555" spans="2:42" x14ac:dyDescent="0.35">
      <c r="B555" s="16" t="s">
        <v>20</v>
      </c>
      <c r="C555" s="23">
        <v>30046692.24529019</v>
      </c>
      <c r="D555" s="23">
        <v>0</v>
      </c>
      <c r="E555" s="23">
        <v>0</v>
      </c>
      <c r="F555" s="23">
        <v>-25373927.043122672</v>
      </c>
      <c r="G555" s="28">
        <v>4672765.2021675184</v>
      </c>
      <c r="I555" s="16" t="s">
        <v>20</v>
      </c>
      <c r="J555" s="23">
        <v>3351726.5478378329</v>
      </c>
      <c r="K555" s="23">
        <v>0</v>
      </c>
      <c r="L555" s="23">
        <v>0</v>
      </c>
      <c r="M555" s="23">
        <v>-6532989.510631755</v>
      </c>
      <c r="N555" s="28">
        <v>-3181262.9627939221</v>
      </c>
      <c r="P555" s="16" t="s">
        <v>20</v>
      </c>
      <c r="Q555" s="2">
        <v>6590820.5215374548</v>
      </c>
      <c r="R555" s="2">
        <v>0</v>
      </c>
      <c r="S555" s="2">
        <v>0</v>
      </c>
      <c r="T555" s="2">
        <v>-6374771.4867955595</v>
      </c>
      <c r="U555" s="28">
        <v>216049.03474189527</v>
      </c>
      <c r="W555" s="16" t="s">
        <v>20</v>
      </c>
      <c r="X555" s="23">
        <v>9942547.0693752877</v>
      </c>
      <c r="Y555" s="23">
        <v>0</v>
      </c>
      <c r="Z555" s="23">
        <v>0</v>
      </c>
      <c r="AA555" s="23">
        <v>-12907760.997427315</v>
      </c>
      <c r="AB555" s="28">
        <v>-2965213.9280520268</v>
      </c>
      <c r="AD555" s="16" t="s">
        <v>20</v>
      </c>
      <c r="AE555" s="23">
        <v>9129036.043781504</v>
      </c>
      <c r="AF555" s="23">
        <v>0</v>
      </c>
      <c r="AG555" s="23">
        <v>0</v>
      </c>
      <c r="AH555" s="23">
        <v>-6313491.7633443102</v>
      </c>
      <c r="AI555" s="28">
        <v>2815544.2804371938</v>
      </c>
      <c r="AJ555" s="3"/>
      <c r="AK555" s="16" t="s">
        <v>20</v>
      </c>
      <c r="AL555" s="23">
        <v>10975109.132133398</v>
      </c>
      <c r="AM555" s="23">
        <v>0</v>
      </c>
      <c r="AN555" s="23">
        <v>0</v>
      </c>
      <c r="AO555" s="23">
        <v>-6152674.2823510468</v>
      </c>
      <c r="AP555" s="28">
        <v>4822434.8497823514</v>
      </c>
    </row>
    <row r="556" spans="2:42" x14ac:dyDescent="0.35">
      <c r="AJ556" s="3"/>
    </row>
    <row r="557" spans="2:42" x14ac:dyDescent="0.35">
      <c r="B557" t="s">
        <v>0</v>
      </c>
      <c r="C557" s="2">
        <v>0</v>
      </c>
      <c r="D557" s="2">
        <v>0</v>
      </c>
      <c r="E557" s="2">
        <v>0</v>
      </c>
      <c r="F557" s="2">
        <v>0</v>
      </c>
      <c r="G557" s="233">
        <v>0</v>
      </c>
      <c r="I557" t="s">
        <v>0</v>
      </c>
      <c r="J557" s="2">
        <v>0</v>
      </c>
      <c r="K557" s="2">
        <v>0</v>
      </c>
      <c r="L557" s="2">
        <v>0</v>
      </c>
      <c r="M557" s="2">
        <v>0</v>
      </c>
      <c r="N557" s="233">
        <v>0</v>
      </c>
      <c r="P557" t="s">
        <v>0</v>
      </c>
      <c r="Q557" s="2">
        <v>0</v>
      </c>
      <c r="R557" s="2">
        <v>0</v>
      </c>
      <c r="S557" s="2">
        <v>0</v>
      </c>
      <c r="T557" s="2">
        <v>0</v>
      </c>
      <c r="U557" s="233">
        <v>0</v>
      </c>
      <c r="W557" t="s">
        <v>0</v>
      </c>
      <c r="X557" s="2">
        <v>0</v>
      </c>
      <c r="Y557" s="2">
        <v>0</v>
      </c>
      <c r="Z557" s="2">
        <v>0</v>
      </c>
      <c r="AA557" s="2">
        <v>0</v>
      </c>
      <c r="AB557" s="233">
        <v>0</v>
      </c>
      <c r="AD557" t="s">
        <v>0</v>
      </c>
      <c r="AE557" s="2">
        <v>0</v>
      </c>
      <c r="AF557" s="2">
        <v>0</v>
      </c>
      <c r="AG557" s="2">
        <v>0</v>
      </c>
      <c r="AH557" s="2">
        <v>0</v>
      </c>
      <c r="AI557" s="233">
        <v>0</v>
      </c>
      <c r="AJ557" s="3"/>
      <c r="AK557" t="s">
        <v>0</v>
      </c>
      <c r="AL557" s="2">
        <v>0</v>
      </c>
      <c r="AM557" s="2">
        <v>0</v>
      </c>
      <c r="AN557" s="2">
        <v>0</v>
      </c>
      <c r="AO557" s="2">
        <v>0</v>
      </c>
      <c r="AP557" s="233">
        <v>0</v>
      </c>
    </row>
    <row r="558" spans="2:42" x14ac:dyDescent="0.35">
      <c r="B558" t="s">
        <v>2</v>
      </c>
      <c r="C558" s="2">
        <v>-0.47</v>
      </c>
      <c r="D558" s="2">
        <v>0</v>
      </c>
      <c r="E558" s="2">
        <v>0</v>
      </c>
      <c r="F558" s="2">
        <v>0</v>
      </c>
      <c r="G558" s="233">
        <v>-0.47</v>
      </c>
      <c r="I558" t="s">
        <v>2</v>
      </c>
      <c r="J558" s="2">
        <v>-0.47</v>
      </c>
      <c r="K558" s="2">
        <v>0</v>
      </c>
      <c r="L558" s="2">
        <v>0</v>
      </c>
      <c r="M558" s="2">
        <v>0</v>
      </c>
      <c r="N558" s="233">
        <v>-0.47</v>
      </c>
      <c r="P558" t="s">
        <v>2</v>
      </c>
      <c r="Q558" s="2">
        <v>0</v>
      </c>
      <c r="R558" s="2">
        <v>0</v>
      </c>
      <c r="S558" s="2">
        <v>0</v>
      </c>
      <c r="T558" s="2">
        <v>0</v>
      </c>
      <c r="U558" s="233">
        <v>0</v>
      </c>
      <c r="W558" t="s">
        <v>2</v>
      </c>
      <c r="X558" s="2">
        <v>-0.47</v>
      </c>
      <c r="Y558" s="2">
        <v>0</v>
      </c>
      <c r="Z558" s="2">
        <v>0</v>
      </c>
      <c r="AA558" s="2">
        <v>0</v>
      </c>
      <c r="AB558" s="233">
        <v>-0.47</v>
      </c>
      <c r="AD558" t="s">
        <v>2</v>
      </c>
      <c r="AE558" s="2">
        <v>0</v>
      </c>
      <c r="AF558" s="2">
        <v>0</v>
      </c>
      <c r="AG558" s="2">
        <v>0</v>
      </c>
      <c r="AH558" s="2">
        <v>0</v>
      </c>
      <c r="AI558" s="233">
        <v>0</v>
      </c>
      <c r="AJ558" s="3"/>
      <c r="AK558" t="s">
        <v>2</v>
      </c>
      <c r="AL558" s="2">
        <v>0</v>
      </c>
      <c r="AM558" s="2">
        <v>0</v>
      </c>
      <c r="AN558" s="2">
        <v>0</v>
      </c>
      <c r="AO558" s="2">
        <v>0</v>
      </c>
      <c r="AP558" s="233">
        <v>0</v>
      </c>
    </row>
    <row r="559" spans="2:42" x14ac:dyDescent="0.35">
      <c r="B559" s="5" t="s">
        <v>21</v>
      </c>
      <c r="C559" s="235">
        <v>-0.47</v>
      </c>
      <c r="D559" s="235">
        <v>0</v>
      </c>
      <c r="E559" s="235">
        <v>0</v>
      </c>
      <c r="F559" s="235">
        <v>0</v>
      </c>
      <c r="G559" s="235">
        <v>-0.47</v>
      </c>
      <c r="I559" s="5" t="s">
        <v>21</v>
      </c>
      <c r="J559" s="235">
        <v>-0.47</v>
      </c>
      <c r="K559" s="235">
        <v>0</v>
      </c>
      <c r="L559" s="235">
        <v>0</v>
      </c>
      <c r="M559" s="235">
        <v>0</v>
      </c>
      <c r="N559" s="235">
        <v>-0.47</v>
      </c>
      <c r="P559" s="5" t="s">
        <v>21</v>
      </c>
      <c r="Q559" s="235">
        <v>0</v>
      </c>
      <c r="R559" s="235">
        <v>0</v>
      </c>
      <c r="S559" s="235">
        <v>0</v>
      </c>
      <c r="T559" s="235">
        <v>0</v>
      </c>
      <c r="U559" s="235">
        <v>0</v>
      </c>
      <c r="W559" s="5" t="s">
        <v>21</v>
      </c>
      <c r="X559" s="235">
        <v>-0.47</v>
      </c>
      <c r="Y559" s="235">
        <v>0</v>
      </c>
      <c r="Z559" s="235">
        <v>0</v>
      </c>
      <c r="AA559" s="235">
        <v>0</v>
      </c>
      <c r="AB559" s="235">
        <v>-0.47</v>
      </c>
      <c r="AD559" s="5" t="s">
        <v>21</v>
      </c>
      <c r="AE559" s="235">
        <v>0</v>
      </c>
      <c r="AF559" s="235">
        <v>0</v>
      </c>
      <c r="AG559" s="235">
        <v>0</v>
      </c>
      <c r="AH559" s="235">
        <v>0</v>
      </c>
      <c r="AI559" s="235">
        <v>0</v>
      </c>
      <c r="AJ559" s="3"/>
      <c r="AK559" s="5" t="s">
        <v>21</v>
      </c>
      <c r="AL559" s="235">
        <v>0</v>
      </c>
      <c r="AM559" s="235">
        <v>0</v>
      </c>
      <c r="AN559" s="235">
        <v>0</v>
      </c>
      <c r="AO559" s="235">
        <v>0</v>
      </c>
      <c r="AP559" s="235">
        <v>0</v>
      </c>
    </row>
    <row r="560" spans="2:42" ht="15" thickBot="1" x14ac:dyDescent="0.4">
      <c r="B560" s="236" t="s">
        <v>22</v>
      </c>
      <c r="C560" s="237">
        <v>2215341853</v>
      </c>
      <c r="D560" s="237">
        <v>0</v>
      </c>
      <c r="E560" s="237">
        <v>0</v>
      </c>
      <c r="F560" s="237">
        <v>-8756695</v>
      </c>
      <c r="G560" s="237">
        <v>2206585158</v>
      </c>
      <c r="I560" s="236" t="s">
        <v>22</v>
      </c>
      <c r="J560" s="237">
        <v>371919993</v>
      </c>
      <c r="K560" s="237">
        <v>0</v>
      </c>
      <c r="L560" s="237">
        <v>0</v>
      </c>
      <c r="M560" s="237">
        <v>-2303855</v>
      </c>
      <c r="N560" s="237">
        <v>369616139</v>
      </c>
      <c r="P560" s="236" t="s">
        <v>22</v>
      </c>
      <c r="Q560" s="237">
        <v>611045428</v>
      </c>
      <c r="R560" s="237">
        <v>0</v>
      </c>
      <c r="S560" s="237">
        <v>0</v>
      </c>
      <c r="T560" s="237">
        <v>-2003693</v>
      </c>
      <c r="U560" s="237">
        <v>609041735</v>
      </c>
      <c r="W560" s="236" t="s">
        <v>22</v>
      </c>
      <c r="X560" s="237">
        <v>982965421</v>
      </c>
      <c r="Y560" s="237">
        <v>0</v>
      </c>
      <c r="Z560" s="237">
        <v>0</v>
      </c>
      <c r="AA560" s="237">
        <v>-4307548</v>
      </c>
      <c r="AB560" s="237">
        <v>978657873</v>
      </c>
      <c r="AD560" s="236" t="s">
        <v>22</v>
      </c>
      <c r="AE560" s="237">
        <v>646751443</v>
      </c>
      <c r="AF560" s="237">
        <v>0</v>
      </c>
      <c r="AG560" s="237">
        <v>0</v>
      </c>
      <c r="AH560" s="237">
        <v>-2510387</v>
      </c>
      <c r="AI560" s="237">
        <v>644241056</v>
      </c>
      <c r="AJ560" s="3"/>
      <c r="AK560" s="236" t="s">
        <v>22</v>
      </c>
      <c r="AL560" s="237">
        <v>585624989</v>
      </c>
      <c r="AM560" s="237">
        <v>0</v>
      </c>
      <c r="AN560" s="237">
        <v>0</v>
      </c>
      <c r="AO560" s="237">
        <v>-1938760</v>
      </c>
      <c r="AP560" s="237">
        <v>583686228</v>
      </c>
    </row>
    <row r="561" spans="2:42" ht="15" thickTop="1" x14ac:dyDescent="0.35">
      <c r="B561" s="6"/>
      <c r="C561" s="7"/>
      <c r="D561" s="7"/>
      <c r="E561" s="7"/>
      <c r="F561" s="7"/>
      <c r="G561" s="7"/>
      <c r="I561" s="6"/>
      <c r="J561" s="7"/>
      <c r="K561" s="7"/>
      <c r="L561" s="7"/>
      <c r="M561" s="7"/>
      <c r="N561" s="7"/>
      <c r="P561" s="6"/>
      <c r="Q561" s="7"/>
      <c r="R561" s="7"/>
      <c r="S561" s="7"/>
      <c r="T561" s="7"/>
      <c r="U561" s="7"/>
      <c r="W561" s="6"/>
      <c r="X561" s="7"/>
      <c r="Y561" s="7"/>
      <c r="Z561" s="7"/>
      <c r="AA561" s="7"/>
      <c r="AB561" s="7"/>
      <c r="AD561" s="6"/>
      <c r="AE561" s="7"/>
      <c r="AF561" s="7"/>
      <c r="AG561" s="7"/>
      <c r="AH561" s="7"/>
      <c r="AI561" s="7"/>
      <c r="AJ561" s="3"/>
      <c r="AK561" s="6"/>
      <c r="AL561" s="7"/>
      <c r="AM561" s="7"/>
      <c r="AN561" s="7"/>
      <c r="AO561" s="7"/>
      <c r="AP561" s="7"/>
    </row>
    <row r="562" spans="2:42" x14ac:dyDescent="0.35">
      <c r="B562" s="234" t="s">
        <v>23</v>
      </c>
      <c r="C562" s="7"/>
      <c r="D562" s="7"/>
      <c r="E562" s="7"/>
      <c r="F562" s="7"/>
      <c r="G562" s="7"/>
      <c r="I562" s="234" t="s">
        <v>23</v>
      </c>
      <c r="J562" s="7"/>
      <c r="K562" s="7"/>
      <c r="L562" s="7"/>
      <c r="M562" s="7"/>
      <c r="N562" s="7"/>
      <c r="P562" s="234" t="s">
        <v>23</v>
      </c>
      <c r="Q562" s="7"/>
      <c r="R562" s="7"/>
      <c r="S562" s="7"/>
      <c r="T562" s="7"/>
      <c r="U562" s="7"/>
      <c r="W562" s="234" t="s">
        <v>23</v>
      </c>
      <c r="X562" s="7"/>
      <c r="Y562" s="7"/>
      <c r="Z562" s="7"/>
      <c r="AA562" s="7"/>
      <c r="AB562" s="7"/>
      <c r="AD562" s="234" t="s">
        <v>23</v>
      </c>
      <c r="AE562" s="7"/>
      <c r="AF562" s="7"/>
      <c r="AG562" s="7"/>
      <c r="AH562" s="7"/>
      <c r="AI562" s="7"/>
      <c r="AJ562" s="3"/>
      <c r="AK562" s="234" t="s">
        <v>23</v>
      </c>
      <c r="AL562" s="7"/>
      <c r="AM562" s="7"/>
      <c r="AN562" s="7"/>
      <c r="AO562" s="7"/>
      <c r="AP562" s="7"/>
    </row>
    <row r="563" spans="2:42" x14ac:dyDescent="0.35">
      <c r="B563" t="s">
        <v>241</v>
      </c>
      <c r="C563" s="2">
        <v>0</v>
      </c>
      <c r="D563" s="2">
        <v>2887720106.06775</v>
      </c>
      <c r="E563" s="2">
        <v>0</v>
      </c>
      <c r="F563" s="2">
        <v>0</v>
      </c>
      <c r="G563" s="233">
        <v>2887720106.06775</v>
      </c>
      <c r="I563" t="s">
        <v>241</v>
      </c>
      <c r="J563" s="2">
        <v>0</v>
      </c>
      <c r="K563" s="2">
        <v>618696206.640172</v>
      </c>
      <c r="L563" s="2">
        <v>0</v>
      </c>
      <c r="M563" s="2">
        <v>0</v>
      </c>
      <c r="N563" s="233">
        <v>618696206.640172</v>
      </c>
      <c r="P563" t="s">
        <v>241</v>
      </c>
      <c r="Q563" s="2">
        <v>0</v>
      </c>
      <c r="R563" s="2">
        <v>708004141.30857801</v>
      </c>
      <c r="S563" s="2">
        <v>0</v>
      </c>
      <c r="T563" s="2">
        <v>0</v>
      </c>
      <c r="U563" s="233">
        <v>708004141.30857801</v>
      </c>
      <c r="W563" t="s">
        <v>241</v>
      </c>
      <c r="X563" s="2">
        <v>0</v>
      </c>
      <c r="Y563" s="2">
        <v>1326700347.94875</v>
      </c>
      <c r="Z563" s="2">
        <v>0</v>
      </c>
      <c r="AA563" s="2">
        <v>0</v>
      </c>
      <c r="AB563" s="233">
        <v>1326700347.94875</v>
      </c>
      <c r="AD563" t="s">
        <v>241</v>
      </c>
      <c r="AE563" s="2">
        <v>0</v>
      </c>
      <c r="AF563" s="2">
        <v>796101431.9381175</v>
      </c>
      <c r="AG563" s="2">
        <v>0</v>
      </c>
      <c r="AH563" s="2">
        <v>0</v>
      </c>
      <c r="AI563" s="233">
        <v>796101431.9381175</v>
      </c>
      <c r="AJ563" s="3"/>
      <c r="AK563" t="s">
        <v>241</v>
      </c>
      <c r="AL563" s="2">
        <v>0</v>
      </c>
      <c r="AM563" s="2">
        <v>764918326.18088245</v>
      </c>
      <c r="AN563" s="2">
        <v>0</v>
      </c>
      <c r="AO563" s="2">
        <v>0</v>
      </c>
      <c r="AP563" s="233">
        <v>764918326.18088245</v>
      </c>
    </row>
    <row r="564" spans="2:42" x14ac:dyDescent="0.35">
      <c r="B564" t="s">
        <v>231</v>
      </c>
      <c r="C564" s="2">
        <v>0</v>
      </c>
      <c r="D564" s="2">
        <v>-2552880667.1756959</v>
      </c>
      <c r="E564" s="2">
        <v>0</v>
      </c>
      <c r="F564" s="2">
        <v>0</v>
      </c>
      <c r="G564" s="233">
        <v>-2552880667.1756959</v>
      </c>
      <c r="I564" t="s">
        <v>231</v>
      </c>
      <c r="J564" s="2">
        <v>0</v>
      </c>
      <c r="K564" s="2">
        <v>-694300486.35986638</v>
      </c>
      <c r="L564" s="2">
        <v>0</v>
      </c>
      <c r="M564" s="2">
        <v>0</v>
      </c>
      <c r="N564" s="233">
        <v>-694300486.35986638</v>
      </c>
      <c r="P564" t="s">
        <v>231</v>
      </c>
      <c r="Q564" s="2">
        <v>0</v>
      </c>
      <c r="R564" s="2">
        <v>-508332249.97888851</v>
      </c>
      <c r="S564" s="2">
        <v>0</v>
      </c>
      <c r="T564" s="2">
        <v>0</v>
      </c>
      <c r="U564" s="233">
        <v>-508332249.97888851</v>
      </c>
      <c r="W564" t="s">
        <v>231</v>
      </c>
      <c r="X564" s="2">
        <v>0</v>
      </c>
      <c r="Y564" s="2">
        <v>-1202632736.3387549</v>
      </c>
      <c r="Z564" s="2">
        <v>0</v>
      </c>
      <c r="AA564" s="2">
        <v>0</v>
      </c>
      <c r="AB564" s="233">
        <v>-1202632736.3387549</v>
      </c>
      <c r="AD564" t="s">
        <v>231</v>
      </c>
      <c r="AE564" s="2">
        <v>0</v>
      </c>
      <c r="AF564" s="2">
        <v>-699759927.91585445</v>
      </c>
      <c r="AG564" s="2">
        <v>0</v>
      </c>
      <c r="AH564" s="2">
        <v>0</v>
      </c>
      <c r="AI564" s="233">
        <v>-699759927.91585445</v>
      </c>
      <c r="AJ564" s="3"/>
      <c r="AK564" t="s">
        <v>231</v>
      </c>
      <c r="AL564" s="2">
        <v>0</v>
      </c>
      <c r="AM564" s="2">
        <v>-650488002.92108655</v>
      </c>
      <c r="AN564" s="2">
        <v>0</v>
      </c>
      <c r="AO564" s="2">
        <v>0</v>
      </c>
      <c r="AP564" s="233">
        <v>-650488002.92108655</v>
      </c>
    </row>
    <row r="565" spans="2:42" ht="15" thickBot="1" x14ac:dyDescent="0.4">
      <c r="B565" s="236" t="s">
        <v>232</v>
      </c>
      <c r="C565" s="238">
        <v>0</v>
      </c>
      <c r="D565" s="238">
        <v>334839438.89205408</v>
      </c>
      <c r="E565" s="238">
        <v>0</v>
      </c>
      <c r="F565" s="238">
        <v>0</v>
      </c>
      <c r="G565" s="238">
        <v>334839438.89205408</v>
      </c>
      <c r="I565" s="236" t="s">
        <v>232</v>
      </c>
      <c r="J565" s="238">
        <v>0</v>
      </c>
      <c r="K565" s="238">
        <v>-75604279.719694376</v>
      </c>
      <c r="L565" s="238">
        <v>0</v>
      </c>
      <c r="M565" s="238">
        <v>0</v>
      </c>
      <c r="N565" s="238">
        <v>-75604279.719694376</v>
      </c>
      <c r="P565" s="236" t="s">
        <v>232</v>
      </c>
      <c r="Q565" s="238">
        <v>0</v>
      </c>
      <c r="R565" s="238">
        <v>199671891.3296895</v>
      </c>
      <c r="S565" s="238">
        <v>0</v>
      </c>
      <c r="T565" s="238">
        <v>0</v>
      </c>
      <c r="U565" s="238">
        <v>199671891.3296895</v>
      </c>
      <c r="W565" s="236" t="s">
        <v>232</v>
      </c>
      <c r="X565" s="238">
        <v>0</v>
      </c>
      <c r="Y565" s="238">
        <v>124067611.60999513</v>
      </c>
      <c r="Z565" s="238">
        <v>0</v>
      </c>
      <c r="AA565" s="238">
        <v>0</v>
      </c>
      <c r="AB565" s="238">
        <v>124067611.60999513</v>
      </c>
      <c r="AD565" s="236" t="s">
        <v>232</v>
      </c>
      <c r="AE565" s="238">
        <v>0</v>
      </c>
      <c r="AF565" s="238">
        <v>96341504.02226305</v>
      </c>
      <c r="AG565" s="238">
        <v>0</v>
      </c>
      <c r="AH565" s="238">
        <v>0</v>
      </c>
      <c r="AI565" s="238">
        <v>96341504.02226305</v>
      </c>
      <c r="AJ565" s="3"/>
      <c r="AK565" s="236" t="s">
        <v>232</v>
      </c>
      <c r="AL565" s="238">
        <v>0</v>
      </c>
      <c r="AM565" s="238">
        <v>114430323.2597959</v>
      </c>
      <c r="AN565" s="238">
        <v>0</v>
      </c>
      <c r="AO565" s="238">
        <v>0</v>
      </c>
      <c r="AP565" s="238">
        <v>114430323.2597959</v>
      </c>
    </row>
    <row r="566" spans="2:42" ht="15" thickTop="1" x14ac:dyDescent="0.35">
      <c r="B566" t="s">
        <v>233</v>
      </c>
      <c r="C566" s="2">
        <v>0</v>
      </c>
      <c r="D566" s="2">
        <v>-811785927.02073598</v>
      </c>
      <c r="E566" s="2">
        <v>0</v>
      </c>
      <c r="F566" s="2">
        <v>0</v>
      </c>
      <c r="G566" s="233">
        <v>-811785927.02073598</v>
      </c>
      <c r="I566" t="s">
        <v>233</v>
      </c>
      <c r="J566" s="2">
        <v>0</v>
      </c>
      <c r="K566" s="2">
        <v>-207103386.55503574</v>
      </c>
      <c r="L566" s="2">
        <v>0</v>
      </c>
      <c r="M566" s="2">
        <v>0</v>
      </c>
      <c r="N566" s="233">
        <v>-207103386.55503574</v>
      </c>
      <c r="P566" t="s">
        <v>233</v>
      </c>
      <c r="Q566" s="2">
        <v>0</v>
      </c>
      <c r="R566" s="2">
        <v>-219658194.91049108</v>
      </c>
      <c r="S566" s="2">
        <v>0</v>
      </c>
      <c r="T566" s="2">
        <v>0</v>
      </c>
      <c r="U566" s="233">
        <v>-219658194.91049108</v>
      </c>
      <c r="W566" t="s">
        <v>233</v>
      </c>
      <c r="X566" s="2">
        <v>0</v>
      </c>
      <c r="Y566" s="2">
        <v>-426761581.46552682</v>
      </c>
      <c r="Z566" s="2">
        <v>0</v>
      </c>
      <c r="AA566" s="2">
        <v>0</v>
      </c>
      <c r="AB566" s="233">
        <v>-426761581.46552682</v>
      </c>
      <c r="AD566" t="s">
        <v>233</v>
      </c>
      <c r="AE566" s="2">
        <v>0</v>
      </c>
      <c r="AF566" s="2">
        <v>-209103332.61145759</v>
      </c>
      <c r="AG566" s="2">
        <v>0</v>
      </c>
      <c r="AH566" s="2">
        <v>0</v>
      </c>
      <c r="AI566" s="233">
        <v>-209103332.61145759</v>
      </c>
      <c r="AJ566" s="3"/>
      <c r="AK566" t="s">
        <v>233</v>
      </c>
      <c r="AL566" s="2">
        <v>0</v>
      </c>
      <c r="AM566" s="2">
        <v>-175921012.94375157</v>
      </c>
      <c r="AN566" s="2">
        <v>0</v>
      </c>
      <c r="AO566" s="2">
        <v>0</v>
      </c>
      <c r="AP566" s="233">
        <v>-175921012.94375157</v>
      </c>
    </row>
    <row r="567" spans="2:42" x14ac:dyDescent="0.35">
      <c r="B567" t="s">
        <v>234</v>
      </c>
      <c r="C567" s="2">
        <v>0</v>
      </c>
      <c r="D567" s="2">
        <v>756192659.50978732</v>
      </c>
      <c r="E567" s="2">
        <v>0</v>
      </c>
      <c r="F567" s="2">
        <v>0</v>
      </c>
      <c r="G567" s="233">
        <v>756192659.50978732</v>
      </c>
      <c r="I567" t="s">
        <v>234</v>
      </c>
      <c r="J567" s="2">
        <v>0</v>
      </c>
      <c r="K567" s="2">
        <v>351842811.24626315</v>
      </c>
      <c r="L567" s="2">
        <v>0</v>
      </c>
      <c r="M567" s="2">
        <v>0</v>
      </c>
      <c r="N567" s="233">
        <v>351842811.24626315</v>
      </c>
      <c r="P567" t="s">
        <v>234</v>
      </c>
      <c r="Q567" s="2">
        <v>0</v>
      </c>
      <c r="R567" s="2">
        <v>45291628.706895351</v>
      </c>
      <c r="S567" s="2">
        <v>0</v>
      </c>
      <c r="T567" s="2">
        <v>0</v>
      </c>
      <c r="U567" s="233">
        <v>45291628.706895351</v>
      </c>
      <c r="W567" t="s">
        <v>234</v>
      </c>
      <c r="X567" s="2">
        <v>0</v>
      </c>
      <c r="Y567" s="2">
        <v>397134439.9531585</v>
      </c>
      <c r="Z567" s="2">
        <v>0</v>
      </c>
      <c r="AA567" s="2">
        <v>0</v>
      </c>
      <c r="AB567" s="233">
        <v>397134439.9531585</v>
      </c>
      <c r="AD567" t="s">
        <v>234</v>
      </c>
      <c r="AE567" s="2">
        <v>0</v>
      </c>
      <c r="AF567" s="2">
        <v>177539114.63822746</v>
      </c>
      <c r="AG567" s="2">
        <v>0</v>
      </c>
      <c r="AH567" s="2">
        <v>0</v>
      </c>
      <c r="AI567" s="233">
        <v>177539114.63822746</v>
      </c>
      <c r="AJ567" s="3"/>
      <c r="AK567" t="s">
        <v>234</v>
      </c>
      <c r="AL567" s="2">
        <v>0</v>
      </c>
      <c r="AM567" s="2">
        <v>181519104.91840136</v>
      </c>
      <c r="AN567" s="2">
        <v>0</v>
      </c>
      <c r="AO567" s="2">
        <v>0</v>
      </c>
      <c r="AP567" s="233">
        <v>181519104.91840136</v>
      </c>
    </row>
    <row r="568" spans="2:42" ht="15" thickBot="1" x14ac:dyDescent="0.4">
      <c r="B568" s="236" t="s">
        <v>235</v>
      </c>
      <c r="C568" s="238">
        <v>0</v>
      </c>
      <c r="D568" s="238">
        <v>-55593267.510948658</v>
      </c>
      <c r="E568" s="238">
        <v>0</v>
      </c>
      <c r="F568" s="238">
        <v>0</v>
      </c>
      <c r="G568" s="238">
        <v>-55593267.510948658</v>
      </c>
      <c r="I568" s="236" t="s">
        <v>235</v>
      </c>
      <c r="J568" s="238">
        <v>0</v>
      </c>
      <c r="K568" s="238">
        <v>144739424.69122741</v>
      </c>
      <c r="L568" s="238">
        <v>0</v>
      </c>
      <c r="M568" s="238">
        <v>0</v>
      </c>
      <c r="N568" s="238">
        <v>144739424.69122741</v>
      </c>
      <c r="P568" s="236" t="s">
        <v>235</v>
      </c>
      <c r="Q568" s="238">
        <v>0</v>
      </c>
      <c r="R568" s="238">
        <v>-174366566.20359573</v>
      </c>
      <c r="S568" s="238">
        <v>0</v>
      </c>
      <c r="T568" s="238">
        <v>0</v>
      </c>
      <c r="U568" s="238">
        <v>-174366566.20359573</v>
      </c>
      <c r="W568" s="236" t="s">
        <v>235</v>
      </c>
      <c r="X568" s="238">
        <v>0</v>
      </c>
      <c r="Y568" s="238">
        <v>-29627141.512368321</v>
      </c>
      <c r="Z568" s="238">
        <v>0</v>
      </c>
      <c r="AA568" s="238">
        <v>0</v>
      </c>
      <c r="AB568" s="238">
        <v>-29627141.512368321</v>
      </c>
      <c r="AD568" s="236" t="s">
        <v>235</v>
      </c>
      <c r="AE568" s="238">
        <v>0</v>
      </c>
      <c r="AF568" s="238">
        <v>-31564217.973230124</v>
      </c>
      <c r="AG568" s="238">
        <v>0</v>
      </c>
      <c r="AH568" s="238">
        <v>0</v>
      </c>
      <c r="AI568" s="238">
        <v>-31564217.973230124</v>
      </c>
      <c r="AJ568" s="3"/>
      <c r="AK568" s="236" t="s">
        <v>235</v>
      </c>
      <c r="AL568" s="238">
        <v>0</v>
      </c>
      <c r="AM568" s="238">
        <v>5598091.9746497869</v>
      </c>
      <c r="AN568" s="238">
        <v>0</v>
      </c>
      <c r="AO568" s="238">
        <v>0</v>
      </c>
      <c r="AP568" s="238">
        <v>5598091.9746497869</v>
      </c>
    </row>
    <row r="569" spans="2:42" ht="15" thickTop="1" x14ac:dyDescent="0.35">
      <c r="C569" s="2"/>
      <c r="D569" s="2"/>
      <c r="E569" s="2"/>
      <c r="F569" s="2"/>
      <c r="G569" s="2"/>
      <c r="J569" s="2"/>
      <c r="K569" s="2"/>
      <c r="L569" s="2"/>
      <c r="M569" s="2"/>
      <c r="N569" s="2"/>
      <c r="Q569" s="2"/>
      <c r="R569" s="2"/>
      <c r="S569" s="2"/>
      <c r="T569" s="2"/>
      <c r="U569" s="2"/>
      <c r="X569" s="2"/>
      <c r="Y569" s="2"/>
      <c r="Z569" s="2"/>
      <c r="AA569" s="2"/>
      <c r="AB569" s="2"/>
      <c r="AE569" s="2"/>
      <c r="AF569" s="2"/>
      <c r="AG569" s="2"/>
      <c r="AH569" s="2"/>
      <c r="AI569" s="2"/>
      <c r="AJ569" s="3"/>
      <c r="AL569" s="2"/>
      <c r="AM569" s="2"/>
      <c r="AN569" s="2"/>
      <c r="AO569" s="2"/>
      <c r="AP569" s="2"/>
    </row>
    <row r="570" spans="2:42" x14ac:dyDescent="0.35">
      <c r="B570" t="s">
        <v>236</v>
      </c>
      <c r="C570" s="2">
        <v>0</v>
      </c>
      <c r="D570" s="2">
        <v>-67754352.668435335</v>
      </c>
      <c r="E570" s="2">
        <v>0</v>
      </c>
      <c r="F570" s="2">
        <v>0</v>
      </c>
      <c r="G570" s="233">
        <v>-67754352.668435335</v>
      </c>
      <c r="I570" t="s">
        <v>236</v>
      </c>
      <c r="J570" s="2">
        <v>0</v>
      </c>
      <c r="K570" s="2">
        <v>-17803788.062117171</v>
      </c>
      <c r="L570" s="2">
        <v>0</v>
      </c>
      <c r="M570" s="2">
        <v>0</v>
      </c>
      <c r="N570" s="233">
        <v>-17803788.062117171</v>
      </c>
      <c r="P570" t="s">
        <v>236</v>
      </c>
      <c r="Q570" s="2">
        <v>0</v>
      </c>
      <c r="R570" s="2">
        <v>-17183315.558545146</v>
      </c>
      <c r="S570" s="2">
        <v>0</v>
      </c>
      <c r="T570" s="2">
        <v>0</v>
      </c>
      <c r="U570" s="233">
        <v>-17183315.558545146</v>
      </c>
      <c r="W570" t="s">
        <v>236</v>
      </c>
      <c r="X570" s="2">
        <v>0</v>
      </c>
      <c r="Y570" s="2">
        <v>-34987103.620662317</v>
      </c>
      <c r="Z570" s="2">
        <v>0</v>
      </c>
      <c r="AA570" s="2">
        <v>0</v>
      </c>
      <c r="AB570" s="233">
        <v>-34987103.620662317</v>
      </c>
      <c r="AD570" t="s">
        <v>236</v>
      </c>
      <c r="AE570" s="2">
        <v>0</v>
      </c>
      <c r="AF570" s="2">
        <v>-19299633.031591378</v>
      </c>
      <c r="AG570" s="2">
        <v>0</v>
      </c>
      <c r="AH570" s="2">
        <v>0</v>
      </c>
      <c r="AI570" s="233">
        <v>-19299633.031591378</v>
      </c>
      <c r="AJ570" s="3"/>
      <c r="AK570" t="s">
        <v>236</v>
      </c>
      <c r="AL570" s="2">
        <v>0</v>
      </c>
      <c r="AM570" s="2">
        <v>-13467616.01618164</v>
      </c>
      <c r="AN570" s="2">
        <v>0</v>
      </c>
      <c r="AO570" s="2">
        <v>0</v>
      </c>
      <c r="AP570" s="233">
        <v>-13467616.01618164</v>
      </c>
    </row>
    <row r="571" spans="2:42" x14ac:dyDescent="0.35">
      <c r="B571" t="s">
        <v>237</v>
      </c>
      <c r="C571" s="2">
        <v>0</v>
      </c>
      <c r="D571" s="2">
        <v>34779687.617829815</v>
      </c>
      <c r="E571" s="2">
        <v>0</v>
      </c>
      <c r="F571" s="2">
        <v>0</v>
      </c>
      <c r="G571" s="233">
        <v>34779687.617829815</v>
      </c>
      <c r="I571" t="s">
        <v>237</v>
      </c>
      <c r="J571" s="2">
        <v>0</v>
      </c>
      <c r="K571" s="2">
        <v>10718153.265448788</v>
      </c>
      <c r="L571" s="2">
        <v>0</v>
      </c>
      <c r="M571" s="2">
        <v>0</v>
      </c>
      <c r="N571" s="233">
        <v>10718153.265448788</v>
      </c>
      <c r="P571" t="s">
        <v>237</v>
      </c>
      <c r="Q571" s="2">
        <v>0</v>
      </c>
      <c r="R571" s="2">
        <v>9347269.9039653633</v>
      </c>
      <c r="S571" s="2">
        <v>0</v>
      </c>
      <c r="T571" s="2">
        <v>0</v>
      </c>
      <c r="U571" s="233">
        <v>9347269.9039653633</v>
      </c>
      <c r="W571" t="s">
        <v>237</v>
      </c>
      <c r="X571" s="2">
        <v>0</v>
      </c>
      <c r="Y571" s="2">
        <v>20065423.169414151</v>
      </c>
      <c r="Z571" s="2">
        <v>0</v>
      </c>
      <c r="AA571" s="2">
        <v>0</v>
      </c>
      <c r="AB571" s="233">
        <v>20065423.169414151</v>
      </c>
      <c r="AD571" t="s">
        <v>237</v>
      </c>
      <c r="AE571" s="2">
        <v>0</v>
      </c>
      <c r="AF571" s="2">
        <v>9534109.6474372931</v>
      </c>
      <c r="AG571" s="2">
        <v>0</v>
      </c>
      <c r="AH571" s="2">
        <v>0</v>
      </c>
      <c r="AI571" s="233">
        <v>9534109.6474372931</v>
      </c>
      <c r="AJ571" s="3"/>
      <c r="AK571" t="s">
        <v>237</v>
      </c>
      <c r="AL571" s="2">
        <v>0</v>
      </c>
      <c r="AM571" s="2">
        <v>5180154.80097837</v>
      </c>
      <c r="AN571" s="2">
        <v>0</v>
      </c>
      <c r="AO571" s="2">
        <v>0</v>
      </c>
      <c r="AP571" s="233">
        <v>5180154.80097837</v>
      </c>
    </row>
    <row r="572" spans="2:42" x14ac:dyDescent="0.35">
      <c r="B572" s="5" t="s">
        <v>90</v>
      </c>
      <c r="C572" s="235">
        <v>0</v>
      </c>
      <c r="D572" s="235">
        <v>246271506.33049989</v>
      </c>
      <c r="E572" s="235">
        <v>0</v>
      </c>
      <c r="F572" s="235">
        <v>0</v>
      </c>
      <c r="G572" s="235">
        <v>246271506.33049989</v>
      </c>
      <c r="I572" s="5" t="s">
        <v>90</v>
      </c>
      <c r="J572" s="235">
        <v>0</v>
      </c>
      <c r="K572" s="235">
        <v>62049510.174864642</v>
      </c>
      <c r="L572" s="235">
        <v>0</v>
      </c>
      <c r="M572" s="235">
        <v>0</v>
      </c>
      <c r="N572" s="235">
        <v>62049510.174864642</v>
      </c>
      <c r="P572" s="5" t="s">
        <v>90</v>
      </c>
      <c r="Q572" s="235">
        <v>0</v>
      </c>
      <c r="R572" s="235">
        <v>17469279.471513994</v>
      </c>
      <c r="S572" s="235">
        <v>0</v>
      </c>
      <c r="T572" s="235">
        <v>0</v>
      </c>
      <c r="U572" s="235">
        <v>17469279.471513994</v>
      </c>
      <c r="W572" s="5" t="s">
        <v>90</v>
      </c>
      <c r="X572" s="235">
        <v>0</v>
      </c>
      <c r="Y572" s="235">
        <v>79518789.646378636</v>
      </c>
      <c r="Z572" s="235">
        <v>0</v>
      </c>
      <c r="AA572" s="235">
        <v>0</v>
      </c>
      <c r="AB572" s="235">
        <v>79518789.646378636</v>
      </c>
      <c r="AD572" s="5" t="s">
        <v>90</v>
      </c>
      <c r="AE572" s="235">
        <v>0</v>
      </c>
      <c r="AF572" s="235">
        <v>55011762.664878845</v>
      </c>
      <c r="AG572" s="235">
        <v>0</v>
      </c>
      <c r="AH572" s="235">
        <v>0</v>
      </c>
      <c r="AI572" s="235">
        <v>55011762.664878845</v>
      </c>
      <c r="AJ572" s="3"/>
      <c r="AK572" s="5" t="s">
        <v>90</v>
      </c>
      <c r="AL572" s="235">
        <v>0</v>
      </c>
      <c r="AM572" s="235">
        <v>111740954.01924241</v>
      </c>
      <c r="AN572" s="235">
        <v>0</v>
      </c>
      <c r="AO572" s="235">
        <v>0</v>
      </c>
      <c r="AP572" s="235">
        <v>111740954.01924241</v>
      </c>
    </row>
    <row r="573" spans="2:42" x14ac:dyDescent="0.35">
      <c r="B573" s="6"/>
      <c r="C573" s="7"/>
      <c r="D573" s="7"/>
      <c r="E573" s="7"/>
      <c r="F573" s="7"/>
      <c r="G573" s="7"/>
      <c r="I573" s="6"/>
      <c r="J573" s="7"/>
      <c r="K573" s="7"/>
      <c r="L573" s="7"/>
      <c r="M573" s="7"/>
      <c r="N573" s="7"/>
      <c r="P573" s="6"/>
      <c r="Q573" s="7"/>
      <c r="R573" s="7"/>
      <c r="S573" s="7"/>
      <c r="T573" s="7"/>
      <c r="U573" s="7"/>
      <c r="W573" s="6"/>
      <c r="X573" s="7"/>
      <c r="Y573" s="7"/>
      <c r="Z573" s="7"/>
      <c r="AA573" s="7"/>
      <c r="AB573" s="7"/>
      <c r="AD573" s="6"/>
      <c r="AE573" s="7"/>
      <c r="AF573" s="7"/>
      <c r="AG573" s="7"/>
      <c r="AH573" s="7"/>
      <c r="AI573" s="7"/>
      <c r="AJ573" s="3"/>
      <c r="AK573" s="6"/>
      <c r="AL573" s="7"/>
      <c r="AM573" s="7"/>
      <c r="AN573" s="7"/>
      <c r="AO573" s="7"/>
      <c r="AP573" s="7"/>
    </row>
    <row r="574" spans="2:42" x14ac:dyDescent="0.35">
      <c r="B574" s="16" t="s">
        <v>89</v>
      </c>
      <c r="C574" s="23">
        <v>0</v>
      </c>
      <c r="D574" s="23">
        <v>257398997</v>
      </c>
      <c r="E574" s="23">
        <v>1219173.96</v>
      </c>
      <c r="F574" s="23">
        <v>0</v>
      </c>
      <c r="G574" s="28">
        <v>258618170.96000001</v>
      </c>
      <c r="I574" s="16" t="s">
        <v>89</v>
      </c>
      <c r="J574" s="23">
        <v>0</v>
      </c>
      <c r="K574" s="23">
        <v>58938414</v>
      </c>
      <c r="L574" s="23">
        <v>555801.55000000005</v>
      </c>
      <c r="M574" s="23">
        <v>0</v>
      </c>
      <c r="N574" s="28">
        <v>59494215.549999997</v>
      </c>
      <c r="P574" s="16" t="s">
        <v>89</v>
      </c>
      <c r="Q574" s="2">
        <v>0</v>
      </c>
      <c r="R574" s="2">
        <v>57809908.650067896</v>
      </c>
      <c r="S574" s="2">
        <v>259492.58999999997</v>
      </c>
      <c r="T574" s="2">
        <v>0</v>
      </c>
      <c r="U574" s="28">
        <v>58069401.240067899</v>
      </c>
      <c r="W574" s="16" t="s">
        <v>89</v>
      </c>
      <c r="X574" s="23">
        <v>0</v>
      </c>
      <c r="Y574" s="23">
        <v>116748322.6500679</v>
      </c>
      <c r="Z574" s="23">
        <v>815294.14</v>
      </c>
      <c r="AA574" s="23">
        <v>0</v>
      </c>
      <c r="AB574" s="28">
        <v>117563616.7900679</v>
      </c>
      <c r="AD574" s="16" t="s">
        <v>89</v>
      </c>
      <c r="AE574" s="23">
        <v>0</v>
      </c>
      <c r="AF574" s="23">
        <v>66027279.889799327</v>
      </c>
      <c r="AG574" s="23">
        <v>161980.82999999996</v>
      </c>
      <c r="AH574" s="23">
        <v>0</v>
      </c>
      <c r="AI574" s="28">
        <v>66189260.719799325</v>
      </c>
      <c r="AJ574" s="3"/>
      <c r="AK574" s="16" t="s">
        <v>89</v>
      </c>
      <c r="AL574" s="23">
        <v>0</v>
      </c>
      <c r="AM574" s="23">
        <v>74623394.460132778</v>
      </c>
      <c r="AN574" s="23">
        <v>241898.99</v>
      </c>
      <c r="AO574" s="23">
        <v>0</v>
      </c>
      <c r="AP574" s="28">
        <v>74865293.450132772</v>
      </c>
    </row>
    <row r="575" spans="2:42" x14ac:dyDescent="0.35">
      <c r="C575" s="2"/>
      <c r="D575" s="2"/>
      <c r="E575" s="2"/>
      <c r="F575" s="2"/>
      <c r="G575" s="2"/>
      <c r="J575" s="2"/>
      <c r="K575" s="2"/>
      <c r="L575" s="2"/>
      <c r="M575" s="2"/>
      <c r="N575" s="2"/>
      <c r="Q575" s="2"/>
      <c r="R575" s="2"/>
      <c r="S575" s="2"/>
      <c r="T575" s="2"/>
      <c r="U575" s="2"/>
      <c r="X575" s="2"/>
      <c r="Y575" s="2"/>
      <c r="Z575" s="2"/>
      <c r="AA575" s="2"/>
      <c r="AB575" s="2"/>
      <c r="AE575" s="2"/>
      <c r="AF575" s="2"/>
      <c r="AG575" s="2"/>
      <c r="AH575" s="2"/>
      <c r="AI575" s="2"/>
      <c r="AJ575" s="3"/>
      <c r="AL575" s="2"/>
      <c r="AM575" s="2"/>
      <c r="AN575" s="2"/>
      <c r="AO575" s="2"/>
      <c r="AP575" s="2"/>
    </row>
    <row r="576" spans="2:42" x14ac:dyDescent="0.35">
      <c r="B576" t="s">
        <v>31</v>
      </c>
      <c r="C576" s="2">
        <v>0</v>
      </c>
      <c r="D576" s="2">
        <v>0</v>
      </c>
      <c r="E576" s="2">
        <v>153062481.94999999</v>
      </c>
      <c r="F576" s="2">
        <v>0</v>
      </c>
      <c r="G576" s="233">
        <v>153062481.94999999</v>
      </c>
      <c r="I576" t="s">
        <v>31</v>
      </c>
      <c r="J576" s="2">
        <v>0</v>
      </c>
      <c r="K576" s="2">
        <v>0</v>
      </c>
      <c r="L576" s="2">
        <v>34605991.739999987</v>
      </c>
      <c r="M576" s="2">
        <v>0</v>
      </c>
      <c r="N576" s="233">
        <v>34605991.739999987</v>
      </c>
      <c r="P576" t="s">
        <v>31</v>
      </c>
      <c r="Q576" s="2">
        <v>0</v>
      </c>
      <c r="R576" s="2">
        <v>0</v>
      </c>
      <c r="S576" s="2">
        <v>34254001.710000016</v>
      </c>
      <c r="T576" s="2">
        <v>0</v>
      </c>
      <c r="U576" s="233">
        <v>34254001.710000016</v>
      </c>
      <c r="W576" t="s">
        <v>31</v>
      </c>
      <c r="X576" s="2">
        <v>0</v>
      </c>
      <c r="Y576" s="2">
        <v>0</v>
      </c>
      <c r="Z576" s="2">
        <v>68859993.450000003</v>
      </c>
      <c r="AA576" s="2">
        <v>0</v>
      </c>
      <c r="AB576" s="233">
        <v>68859993.450000003</v>
      </c>
      <c r="AD576" t="s">
        <v>31</v>
      </c>
      <c r="AE576" s="2">
        <v>0</v>
      </c>
      <c r="AF576" s="2">
        <v>0</v>
      </c>
      <c r="AG576" s="2">
        <v>38624107.069999993</v>
      </c>
      <c r="AH576" s="2">
        <v>0</v>
      </c>
      <c r="AI576" s="233">
        <v>38624107.069999993</v>
      </c>
      <c r="AJ576" s="3"/>
      <c r="AK576" t="s">
        <v>31</v>
      </c>
      <c r="AL576" s="2">
        <v>0</v>
      </c>
      <c r="AM576" s="2">
        <v>0</v>
      </c>
      <c r="AN576" s="2">
        <v>45578381.429999992</v>
      </c>
      <c r="AO576" s="2">
        <v>0</v>
      </c>
      <c r="AP576" s="233">
        <v>45578381.429999992</v>
      </c>
    </row>
    <row r="577" spans="2:42" x14ac:dyDescent="0.35">
      <c r="B577" t="s">
        <v>32</v>
      </c>
      <c r="C577" s="2">
        <v>0</v>
      </c>
      <c r="D577" s="2">
        <v>0</v>
      </c>
      <c r="E577" s="2">
        <v>-95784003.449999988</v>
      </c>
      <c r="F577" s="2">
        <v>0</v>
      </c>
      <c r="G577" s="233">
        <v>-95784003.449999988</v>
      </c>
      <c r="I577" t="s">
        <v>32</v>
      </c>
      <c r="J577" s="2">
        <v>0</v>
      </c>
      <c r="K577" s="2">
        <v>0</v>
      </c>
      <c r="L577" s="2">
        <v>-16242748.689999999</v>
      </c>
      <c r="M577" s="2">
        <v>0</v>
      </c>
      <c r="N577" s="233">
        <v>-16242748.689999999</v>
      </c>
      <c r="P577" t="s">
        <v>32</v>
      </c>
      <c r="Q577" s="2">
        <v>0</v>
      </c>
      <c r="R577" s="2">
        <v>0</v>
      </c>
      <c r="S577" s="2">
        <v>-36884278.790000007</v>
      </c>
      <c r="T577" s="2">
        <v>0</v>
      </c>
      <c r="U577" s="233">
        <v>-36884278.790000007</v>
      </c>
      <c r="W577" t="s">
        <v>32</v>
      </c>
      <c r="X577" s="2">
        <v>0</v>
      </c>
      <c r="Y577" s="2">
        <v>0</v>
      </c>
      <c r="Z577" s="2">
        <v>-53127027.480000004</v>
      </c>
      <c r="AA577" s="2">
        <v>0</v>
      </c>
      <c r="AB577" s="233">
        <v>-53127027.480000004</v>
      </c>
      <c r="AD577" t="s">
        <v>32</v>
      </c>
      <c r="AE577" s="2">
        <v>0</v>
      </c>
      <c r="AF577" s="2">
        <v>0</v>
      </c>
      <c r="AG577" s="2">
        <v>-18646404.74000001</v>
      </c>
      <c r="AH577" s="2">
        <v>0</v>
      </c>
      <c r="AI577" s="233">
        <v>-18646404.74000001</v>
      </c>
      <c r="AJ577" s="3"/>
      <c r="AK577" t="s">
        <v>32</v>
      </c>
      <c r="AL577" s="2">
        <v>0</v>
      </c>
      <c r="AM577" s="2">
        <v>0</v>
      </c>
      <c r="AN577" s="2">
        <v>-24010571.229999974</v>
      </c>
      <c r="AO577" s="2">
        <v>0</v>
      </c>
      <c r="AP577" s="233">
        <v>-24010571.229999974</v>
      </c>
    </row>
    <row r="578" spans="2:42" x14ac:dyDescent="0.35">
      <c r="B578" s="239" t="s">
        <v>33</v>
      </c>
      <c r="C578" s="235">
        <v>0</v>
      </c>
      <c r="D578" s="235">
        <v>0</v>
      </c>
      <c r="E578" s="235">
        <v>57278478.5</v>
      </c>
      <c r="F578" s="235">
        <v>0</v>
      </c>
      <c r="G578" s="235">
        <v>57278478.5</v>
      </c>
      <c r="I578" s="239" t="s">
        <v>33</v>
      </c>
      <c r="J578" s="235">
        <v>0</v>
      </c>
      <c r="K578" s="235">
        <v>0</v>
      </c>
      <c r="L578" s="235">
        <v>18363243.04999999</v>
      </c>
      <c r="M578" s="235">
        <v>0</v>
      </c>
      <c r="N578" s="235">
        <v>18363243.04999999</v>
      </c>
      <c r="P578" s="239" t="s">
        <v>33</v>
      </c>
      <c r="Q578" s="235">
        <v>0</v>
      </c>
      <c r="R578" s="235">
        <v>0</v>
      </c>
      <c r="S578" s="235">
        <v>-2630277.0799999908</v>
      </c>
      <c r="T578" s="235">
        <v>0</v>
      </c>
      <c r="U578" s="235">
        <v>-2630277.0799999908</v>
      </c>
      <c r="W578" s="239" t="s">
        <v>33</v>
      </c>
      <c r="X578" s="235">
        <v>0</v>
      </c>
      <c r="Y578" s="235">
        <v>0</v>
      </c>
      <c r="Z578" s="235">
        <v>15732965.969999999</v>
      </c>
      <c r="AA578" s="235">
        <v>0</v>
      </c>
      <c r="AB578" s="235">
        <v>15732965.969999999</v>
      </c>
      <c r="AD578" s="239" t="s">
        <v>33</v>
      </c>
      <c r="AE578" s="235">
        <v>0</v>
      </c>
      <c r="AF578" s="235">
        <v>0</v>
      </c>
      <c r="AG578" s="235">
        <v>19977702.329999983</v>
      </c>
      <c r="AH578" s="235">
        <v>0</v>
      </c>
      <c r="AI578" s="235">
        <v>19977702.329999983</v>
      </c>
      <c r="AJ578" s="3"/>
      <c r="AK578" s="239" t="s">
        <v>33</v>
      </c>
      <c r="AL578" s="235">
        <v>0</v>
      </c>
      <c r="AM578" s="235">
        <v>0</v>
      </c>
      <c r="AN578" s="235">
        <v>21567810.200000018</v>
      </c>
      <c r="AO578" s="235">
        <v>0</v>
      </c>
      <c r="AP578" s="235">
        <v>21567810.200000018</v>
      </c>
    </row>
    <row r="579" spans="2:42" ht="15" thickBot="1" x14ac:dyDescent="0.4">
      <c r="B579" s="236" t="s">
        <v>34</v>
      </c>
      <c r="C579" s="237">
        <v>0</v>
      </c>
      <c r="D579" s="237">
        <v>503670503.33049989</v>
      </c>
      <c r="E579" s="237">
        <v>58497652.460000001</v>
      </c>
      <c r="F579" s="237">
        <v>0</v>
      </c>
      <c r="G579" s="237">
        <v>562168155.79049993</v>
      </c>
      <c r="I579" s="236" t="s">
        <v>34</v>
      </c>
      <c r="J579" s="237">
        <v>0</v>
      </c>
      <c r="K579" s="237">
        <v>120987924.17486465</v>
      </c>
      <c r="L579" s="237">
        <v>18919044.59999999</v>
      </c>
      <c r="M579" s="237">
        <v>0</v>
      </c>
      <c r="N579" s="237">
        <v>139906968.77486461</v>
      </c>
      <c r="P579" s="236" t="s">
        <v>34</v>
      </c>
      <c r="Q579" s="237">
        <v>0</v>
      </c>
      <c r="R579" s="237">
        <v>75279188.121581882</v>
      </c>
      <c r="S579" s="237">
        <v>-2370784.4899999909</v>
      </c>
      <c r="T579" s="237">
        <v>0</v>
      </c>
      <c r="U579" s="237">
        <v>72908403.631581903</v>
      </c>
      <c r="W579" s="236" t="s">
        <v>34</v>
      </c>
      <c r="X579" s="237">
        <v>0</v>
      </c>
      <c r="Y579" s="237">
        <v>196267112.29644653</v>
      </c>
      <c r="Z579" s="237">
        <v>16548260.109999999</v>
      </c>
      <c r="AA579" s="237">
        <v>0</v>
      </c>
      <c r="AB579" s="237">
        <v>212815372.40644655</v>
      </c>
      <c r="AD579" s="236" t="s">
        <v>34</v>
      </c>
      <c r="AE579" s="237">
        <v>0</v>
      </c>
      <c r="AF579" s="237">
        <v>121039042.55467817</v>
      </c>
      <c r="AG579" s="237">
        <v>20139683.159999982</v>
      </c>
      <c r="AH579" s="237">
        <v>0</v>
      </c>
      <c r="AI579" s="237">
        <v>141178725.71467817</v>
      </c>
      <c r="AJ579" s="3"/>
      <c r="AK579" s="236" t="s">
        <v>34</v>
      </c>
      <c r="AL579" s="237">
        <v>0</v>
      </c>
      <c r="AM579" s="237">
        <v>186364348.47937518</v>
      </c>
      <c r="AN579" s="237">
        <v>21809709.190000016</v>
      </c>
      <c r="AO579" s="237">
        <v>0</v>
      </c>
      <c r="AP579" s="237">
        <v>208174057.66937521</v>
      </c>
    </row>
    <row r="580" spans="2:42" ht="15" thickTop="1" x14ac:dyDescent="0.35">
      <c r="B580" t="s">
        <v>224</v>
      </c>
      <c r="C580" s="2">
        <v>0</v>
      </c>
      <c r="D580" s="2">
        <v>0</v>
      </c>
      <c r="E580" s="2">
        <v>0</v>
      </c>
      <c r="F580" s="2">
        <v>0</v>
      </c>
      <c r="G580" s="2"/>
      <c r="I580" t="s">
        <v>224</v>
      </c>
      <c r="J580" s="2"/>
      <c r="K580" s="2"/>
      <c r="L580" s="2"/>
      <c r="M580" s="2"/>
      <c r="N580" s="2"/>
      <c r="P580" t="s">
        <v>224</v>
      </c>
      <c r="Q580" s="2">
        <v>0</v>
      </c>
      <c r="R580" s="2">
        <v>0</v>
      </c>
      <c r="S580" s="2">
        <v>0</v>
      </c>
      <c r="T580" s="2">
        <v>0</v>
      </c>
      <c r="U580" s="2"/>
      <c r="W580" t="s">
        <v>224</v>
      </c>
      <c r="X580" s="2">
        <v>0</v>
      </c>
      <c r="Y580" s="2">
        <v>0</v>
      </c>
      <c r="Z580" s="2">
        <v>0</v>
      </c>
      <c r="AA580" s="2">
        <v>0</v>
      </c>
      <c r="AB580" s="2"/>
      <c r="AD580" t="s">
        <v>224</v>
      </c>
      <c r="AE580" s="2">
        <v>0</v>
      </c>
      <c r="AF580" s="2">
        <v>0</v>
      </c>
      <c r="AG580" s="2">
        <v>0</v>
      </c>
      <c r="AH580" s="2">
        <v>0</v>
      </c>
      <c r="AI580" s="2"/>
      <c r="AJ580" s="3"/>
      <c r="AK580" t="s">
        <v>224</v>
      </c>
      <c r="AL580" s="2">
        <v>0</v>
      </c>
      <c r="AM580" s="2">
        <v>0</v>
      </c>
      <c r="AN580" s="2">
        <v>0</v>
      </c>
      <c r="AO580" s="2">
        <v>0</v>
      </c>
      <c r="AP580" s="2"/>
    </row>
    <row r="581" spans="2:42" x14ac:dyDescent="0.35">
      <c r="B581" t="s">
        <v>35</v>
      </c>
      <c r="C581" s="2">
        <v>47096086.520000003</v>
      </c>
      <c r="D581" s="2">
        <v>16632846.619999981</v>
      </c>
      <c r="E581" s="2">
        <v>0</v>
      </c>
      <c r="F581" s="2">
        <v>29833933.629999999</v>
      </c>
      <c r="G581" s="233">
        <v>93562866.769999981</v>
      </c>
      <c r="I581" t="s">
        <v>35</v>
      </c>
      <c r="J581" s="2">
        <v>5943946.4699999997</v>
      </c>
      <c r="K581" s="2">
        <v>2863108</v>
      </c>
      <c r="L581" s="2">
        <v>0</v>
      </c>
      <c r="M581" s="2">
        <v>6703646</v>
      </c>
      <c r="N581" s="233">
        <v>15510700.469999999</v>
      </c>
      <c r="P581" t="s">
        <v>35</v>
      </c>
      <c r="Q581" s="2">
        <v>5642105.0300000003</v>
      </c>
      <c r="R581" s="2">
        <v>2186334.3528166264</v>
      </c>
      <c r="S581" s="2">
        <v>0</v>
      </c>
      <c r="T581" s="2">
        <v>7074915.8300000001</v>
      </c>
      <c r="U581" s="233">
        <v>14903355.212816626</v>
      </c>
      <c r="W581" t="s">
        <v>35</v>
      </c>
      <c r="X581" s="2">
        <v>11586051.5</v>
      </c>
      <c r="Y581" s="2">
        <v>5049442.3528166264</v>
      </c>
      <c r="Z581" s="2">
        <v>0</v>
      </c>
      <c r="AA581" s="2">
        <v>13778561.83</v>
      </c>
      <c r="AB581" s="233">
        <v>30414055.682816625</v>
      </c>
      <c r="AD581" t="s">
        <v>35</v>
      </c>
      <c r="AE581" s="2">
        <v>13053529.789999995</v>
      </c>
      <c r="AF581" s="2">
        <v>12717724.649999976</v>
      </c>
      <c r="AG581" s="2">
        <v>0</v>
      </c>
      <c r="AH581" s="2">
        <v>9001082.6900000032</v>
      </c>
      <c r="AI581" s="233">
        <v>34772337.129999973</v>
      </c>
      <c r="AJ581" s="3"/>
      <c r="AK581" t="s">
        <v>35</v>
      </c>
      <c r="AL581" s="2">
        <v>22456505.230000008</v>
      </c>
      <c r="AM581" s="2">
        <v>-1134320.382816622</v>
      </c>
      <c r="AN581" s="2">
        <v>0</v>
      </c>
      <c r="AO581" s="2">
        <v>7054289.1099999957</v>
      </c>
      <c r="AP581" s="233">
        <v>28376473.95718338</v>
      </c>
    </row>
    <row r="582" spans="2:42" x14ac:dyDescent="0.35">
      <c r="B582" t="s">
        <v>36</v>
      </c>
      <c r="C582" s="2">
        <v>-57342912.25</v>
      </c>
      <c r="D582" s="2">
        <v>-755618.2200000002</v>
      </c>
      <c r="E582" s="2">
        <v>0</v>
      </c>
      <c r="F582" s="2">
        <v>-8405509.2000000011</v>
      </c>
      <c r="G582" s="233">
        <v>-66504039.670000002</v>
      </c>
      <c r="I582" t="s">
        <v>36</v>
      </c>
      <c r="J582" s="2">
        <v>-17304206.009999998</v>
      </c>
      <c r="K582" s="2">
        <v>-152997</v>
      </c>
      <c r="L582" s="2">
        <v>0</v>
      </c>
      <c r="M582" s="2">
        <v>-1985310.3900000001</v>
      </c>
      <c r="N582" s="233">
        <v>-19442513.399999999</v>
      </c>
      <c r="P582" t="s">
        <v>36</v>
      </c>
      <c r="Q582" s="2">
        <v>-12181992.060000002</v>
      </c>
      <c r="R582" s="2">
        <v>136934.14000125043</v>
      </c>
      <c r="S582" s="2">
        <v>0</v>
      </c>
      <c r="T582" s="2">
        <v>-1630950.52</v>
      </c>
      <c r="U582" s="233">
        <v>-13676008.439998752</v>
      </c>
      <c r="W582" t="s">
        <v>36</v>
      </c>
      <c r="X582" s="2">
        <v>-29486198.07</v>
      </c>
      <c r="Y582" s="2">
        <v>-16062.859998749569</v>
      </c>
      <c r="Z582" s="2">
        <v>0</v>
      </c>
      <c r="AA582" s="2">
        <v>-3616260.91</v>
      </c>
      <c r="AB582" s="233">
        <v>-33118521.839998748</v>
      </c>
      <c r="AD582" t="s">
        <v>36</v>
      </c>
      <c r="AE582" s="2">
        <v>-12967635.329999998</v>
      </c>
      <c r="AF582" s="2">
        <v>-517596.40000125021</v>
      </c>
      <c r="AG582" s="2">
        <v>0</v>
      </c>
      <c r="AH582" s="2">
        <v>-2672889.13</v>
      </c>
      <c r="AI582" s="233">
        <v>-16158120.860001247</v>
      </c>
      <c r="AJ582" s="3"/>
      <c r="AK582" t="s">
        <v>36</v>
      </c>
      <c r="AL582" s="2">
        <v>-14889078.850000001</v>
      </c>
      <c r="AM582" s="2">
        <v>-221958.96000000043</v>
      </c>
      <c r="AN582" s="2">
        <v>0</v>
      </c>
      <c r="AO582" s="2">
        <v>-2116359.1600000011</v>
      </c>
      <c r="AP582" s="233">
        <v>-17227396.970000003</v>
      </c>
    </row>
    <row r="583" spans="2:42" ht="15" thickBot="1" x14ac:dyDescent="0.4">
      <c r="B583" s="236" t="s">
        <v>37</v>
      </c>
      <c r="C583" s="237">
        <v>-10246825.729999997</v>
      </c>
      <c r="D583" s="237">
        <v>15877228.39999998</v>
      </c>
      <c r="E583" s="237">
        <v>0</v>
      </c>
      <c r="F583" s="237">
        <v>21428424.43</v>
      </c>
      <c r="G583" s="237">
        <v>27058827.099999979</v>
      </c>
      <c r="I583" s="236" t="s">
        <v>37</v>
      </c>
      <c r="J583" s="237">
        <v>-11360259.539999999</v>
      </c>
      <c r="K583" s="237">
        <v>2710111</v>
      </c>
      <c r="L583" s="237">
        <v>0</v>
      </c>
      <c r="M583" s="237">
        <v>4718335.6099999994</v>
      </c>
      <c r="N583" s="237">
        <v>-3931812.9299999997</v>
      </c>
      <c r="P583" s="236" t="s">
        <v>37</v>
      </c>
      <c r="Q583" s="237">
        <v>-6539887.0300000021</v>
      </c>
      <c r="R583" s="237">
        <v>2323268.4928178769</v>
      </c>
      <c r="S583" s="237">
        <v>0</v>
      </c>
      <c r="T583" s="237">
        <v>5443965.3100000005</v>
      </c>
      <c r="U583" s="237">
        <v>1227346.7728178743</v>
      </c>
      <c r="W583" s="236" t="s">
        <v>37</v>
      </c>
      <c r="X583" s="237">
        <v>-17900146.57</v>
      </c>
      <c r="Y583" s="237">
        <v>5033379.4928178769</v>
      </c>
      <c r="Z583" s="237">
        <v>0</v>
      </c>
      <c r="AA583" s="237">
        <v>10162300.92</v>
      </c>
      <c r="AB583" s="237">
        <v>-2704466.1571821235</v>
      </c>
      <c r="AD583" s="236" t="s">
        <v>37</v>
      </c>
      <c r="AE583" s="237">
        <v>85894.459999997169</v>
      </c>
      <c r="AF583" s="237">
        <v>12200128.249998726</v>
      </c>
      <c r="AG583" s="237">
        <v>0</v>
      </c>
      <c r="AH583" s="237">
        <v>6328193.5600000033</v>
      </c>
      <c r="AI583" s="237">
        <v>18614216.269998726</v>
      </c>
      <c r="AJ583" s="3"/>
      <c r="AK583" s="236" t="s">
        <v>37</v>
      </c>
      <c r="AL583" s="237">
        <v>7567426.3800000064</v>
      </c>
      <c r="AM583" s="237">
        <v>-1356279.3428166225</v>
      </c>
      <c r="AN583" s="237">
        <v>0</v>
      </c>
      <c r="AO583" s="237">
        <v>4937929.9499999946</v>
      </c>
      <c r="AP583" s="237">
        <v>11149076.987183377</v>
      </c>
    </row>
    <row r="584" spans="2:42" ht="15" thickTop="1" x14ac:dyDescent="0.35">
      <c r="B584" s="6"/>
      <c r="C584" s="7">
        <v>2205095027.27</v>
      </c>
      <c r="D584" s="7">
        <v>519547731.73049986</v>
      </c>
      <c r="E584" s="7">
        <v>58497652.460000001</v>
      </c>
      <c r="F584" s="7">
        <v>12671729.43</v>
      </c>
      <c r="G584" s="7">
        <v>2795812140.8905001</v>
      </c>
      <c r="I584" s="6"/>
      <c r="J584" s="7"/>
      <c r="K584" s="7"/>
      <c r="L584" s="7"/>
      <c r="M584" s="7"/>
      <c r="N584" s="7"/>
      <c r="P584" s="6"/>
      <c r="Q584" s="7"/>
      <c r="R584" s="7"/>
      <c r="S584" s="7"/>
      <c r="T584" s="7"/>
      <c r="U584" s="7"/>
      <c r="W584" s="6"/>
      <c r="X584" s="7"/>
      <c r="Y584" s="7"/>
      <c r="Z584" s="7"/>
      <c r="AA584" s="7"/>
      <c r="AB584" s="7"/>
      <c r="AD584" s="6"/>
      <c r="AE584" s="7"/>
      <c r="AF584" s="7"/>
      <c r="AG584" s="7"/>
      <c r="AH584" s="7"/>
      <c r="AI584" s="7"/>
      <c r="AJ584" s="3"/>
      <c r="AK584" s="6"/>
      <c r="AL584" s="7"/>
      <c r="AM584" s="7"/>
      <c r="AN584" s="7"/>
      <c r="AO584" s="7"/>
      <c r="AP584" s="7"/>
    </row>
    <row r="585" spans="2:42" x14ac:dyDescent="0.35">
      <c r="B585" t="s">
        <v>212</v>
      </c>
      <c r="C585" s="2">
        <v>0</v>
      </c>
      <c r="D585" s="2">
        <v>0</v>
      </c>
      <c r="E585" s="2">
        <v>0</v>
      </c>
      <c r="F585" s="2">
        <v>0</v>
      </c>
      <c r="G585" s="233">
        <v>0</v>
      </c>
      <c r="I585" t="s">
        <v>212</v>
      </c>
      <c r="J585" s="2">
        <v>0</v>
      </c>
      <c r="K585" s="2">
        <v>0</v>
      </c>
      <c r="L585" s="2">
        <v>0</v>
      </c>
      <c r="M585" s="2">
        <v>0</v>
      </c>
      <c r="N585" s="233">
        <v>0</v>
      </c>
      <c r="P585" t="s">
        <v>212</v>
      </c>
      <c r="Q585" s="2">
        <v>0</v>
      </c>
      <c r="R585" s="2">
        <v>0</v>
      </c>
      <c r="S585" s="2">
        <v>0</v>
      </c>
      <c r="T585" s="2">
        <v>0</v>
      </c>
      <c r="U585" s="233">
        <v>0</v>
      </c>
      <c r="W585" t="s">
        <v>212</v>
      </c>
      <c r="X585" s="2">
        <v>0</v>
      </c>
      <c r="Y585" s="2">
        <v>0</v>
      </c>
      <c r="Z585" s="2">
        <v>0</v>
      </c>
      <c r="AA585" s="2">
        <v>0</v>
      </c>
      <c r="AB585" s="233">
        <v>0</v>
      </c>
      <c r="AD585" t="s">
        <v>212</v>
      </c>
      <c r="AE585" s="2">
        <v>0</v>
      </c>
      <c r="AF585" s="2">
        <v>0</v>
      </c>
      <c r="AG585" s="2">
        <v>0</v>
      </c>
      <c r="AH585" s="2">
        <v>0</v>
      </c>
      <c r="AI585" s="233">
        <v>0</v>
      </c>
      <c r="AJ585" s="3"/>
      <c r="AK585" t="s">
        <v>212</v>
      </c>
      <c r="AL585" s="2">
        <v>0</v>
      </c>
      <c r="AM585" s="2">
        <v>0</v>
      </c>
      <c r="AN585" s="2">
        <v>0</v>
      </c>
      <c r="AO585" s="2">
        <v>0</v>
      </c>
      <c r="AP585" s="233">
        <v>0</v>
      </c>
    </row>
    <row r="586" spans="2:42" x14ac:dyDescent="0.35">
      <c r="B586" t="s">
        <v>38</v>
      </c>
      <c r="C586" s="2">
        <v>-137348736.31</v>
      </c>
      <c r="D586" s="2">
        <v>-29363018</v>
      </c>
      <c r="E586" s="2">
        <v>-2390547.4899999998</v>
      </c>
      <c r="F586" s="2">
        <v>-2160259.4500000002</v>
      </c>
      <c r="G586" s="233">
        <v>-171262561.25</v>
      </c>
      <c r="I586" t="s">
        <v>38</v>
      </c>
      <c r="J586" s="2">
        <v>-32911788.640000001</v>
      </c>
      <c r="K586" s="2">
        <v>-5937666</v>
      </c>
      <c r="L586" s="2">
        <v>-567610.54</v>
      </c>
      <c r="M586" s="2">
        <v>-514486.47000000003</v>
      </c>
      <c r="N586" s="233">
        <v>-39931551.649999999</v>
      </c>
      <c r="P586" t="s">
        <v>38</v>
      </c>
      <c r="Q586" s="2">
        <v>-33250395.900000006</v>
      </c>
      <c r="R586" s="2">
        <v>-7483047</v>
      </c>
      <c r="S586" s="2">
        <v>-597115.0399999998</v>
      </c>
      <c r="T586" s="2">
        <v>-517522.89000000007</v>
      </c>
      <c r="U586" s="233">
        <v>-41848080.830000006</v>
      </c>
      <c r="W586" t="s">
        <v>38</v>
      </c>
      <c r="X586" s="2">
        <v>-66162184.540000007</v>
      </c>
      <c r="Y586" s="2">
        <v>-13420713</v>
      </c>
      <c r="Z586" s="2">
        <v>-1164725.5799999998</v>
      </c>
      <c r="AA586" s="2">
        <v>-1032009.3600000001</v>
      </c>
      <c r="AB586" s="233">
        <v>-81779632.480000004</v>
      </c>
      <c r="AD586" t="s">
        <v>38</v>
      </c>
      <c r="AE586" s="2">
        <v>-35373000.75</v>
      </c>
      <c r="AF586" s="2">
        <v>-7631569</v>
      </c>
      <c r="AG586" s="2">
        <v>-612620.6800000004</v>
      </c>
      <c r="AH586" s="2">
        <v>-553591.26</v>
      </c>
      <c r="AI586" s="233">
        <v>-44170781.689999998</v>
      </c>
      <c r="AJ586" s="3"/>
      <c r="AK586" t="s">
        <v>38</v>
      </c>
      <c r="AL586" s="2">
        <v>-35813551.019999996</v>
      </c>
      <c r="AM586" s="2">
        <v>-8310736</v>
      </c>
      <c r="AN586" s="2">
        <v>-613201.22999999952</v>
      </c>
      <c r="AO586" s="2">
        <v>-574658.83000000007</v>
      </c>
      <c r="AP586" s="233">
        <v>-45312147.079999991</v>
      </c>
    </row>
    <row r="587" spans="2:42" x14ac:dyDescent="0.35">
      <c r="B587" t="s">
        <v>78</v>
      </c>
      <c r="C587" s="2">
        <v>-929672373.82229638</v>
      </c>
      <c r="D587" s="2">
        <v>-134706290</v>
      </c>
      <c r="E587" s="2">
        <v>-39640575.050000004</v>
      </c>
      <c r="F587" s="2">
        <v>-25507101.93</v>
      </c>
      <c r="G587" s="233">
        <v>-1129526340.8022964</v>
      </c>
      <c r="I587" t="s">
        <v>78</v>
      </c>
      <c r="J587" s="2">
        <v>-232759505.56572431</v>
      </c>
      <c r="K587" s="2">
        <v>-32963517</v>
      </c>
      <c r="L587" s="2">
        <v>-9735363.8399999999</v>
      </c>
      <c r="M587" s="2">
        <v>-9678152.5700000003</v>
      </c>
      <c r="N587" s="233">
        <v>-285136538.97572428</v>
      </c>
      <c r="P587" t="s">
        <v>78</v>
      </c>
      <c r="Q587" s="2">
        <v>-278739844.24779224</v>
      </c>
      <c r="R587" s="2">
        <v>-19563133.718508907</v>
      </c>
      <c r="S587" s="2">
        <v>-9875076.6000000015</v>
      </c>
      <c r="T587" s="2">
        <v>-5727689.2899999972</v>
      </c>
      <c r="U587" s="233">
        <v>-313905743.85630119</v>
      </c>
      <c r="W587" t="s">
        <v>78</v>
      </c>
      <c r="X587" s="2">
        <v>-511499349.81351656</v>
      </c>
      <c r="Y587" s="2">
        <v>-52526650.718508907</v>
      </c>
      <c r="Z587" s="2">
        <v>-19610440.440000001</v>
      </c>
      <c r="AA587" s="2">
        <v>-15405841.859999998</v>
      </c>
      <c r="AB587" s="233">
        <v>-599042282.83202553</v>
      </c>
      <c r="AD587" t="s">
        <v>78</v>
      </c>
      <c r="AE587" s="2">
        <v>-245327199.04823095</v>
      </c>
      <c r="AF587" s="2">
        <v>-43712755.106806509</v>
      </c>
      <c r="AG587" s="2">
        <v>-10140336.360000003</v>
      </c>
      <c r="AH587" s="2">
        <v>-5201755.2000000011</v>
      </c>
      <c r="AI587" s="233">
        <v>-304382045.71503747</v>
      </c>
      <c r="AJ587" s="3"/>
      <c r="AK587" t="s">
        <v>78</v>
      </c>
      <c r="AL587" s="2">
        <v>-172845824.96054888</v>
      </c>
      <c r="AM587" s="2">
        <v>-38466884.174684592</v>
      </c>
      <c r="AN587" s="2">
        <v>-9889798.25</v>
      </c>
      <c r="AO587" s="2">
        <v>-4899504.870000001</v>
      </c>
      <c r="AP587" s="233">
        <v>-226102012.25523347</v>
      </c>
    </row>
    <row r="588" spans="2:42" x14ac:dyDescent="0.35">
      <c r="B588" t="s">
        <v>39</v>
      </c>
      <c r="C588" s="2">
        <v>-191388261.37534067</v>
      </c>
      <c r="D588" s="2">
        <v>-92508637</v>
      </c>
      <c r="E588" s="2">
        <v>-8243490.0999999996</v>
      </c>
      <c r="F588" s="2">
        <v>-8242966.7810617303</v>
      </c>
      <c r="G588" s="233">
        <v>-300383355.25640243</v>
      </c>
      <c r="I588" t="s">
        <v>39</v>
      </c>
      <c r="J588" s="2">
        <v>-40378138.545408659</v>
      </c>
      <c r="K588" s="2">
        <v>-16553687</v>
      </c>
      <c r="L588" s="2">
        <v>-2063751.61</v>
      </c>
      <c r="M588" s="2">
        <v>-1713379.3119999999</v>
      </c>
      <c r="N588" s="233">
        <v>-60708956.467408657</v>
      </c>
      <c r="P588" t="s">
        <v>39</v>
      </c>
      <c r="Q588" s="2">
        <v>-49828598.011170842</v>
      </c>
      <c r="R588" s="2">
        <v>-7171866</v>
      </c>
      <c r="S588" s="2">
        <v>-1572302.7900000003</v>
      </c>
      <c r="T588" s="2">
        <v>-1631872.5860695657</v>
      </c>
      <c r="U588" s="233">
        <v>-60204639.38724041</v>
      </c>
      <c r="W588" t="s">
        <v>39</v>
      </c>
      <c r="X588" s="2">
        <v>-90206736.5565795</v>
      </c>
      <c r="Y588" s="2">
        <v>-23725553</v>
      </c>
      <c r="Z588" s="2">
        <v>-3636054.4000000004</v>
      </c>
      <c r="AA588" s="2">
        <v>-3345251.8980695657</v>
      </c>
      <c r="AB588" s="233">
        <v>-120913595.85464907</v>
      </c>
      <c r="AD588" t="s">
        <v>39</v>
      </c>
      <c r="AE588" s="2">
        <v>-43271016.819181472</v>
      </c>
      <c r="AF588" s="2">
        <v>-43146857</v>
      </c>
      <c r="AG588" s="2">
        <v>-2002054.4699999988</v>
      </c>
      <c r="AH588" s="2">
        <v>-2469904.9468517839</v>
      </c>
      <c r="AI588" s="233">
        <v>-90889833.236033261</v>
      </c>
      <c r="AJ588" s="3"/>
      <c r="AK588" t="s">
        <v>39</v>
      </c>
      <c r="AL588" s="2">
        <v>-57910507.999579698</v>
      </c>
      <c r="AM588" s="2">
        <v>-25636227</v>
      </c>
      <c r="AN588" s="2">
        <v>-2605381.2300000004</v>
      </c>
      <c r="AO588" s="2">
        <v>-2427809.9361403813</v>
      </c>
      <c r="AP588" s="233">
        <v>-88579926.16572009</v>
      </c>
    </row>
    <row r="589" spans="2:42" x14ac:dyDescent="0.35">
      <c r="B589" t="s">
        <v>40</v>
      </c>
      <c r="C589" s="2">
        <v>-93830864.699999988</v>
      </c>
      <c r="D589" s="2">
        <v>-9277987</v>
      </c>
      <c r="E589" s="2">
        <v>-2099741.4500000002</v>
      </c>
      <c r="F589" s="2">
        <v>-2124087.9500000002</v>
      </c>
      <c r="G589" s="233">
        <v>-107332681.09999999</v>
      </c>
      <c r="I589" t="s">
        <v>40</v>
      </c>
      <c r="J589" s="2">
        <v>-16635556.24</v>
      </c>
      <c r="K589" s="2">
        <v>-292980</v>
      </c>
      <c r="L589" s="2">
        <v>-279804.76</v>
      </c>
      <c r="M589" s="2">
        <v>-152762.87</v>
      </c>
      <c r="N589" s="233">
        <v>-17361103.870000005</v>
      </c>
      <c r="P589" t="s">
        <v>40</v>
      </c>
      <c r="Q589" s="2">
        <v>-25590442.310000002</v>
      </c>
      <c r="R589" s="2">
        <v>292980</v>
      </c>
      <c r="S589" s="2">
        <v>-561133.83000000007</v>
      </c>
      <c r="T589" s="2">
        <v>-403965.56000000006</v>
      </c>
      <c r="U589" s="233">
        <v>-26262561.699999999</v>
      </c>
      <c r="W589" t="s">
        <v>40</v>
      </c>
      <c r="X589" s="2">
        <v>-42225998.550000004</v>
      </c>
      <c r="Y589" s="2">
        <v>0</v>
      </c>
      <c r="Z589" s="2">
        <v>-840938.59000000008</v>
      </c>
      <c r="AA589" s="2">
        <v>-556728.43000000005</v>
      </c>
      <c r="AB589" s="233">
        <v>-43623665.570000008</v>
      </c>
      <c r="AD589" t="s">
        <v>40</v>
      </c>
      <c r="AE589" s="2">
        <v>-24593697.040000007</v>
      </c>
      <c r="AF589" s="2">
        <v>-1018177</v>
      </c>
      <c r="AG589" s="2">
        <v>-731065.58000000007</v>
      </c>
      <c r="AH589" s="2">
        <v>-825493.24999999988</v>
      </c>
      <c r="AI589" s="233">
        <v>-27168432.870000005</v>
      </c>
      <c r="AJ589" s="3"/>
      <c r="AK589" t="s">
        <v>40</v>
      </c>
      <c r="AL589" s="2">
        <v>-27011169.109999977</v>
      </c>
      <c r="AM589" s="2">
        <v>-8259810</v>
      </c>
      <c r="AN589" s="2">
        <v>-527737.28</v>
      </c>
      <c r="AO589" s="2">
        <v>-741866.27000000014</v>
      </c>
      <c r="AP589" s="233">
        <v>-36540582.659999982</v>
      </c>
    </row>
    <row r="590" spans="2:42" x14ac:dyDescent="0.35">
      <c r="B590" t="s">
        <v>41</v>
      </c>
      <c r="C590" s="2">
        <v>-1548458.6500000001</v>
      </c>
      <c r="D590" s="2">
        <v>1120000</v>
      </c>
      <c r="E590" s="2">
        <v>0</v>
      </c>
      <c r="F590" s="2">
        <v>-28293.599999999999</v>
      </c>
      <c r="G590" s="233">
        <v>-456752.25000000012</v>
      </c>
      <c r="I590" t="s">
        <v>41</v>
      </c>
      <c r="J590" s="2">
        <v>-9063.92</v>
      </c>
      <c r="K590" s="2">
        <v>1120000</v>
      </c>
      <c r="L590" s="2">
        <v>0</v>
      </c>
      <c r="M590" s="2">
        <v>0</v>
      </c>
      <c r="N590" s="233">
        <v>1110936.08</v>
      </c>
      <c r="P590" t="s">
        <v>41</v>
      </c>
      <c r="Q590" s="2">
        <v>-149172.72999999998</v>
      </c>
      <c r="R590" s="2">
        <v>0</v>
      </c>
      <c r="S590" s="2">
        <v>0</v>
      </c>
      <c r="T590" s="2">
        <v>0</v>
      </c>
      <c r="U590" s="233">
        <v>-149172.72999999998</v>
      </c>
      <c r="W590" t="s">
        <v>41</v>
      </c>
      <c r="X590" s="2">
        <v>-158236.65</v>
      </c>
      <c r="Y590" s="2">
        <v>1120000</v>
      </c>
      <c r="Z590" s="2">
        <v>0</v>
      </c>
      <c r="AA590" s="2">
        <v>0</v>
      </c>
      <c r="AB590" s="233">
        <v>961763.35</v>
      </c>
      <c r="AD590" t="s">
        <v>41</v>
      </c>
      <c r="AE590" s="2">
        <v>-113463.00000000003</v>
      </c>
      <c r="AF590" s="2">
        <v>0</v>
      </c>
      <c r="AG590" s="2">
        <v>0</v>
      </c>
      <c r="AH590" s="2">
        <v>0</v>
      </c>
      <c r="AI590" s="233">
        <v>-113463.00000000003</v>
      </c>
      <c r="AJ590" s="3"/>
      <c r="AK590" t="s">
        <v>41</v>
      </c>
      <c r="AL590" s="2">
        <v>-1276759.0000000002</v>
      </c>
      <c r="AM590" s="2">
        <v>0</v>
      </c>
      <c r="AN590" s="2">
        <v>0</v>
      </c>
      <c r="AO590" s="2">
        <v>-28293.599999999999</v>
      </c>
      <c r="AP590" s="233">
        <v>-1305052.6000000003</v>
      </c>
    </row>
    <row r="591" spans="2:42" x14ac:dyDescent="0.35">
      <c r="B591" t="s">
        <v>42</v>
      </c>
      <c r="C591" s="2">
        <v>-72351922.25</v>
      </c>
      <c r="D591" s="2">
        <v>-20537308</v>
      </c>
      <c r="E591" s="2">
        <v>-3559037.99</v>
      </c>
      <c r="F591" s="2">
        <v>-383672.43</v>
      </c>
      <c r="G591" s="233">
        <v>-96831940.670000002</v>
      </c>
      <c r="I591" t="s">
        <v>42</v>
      </c>
      <c r="J591" s="2">
        <v>-18017602.510000002</v>
      </c>
      <c r="K591" s="2">
        <v>-4767805.5999999996</v>
      </c>
      <c r="L591" s="2">
        <v>-859263.61</v>
      </c>
      <c r="M591" s="2">
        <v>-49389.120000000003</v>
      </c>
      <c r="N591" s="233">
        <v>-23694060.84</v>
      </c>
      <c r="P591" t="s">
        <v>42</v>
      </c>
      <c r="Q591" s="2">
        <v>-19322031.84999999</v>
      </c>
      <c r="R591" s="2">
        <v>-4909691.9000000004</v>
      </c>
      <c r="S591" s="2">
        <v>-890083.5199999999</v>
      </c>
      <c r="T591" s="2">
        <v>-25744.079999999994</v>
      </c>
      <c r="U591" s="233">
        <v>-25147551.34999999</v>
      </c>
      <c r="W591" t="s">
        <v>42</v>
      </c>
      <c r="X591" s="2">
        <v>-37339634.359999992</v>
      </c>
      <c r="Y591" s="2">
        <v>-9677497.5</v>
      </c>
      <c r="Z591" s="2">
        <v>-1749347.13</v>
      </c>
      <c r="AA591" s="2">
        <v>-75133.2</v>
      </c>
      <c r="AB591" s="233">
        <v>-48841612.189999998</v>
      </c>
      <c r="AD591" t="s">
        <v>42</v>
      </c>
      <c r="AE591" s="2">
        <v>-15705606.960000001</v>
      </c>
      <c r="AF591" s="2">
        <v>-5661975.5</v>
      </c>
      <c r="AG591" s="2">
        <v>-903046.76000000024</v>
      </c>
      <c r="AH591" s="2">
        <v>-84261.52</v>
      </c>
      <c r="AI591" s="233">
        <v>-22354890.740000002</v>
      </c>
      <c r="AJ591" s="3"/>
      <c r="AK591" t="s">
        <v>42</v>
      </c>
      <c r="AL591" s="2">
        <v>-19306680.930000007</v>
      </c>
      <c r="AM591" s="2">
        <v>-5197835</v>
      </c>
      <c r="AN591" s="2">
        <v>-906644.10000000009</v>
      </c>
      <c r="AO591" s="2">
        <v>-224277.70999999996</v>
      </c>
      <c r="AP591" s="233">
        <v>-25635437.74000001</v>
      </c>
    </row>
    <row r="592" spans="2:42" x14ac:dyDescent="0.35">
      <c r="B592" t="s">
        <v>4</v>
      </c>
      <c r="C592" s="2">
        <v>-42224.35</v>
      </c>
      <c r="D592" s="2">
        <v>630798</v>
      </c>
      <c r="E592" s="2">
        <v>-53903.210000000021</v>
      </c>
      <c r="F592" s="2">
        <v>123591.90879135803</v>
      </c>
      <c r="G592" s="233">
        <v>658262.34879135794</v>
      </c>
      <c r="I592" t="s">
        <v>4</v>
      </c>
      <c r="J592" s="2">
        <v>267.31</v>
      </c>
      <c r="K592" s="2">
        <v>-401084</v>
      </c>
      <c r="L592" s="2">
        <v>182592.78999999998</v>
      </c>
      <c r="M592" s="2">
        <v>-280.62257499999993</v>
      </c>
      <c r="N592" s="233">
        <v>-218504.52257500001</v>
      </c>
      <c r="P592" t="s">
        <v>4</v>
      </c>
      <c r="Q592" s="2">
        <v>-21441.63</v>
      </c>
      <c r="R592" s="2">
        <v>294628</v>
      </c>
      <c r="S592" s="2">
        <v>-84796.059999999983</v>
      </c>
      <c r="T592" s="2">
        <v>-5923.4794754347831</v>
      </c>
      <c r="U592" s="233">
        <v>182466.83052456522</v>
      </c>
      <c r="W592" t="s">
        <v>4</v>
      </c>
      <c r="X592" s="2">
        <v>-21174.32</v>
      </c>
      <c r="Y592" s="2">
        <v>-106456</v>
      </c>
      <c r="Z592" s="2">
        <v>97796.73</v>
      </c>
      <c r="AA592" s="2">
        <v>-6204.1020504347835</v>
      </c>
      <c r="AB592" s="233">
        <v>-36037.692050434795</v>
      </c>
      <c r="AD592" t="s">
        <v>4</v>
      </c>
      <c r="AE592" s="2">
        <v>-23033.44000000001</v>
      </c>
      <c r="AF592" s="2">
        <v>46421</v>
      </c>
      <c r="AG592" s="2">
        <v>-172946.93</v>
      </c>
      <c r="AH592" s="2">
        <v>-8.7500428236435255</v>
      </c>
      <c r="AI592" s="233">
        <v>-149568.12004282363</v>
      </c>
      <c r="AJ592" s="3"/>
      <c r="AK592" t="s">
        <v>4</v>
      </c>
      <c r="AL592" s="2">
        <v>1983.4100000000108</v>
      </c>
      <c r="AM592" s="2">
        <v>690833</v>
      </c>
      <c r="AN592" s="2">
        <v>21246.989999999991</v>
      </c>
      <c r="AO592" s="2">
        <v>129804.76088461645</v>
      </c>
      <c r="AP592" s="233">
        <v>843868.16088461643</v>
      </c>
    </row>
    <row r="593" spans="2:42" x14ac:dyDescent="0.35">
      <c r="B593" t="s">
        <v>5</v>
      </c>
      <c r="C593" s="2">
        <v>-4355000</v>
      </c>
      <c r="D593" s="2">
        <v>0</v>
      </c>
      <c r="E593" s="2">
        <v>0</v>
      </c>
      <c r="F593" s="2">
        <v>0</v>
      </c>
      <c r="G593" s="233">
        <v>-4355000</v>
      </c>
      <c r="I593" t="s">
        <v>5</v>
      </c>
      <c r="J593" s="2">
        <v>-1440000</v>
      </c>
      <c r="K593" s="2">
        <v>0</v>
      </c>
      <c r="L593" s="2">
        <v>0</v>
      </c>
      <c r="M593" s="2">
        <v>0</v>
      </c>
      <c r="N593" s="233">
        <v>-1440000</v>
      </c>
      <c r="P593" t="s">
        <v>5</v>
      </c>
      <c r="Q593" s="2">
        <v>-780000</v>
      </c>
      <c r="R593" s="2">
        <v>0</v>
      </c>
      <c r="S593" s="2">
        <v>0</v>
      </c>
      <c r="T593" s="2">
        <v>0</v>
      </c>
      <c r="U593" s="233">
        <v>-780000</v>
      </c>
      <c r="W593" t="s">
        <v>5</v>
      </c>
      <c r="X593" s="2">
        <v>-2220000</v>
      </c>
      <c r="Y593" s="2">
        <v>0</v>
      </c>
      <c r="Z593" s="2">
        <v>0</v>
      </c>
      <c r="AA593" s="2">
        <v>0</v>
      </c>
      <c r="AB593" s="233">
        <v>-2220000</v>
      </c>
      <c r="AD593" t="s">
        <v>5</v>
      </c>
      <c r="AE593" s="2">
        <v>-1150000</v>
      </c>
      <c r="AF593" s="2">
        <v>0</v>
      </c>
      <c r="AG593" s="2">
        <v>0</v>
      </c>
      <c r="AH593" s="2">
        <v>0</v>
      </c>
      <c r="AI593" s="233">
        <v>-1150000</v>
      </c>
      <c r="AJ593" s="3"/>
      <c r="AK593" t="s">
        <v>5</v>
      </c>
      <c r="AL593" s="2">
        <v>-985000</v>
      </c>
      <c r="AM593" s="2">
        <v>0</v>
      </c>
      <c r="AN593" s="2">
        <v>0</v>
      </c>
      <c r="AO593" s="2">
        <v>0</v>
      </c>
      <c r="AP593" s="233">
        <v>-985000</v>
      </c>
    </row>
    <row r="594" spans="2:42" x14ac:dyDescent="0.35">
      <c r="B594" t="s">
        <v>182</v>
      </c>
      <c r="C594" s="2">
        <v>-338514776.80000007</v>
      </c>
      <c r="D594" s="2">
        <v>-49600</v>
      </c>
      <c r="E594" s="2">
        <v>-2074741.3900000001</v>
      </c>
      <c r="F594" s="2">
        <v>-44948.13</v>
      </c>
      <c r="G594" s="233">
        <v>-340684066.32000005</v>
      </c>
      <c r="I594" t="s">
        <v>182</v>
      </c>
      <c r="J594" s="2">
        <v>44482025.439999998</v>
      </c>
      <c r="K594" s="2">
        <v>-27436</v>
      </c>
      <c r="L594" s="2">
        <v>1071983.02</v>
      </c>
      <c r="M594" s="2">
        <v>-342997.09</v>
      </c>
      <c r="N594" s="233">
        <v>45183575.369999997</v>
      </c>
      <c r="P594" t="s">
        <v>182</v>
      </c>
      <c r="Q594" s="2">
        <v>-75037369.680000007</v>
      </c>
      <c r="R594" s="2">
        <v>-25497</v>
      </c>
      <c r="S594" s="2">
        <v>-1120600.33</v>
      </c>
      <c r="T594" s="2">
        <v>-141665.84999999998</v>
      </c>
      <c r="U594" s="233">
        <v>-76325132.859999999</v>
      </c>
      <c r="W594" t="s">
        <v>182</v>
      </c>
      <c r="X594" s="2">
        <v>-30555344.240000002</v>
      </c>
      <c r="Y594" s="2">
        <v>-52933</v>
      </c>
      <c r="Z594" s="2">
        <v>-48617.310000000056</v>
      </c>
      <c r="AA594" s="2">
        <v>-484662.94</v>
      </c>
      <c r="AB594" s="233">
        <v>-31141557.490000002</v>
      </c>
      <c r="AD594" t="s">
        <v>182</v>
      </c>
      <c r="AE594" s="2">
        <v>-154371854.03999999</v>
      </c>
      <c r="AF594" s="2">
        <v>-64306</v>
      </c>
      <c r="AG594" s="2">
        <v>-513526.64999999991</v>
      </c>
      <c r="AH594" s="2">
        <v>441497</v>
      </c>
      <c r="AI594" s="233">
        <v>-154508189.69</v>
      </c>
      <c r="AJ594" s="3"/>
      <c r="AK594" t="s">
        <v>182</v>
      </c>
      <c r="AL594" s="2">
        <v>-153587578.52000007</v>
      </c>
      <c r="AM594" s="2">
        <v>67639</v>
      </c>
      <c r="AN594" s="2">
        <v>-1512597.4300000002</v>
      </c>
      <c r="AO594" s="2">
        <v>-1782.1900000000023</v>
      </c>
      <c r="AP594" s="233">
        <v>-155034319.14000008</v>
      </c>
    </row>
    <row r="595" spans="2:42" x14ac:dyDescent="0.35">
      <c r="B595" s="5" t="s">
        <v>11</v>
      </c>
      <c r="C595" s="235">
        <v>-1769052618.257637</v>
      </c>
      <c r="D595" s="235">
        <v>-284692042</v>
      </c>
      <c r="E595" s="235">
        <v>-58062036.680000015</v>
      </c>
      <c r="F595" s="235">
        <v>-38367738.362270378</v>
      </c>
      <c r="G595" s="235">
        <v>-2150174435.2999077</v>
      </c>
      <c r="I595" s="5" t="s">
        <v>11</v>
      </c>
      <c r="J595" s="235">
        <v>-297669362.67113298</v>
      </c>
      <c r="K595" s="235">
        <v>-59824175.600000001</v>
      </c>
      <c r="L595" s="235">
        <v>-12251218.549999999</v>
      </c>
      <c r="M595" s="235">
        <v>-12451448.054575</v>
      </c>
      <c r="N595" s="235">
        <v>-382196204.87570792</v>
      </c>
      <c r="P595" s="5" t="s">
        <v>11</v>
      </c>
      <c r="Q595" s="235">
        <v>-482719296.35896307</v>
      </c>
      <c r="R595" s="235">
        <v>-38565627.618508905</v>
      </c>
      <c r="S595" s="235">
        <v>-14701108.170000002</v>
      </c>
      <c r="T595" s="235">
        <v>-8454383.7355449982</v>
      </c>
      <c r="U595" s="235">
        <v>-544440415.88301694</v>
      </c>
      <c r="W595" s="5" t="s">
        <v>11</v>
      </c>
      <c r="X595" s="235">
        <v>-780388659.03009605</v>
      </c>
      <c r="Y595" s="235">
        <v>-98389803.218508899</v>
      </c>
      <c r="Z595" s="235">
        <v>-26952326.719999999</v>
      </c>
      <c r="AA595" s="235">
        <v>-20905831.790119998</v>
      </c>
      <c r="AB595" s="235">
        <v>-926636620.75872517</v>
      </c>
      <c r="AD595" s="5" t="s">
        <v>11</v>
      </c>
      <c r="AE595" s="235">
        <v>-519928871.09741247</v>
      </c>
      <c r="AF595" s="235">
        <v>-101189218.60680652</v>
      </c>
      <c r="AG595" s="235">
        <v>-15075597.430000002</v>
      </c>
      <c r="AH595" s="235">
        <v>-8693517.9268946089</v>
      </c>
      <c r="AI595" s="235">
        <v>-644887205.0611136</v>
      </c>
      <c r="AJ595" s="3"/>
      <c r="AK595" s="5" t="s">
        <v>11</v>
      </c>
      <c r="AL595" s="235">
        <v>-468735088.13012862</v>
      </c>
      <c r="AM595" s="235">
        <v>-85113020.174684584</v>
      </c>
      <c r="AN595" s="235">
        <v>-16034112.529999999</v>
      </c>
      <c r="AO595" s="235">
        <v>-8768388.6452557649</v>
      </c>
      <c r="AP595" s="235">
        <v>-578650609.48006904</v>
      </c>
    </row>
    <row r="596" spans="2:42" x14ac:dyDescent="0.35">
      <c r="B596" s="240" t="s">
        <v>43</v>
      </c>
      <c r="C596" s="241">
        <v>436042409.01236296</v>
      </c>
      <c r="D596" s="241">
        <v>234855689.73049986</v>
      </c>
      <c r="E596" s="241">
        <v>435615.77999998629</v>
      </c>
      <c r="F596" s="241">
        <v>-25696008.932270378</v>
      </c>
      <c r="G596" s="241">
        <v>645637705.59059203</v>
      </c>
      <c r="I596" s="240" t="s">
        <v>43</v>
      </c>
      <c r="J596" s="241">
        <v>62890370.788867019</v>
      </c>
      <c r="K596" s="241">
        <v>63873859.574864648</v>
      </c>
      <c r="L596" s="241">
        <v>6667826.0499999914</v>
      </c>
      <c r="M596" s="241">
        <v>-10036967.444575001</v>
      </c>
      <c r="N596" s="241">
        <v>123395089.96915674</v>
      </c>
      <c r="P596" s="240" t="s">
        <v>43</v>
      </c>
      <c r="Q596" s="241">
        <v>121786244.61103693</v>
      </c>
      <c r="R596" s="241">
        <v>39036828.995890856</v>
      </c>
      <c r="S596" s="241">
        <v>-17071892.659999993</v>
      </c>
      <c r="T596" s="241">
        <v>-5014111.4255449977</v>
      </c>
      <c r="U596" s="241">
        <v>138737069.52138284</v>
      </c>
      <c r="W596" s="240" t="s">
        <v>43</v>
      </c>
      <c r="X596" s="241">
        <v>184676615.39990395</v>
      </c>
      <c r="Y596" s="241">
        <v>102910688.57075551</v>
      </c>
      <c r="Z596" s="241">
        <v>-10404066.609999999</v>
      </c>
      <c r="AA596" s="241">
        <v>-15051078.870119998</v>
      </c>
      <c r="AB596" s="241">
        <v>262132158.49053916</v>
      </c>
      <c r="AD596" s="240" t="s">
        <v>43</v>
      </c>
      <c r="AE596" s="241">
        <v>126908466.36258753</v>
      </c>
      <c r="AF596" s="241">
        <v>32049952.197870381</v>
      </c>
      <c r="AG596" s="241">
        <v>5064085.72999998</v>
      </c>
      <c r="AH596" s="241">
        <v>-4875711.3668946056</v>
      </c>
      <c r="AI596" s="241">
        <v>159146792.92356318</v>
      </c>
      <c r="AJ596" s="3"/>
      <c r="AK596" s="240" t="s">
        <v>43</v>
      </c>
      <c r="AL596" s="241">
        <v>124457327.24987139</v>
      </c>
      <c r="AM596" s="241">
        <v>99895048.961873978</v>
      </c>
      <c r="AN596" s="241">
        <v>5775596.6600000169</v>
      </c>
      <c r="AO596" s="241">
        <v>-5769218.6952557703</v>
      </c>
      <c r="AP596" s="241">
        <v>224358753.17648953</v>
      </c>
    </row>
    <row r="597" spans="2:42" x14ac:dyDescent="0.35">
      <c r="B597" t="s">
        <v>6</v>
      </c>
      <c r="C597" s="2">
        <v>-116804301.37000002</v>
      </c>
      <c r="D597" s="2">
        <v>-55087749</v>
      </c>
      <c r="E597" s="2">
        <v>-48808.580000000235</v>
      </c>
      <c r="F597" s="2">
        <v>-2839084.6399999997</v>
      </c>
      <c r="G597" s="233">
        <v>-174779943.59</v>
      </c>
      <c r="I597" t="s">
        <v>6</v>
      </c>
      <c r="J597" s="2">
        <v>-23988878.829999998</v>
      </c>
      <c r="K597" s="2">
        <v>-17141204</v>
      </c>
      <c r="L597" s="2">
        <v>-1437743.0299999998</v>
      </c>
      <c r="M597" s="2">
        <v>-784824.02</v>
      </c>
      <c r="N597" s="233">
        <v>-43352649.880000003</v>
      </c>
      <c r="P597" t="s">
        <v>6</v>
      </c>
      <c r="Q597" s="2">
        <v>-28268823.11999999</v>
      </c>
      <c r="R597" s="2">
        <v>-12946899</v>
      </c>
      <c r="S597" s="2">
        <v>1474181.8299999998</v>
      </c>
      <c r="T597" s="2">
        <v>-827077.35999999987</v>
      </c>
      <c r="U597" s="233">
        <v>-40568617.649999991</v>
      </c>
      <c r="W597" t="s">
        <v>6</v>
      </c>
      <c r="X597" s="2">
        <v>-52257701.949999988</v>
      </c>
      <c r="Y597" s="2">
        <v>-30088103</v>
      </c>
      <c r="Z597" s="2">
        <v>36438.799999999988</v>
      </c>
      <c r="AA597" s="2">
        <v>-1611901.38</v>
      </c>
      <c r="AB597" s="233">
        <v>-83921267.529999986</v>
      </c>
      <c r="AD597" t="s">
        <v>6</v>
      </c>
      <c r="AE597" s="2">
        <v>-34778980.12000002</v>
      </c>
      <c r="AF597" s="2">
        <v>-10525206</v>
      </c>
      <c r="AG597" s="2">
        <v>-14597.949999999997</v>
      </c>
      <c r="AH597" s="2">
        <v>-708851.43000000017</v>
      </c>
      <c r="AI597" s="233">
        <v>-46027635.500000022</v>
      </c>
      <c r="AJ597" s="3"/>
      <c r="AK597" t="s">
        <v>6</v>
      </c>
      <c r="AL597" s="2">
        <v>-29767619.300000012</v>
      </c>
      <c r="AM597" s="2">
        <v>-14474440</v>
      </c>
      <c r="AN597" s="2">
        <v>-70649.430000000226</v>
      </c>
      <c r="AO597" s="2">
        <v>-518331.82999999961</v>
      </c>
      <c r="AP597" s="233">
        <v>-44831040.56000001</v>
      </c>
    </row>
    <row r="598" spans="2:42" x14ac:dyDescent="0.35">
      <c r="B598" s="242" t="s">
        <v>7</v>
      </c>
      <c r="C598" s="243">
        <v>319238107.64236295</v>
      </c>
      <c r="D598" s="243">
        <v>179767940.73049986</v>
      </c>
      <c r="E598" s="243">
        <v>386807.19999998604</v>
      </c>
      <c r="F598" s="243">
        <v>-28535093.572270378</v>
      </c>
      <c r="G598" s="243">
        <v>470857762.00059199</v>
      </c>
      <c r="I598" s="242" t="s">
        <v>7</v>
      </c>
      <c r="J598" s="243">
        <v>38901491.958867021</v>
      </c>
      <c r="K598" s="243">
        <v>46732655.574864648</v>
      </c>
      <c r="L598" s="243">
        <v>5230083.0199999921</v>
      </c>
      <c r="M598" s="243">
        <v>-10821791.464575</v>
      </c>
      <c r="N598" s="243">
        <v>80042440.089156747</v>
      </c>
      <c r="P598" s="242" t="s">
        <v>7</v>
      </c>
      <c r="Q598" s="243">
        <v>93517421.491036937</v>
      </c>
      <c r="R598" s="243">
        <v>26089929.995890856</v>
      </c>
      <c r="S598" s="243">
        <v>-15597710.829999993</v>
      </c>
      <c r="T598" s="243">
        <v>-5841188.7855449971</v>
      </c>
      <c r="U598" s="243">
        <v>98168451.871382847</v>
      </c>
      <c r="W598" s="242" t="s">
        <v>7</v>
      </c>
      <c r="X598" s="243">
        <v>132418913.44990396</v>
      </c>
      <c r="Y598" s="243">
        <v>72822585.570755512</v>
      </c>
      <c r="Z598" s="243">
        <v>-10367627.809999999</v>
      </c>
      <c r="AA598" s="243">
        <v>-16662980.250119999</v>
      </c>
      <c r="AB598" s="243">
        <v>178210890.96053916</v>
      </c>
      <c r="AD598" s="242" t="s">
        <v>7</v>
      </c>
      <c r="AE598" s="243">
        <v>92129486.242587507</v>
      </c>
      <c r="AF598" s="243">
        <v>21524746.197870381</v>
      </c>
      <c r="AG598" s="243">
        <v>5049487.7799999798</v>
      </c>
      <c r="AH598" s="243">
        <v>-5584562.7968946062</v>
      </c>
      <c r="AI598" s="243">
        <v>113119157.42356315</v>
      </c>
      <c r="AJ598" s="3"/>
      <c r="AK598" s="242" t="s">
        <v>7</v>
      </c>
      <c r="AL598" s="243">
        <v>94689707.949871376</v>
      </c>
      <c r="AM598" s="243">
        <v>85420608.961873978</v>
      </c>
      <c r="AN598" s="243">
        <v>5704947.2300000163</v>
      </c>
      <c r="AO598" s="243">
        <v>-6287550.5252557695</v>
      </c>
      <c r="AP598" s="243">
        <v>179527712.61648953</v>
      </c>
    </row>
    <row r="599" spans="2:42" x14ac:dyDescent="0.35">
      <c r="B599" t="s">
        <v>8</v>
      </c>
      <c r="C599" s="2">
        <v>-93994462.435332149</v>
      </c>
      <c r="D599" s="2">
        <v>-32222729.427874636</v>
      </c>
      <c r="E599" s="2">
        <v>457734.63200000831</v>
      </c>
      <c r="F599" s="2">
        <v>-3407.9802559996242</v>
      </c>
      <c r="G599" s="233">
        <v>-125762865.21146278</v>
      </c>
      <c r="I599" t="s">
        <v>8</v>
      </c>
      <c r="J599" s="2">
        <v>-12073471.223007765</v>
      </c>
      <c r="K599" s="2">
        <v>-8327991.9762355387</v>
      </c>
      <c r="L599" s="2">
        <v>-1132147.9419999982</v>
      </c>
      <c r="M599" s="2">
        <v>-926.56501999989791</v>
      </c>
      <c r="N599" s="233">
        <v>-21534537.7062633</v>
      </c>
      <c r="P599" t="s">
        <v>8</v>
      </c>
      <c r="Q599" s="2">
        <v>-31591900.359121438</v>
      </c>
      <c r="R599" s="2">
        <v>-5810763.1922596432</v>
      </c>
      <c r="S599" s="2">
        <v>3292394.0759999994</v>
      </c>
      <c r="T599" s="2">
        <v>-963.91457599989349</v>
      </c>
      <c r="U599" s="233">
        <v>-34111233.389957085</v>
      </c>
      <c r="W599" t="s">
        <v>8</v>
      </c>
      <c r="X599" s="2">
        <v>-43665371.582129203</v>
      </c>
      <c r="Y599" s="2">
        <v>-14138755.168495182</v>
      </c>
      <c r="Z599" s="2">
        <v>2160246.1340000015</v>
      </c>
      <c r="AA599" s="2">
        <v>-1890.4795959997914</v>
      </c>
      <c r="AB599" s="233">
        <v>-55645771.096220382</v>
      </c>
      <c r="AD599" t="s">
        <v>8</v>
      </c>
      <c r="AE599" s="2">
        <v>-27390454.11445234</v>
      </c>
      <c r="AF599" s="2">
        <v>-3130507.1898746192</v>
      </c>
      <c r="AG599" s="2">
        <v>-738931.03399999719</v>
      </c>
      <c r="AH599" s="2">
        <v>-632.77891199993064</v>
      </c>
      <c r="AI599" s="233">
        <v>-31260525.117238957</v>
      </c>
      <c r="AJ599" s="3"/>
      <c r="AK599" t="s">
        <v>8</v>
      </c>
      <c r="AL599" s="2">
        <v>-22938636.738750607</v>
      </c>
      <c r="AM599" s="2">
        <v>-14953467.069504835</v>
      </c>
      <c r="AN599" s="2">
        <v>-963580.46799999592</v>
      </c>
      <c r="AO599" s="2">
        <v>-884.72174799990216</v>
      </c>
      <c r="AP599" s="233">
        <v>-38856568.998003438</v>
      </c>
    </row>
    <row r="600" spans="2:42" x14ac:dyDescent="0.35">
      <c r="B600" s="242" t="s">
        <v>9</v>
      </c>
      <c r="C600" s="244">
        <v>225243645.2070308</v>
      </c>
      <c r="D600" s="244">
        <v>147545211.30262524</v>
      </c>
      <c r="E600" s="244">
        <v>844541.83199999435</v>
      </c>
      <c r="F600" s="244">
        <v>-28538501.552526377</v>
      </c>
      <c r="G600" s="244">
        <v>345094896.7891292</v>
      </c>
      <c r="I600" s="242" t="s">
        <v>9</v>
      </c>
      <c r="J600" s="244">
        <v>26828020.735859256</v>
      </c>
      <c r="K600" s="244">
        <v>38404663.59862911</v>
      </c>
      <c r="L600" s="244">
        <v>4097935.0779999942</v>
      </c>
      <c r="M600" s="244">
        <v>-10822718.029595001</v>
      </c>
      <c r="N600" s="244">
        <v>58507902.382893443</v>
      </c>
      <c r="P600" s="242" t="s">
        <v>9</v>
      </c>
      <c r="Q600" s="244">
        <v>61925521.131915495</v>
      </c>
      <c r="R600" s="296">
        <v>20279166.803631213</v>
      </c>
      <c r="S600" s="244">
        <v>-12305316.753999993</v>
      </c>
      <c r="T600" s="244">
        <v>-5842152.7001209967</v>
      </c>
      <c r="U600" s="244">
        <v>64057218.481425762</v>
      </c>
      <c r="W600" s="242" t="s">
        <v>9</v>
      </c>
      <c r="X600" s="244">
        <v>88753541.867774755</v>
      </c>
      <c r="Y600" s="244">
        <v>58683830.402260333</v>
      </c>
      <c r="Z600" s="244">
        <v>-8207381.6759999972</v>
      </c>
      <c r="AA600" s="244">
        <v>-16664870.729715999</v>
      </c>
      <c r="AB600" s="244">
        <v>122565119.86431879</v>
      </c>
      <c r="AD600" s="242" t="s">
        <v>9</v>
      </c>
      <c r="AE600" s="244">
        <v>64739032.128135167</v>
      </c>
      <c r="AF600" s="244">
        <v>18394239.007995762</v>
      </c>
      <c r="AG600" s="244">
        <v>4310556.7459999826</v>
      </c>
      <c r="AH600" s="244">
        <v>-5585195.5758066066</v>
      </c>
      <c r="AI600" s="244">
        <v>81858632.306324199</v>
      </c>
      <c r="AJ600" s="3"/>
      <c r="AK600" s="242" t="s">
        <v>9</v>
      </c>
      <c r="AL600" s="244">
        <v>71751071.211120769</v>
      </c>
      <c r="AM600" s="244">
        <v>70467141.892369151</v>
      </c>
      <c r="AN600" s="244">
        <v>4741366.7620000206</v>
      </c>
      <c r="AO600" s="244">
        <v>-6288435.2470037695</v>
      </c>
      <c r="AP600" s="244">
        <v>140671143.61848611</v>
      </c>
    </row>
    <row r="601" spans="2:42" x14ac:dyDescent="0.35">
      <c r="B601" s="234"/>
      <c r="C601" s="251">
        <v>0.36348450183868408</v>
      </c>
      <c r="D601" s="251">
        <v>0</v>
      </c>
      <c r="E601" s="251">
        <v>-1.5366822481155396E-8</v>
      </c>
      <c r="F601" s="251">
        <v>6.3122667372226715E-2</v>
      </c>
      <c r="G601" s="251">
        <v>0.42660665512084961</v>
      </c>
      <c r="I601" s="234"/>
      <c r="J601" s="251"/>
      <c r="K601" s="251"/>
      <c r="L601" s="251"/>
      <c r="M601" s="251"/>
      <c r="N601" s="251"/>
      <c r="P601" s="234"/>
      <c r="Q601" s="251"/>
      <c r="R601" s="251"/>
      <c r="S601" s="251"/>
      <c r="T601" s="251"/>
      <c r="U601" s="251"/>
      <c r="W601" s="234"/>
      <c r="X601" s="251"/>
      <c r="Y601" s="251"/>
      <c r="Z601" s="251"/>
      <c r="AA601" s="251"/>
      <c r="AB601" s="251"/>
      <c r="AD601" s="234"/>
      <c r="AE601" s="251"/>
      <c r="AF601" s="251"/>
      <c r="AG601" s="251"/>
      <c r="AH601" s="251"/>
      <c r="AI601" s="251"/>
      <c r="AK601" s="234"/>
      <c r="AL601" s="251"/>
      <c r="AM601" s="251"/>
      <c r="AN601" s="251"/>
      <c r="AO601" s="251"/>
      <c r="AP601" s="251"/>
    </row>
    <row r="602" spans="2:42" x14ac:dyDescent="0.35">
      <c r="C602" s="233"/>
      <c r="D602" s="233"/>
      <c r="E602" s="233"/>
      <c r="F602" s="233"/>
      <c r="G602" s="233"/>
      <c r="J602" s="233"/>
      <c r="K602" s="233"/>
      <c r="L602" s="233"/>
      <c r="M602" s="233"/>
      <c r="N602" s="233"/>
      <c r="Q602" s="233"/>
      <c r="R602" s="233"/>
      <c r="S602" s="233"/>
      <c r="T602" s="233"/>
      <c r="U602" s="233"/>
      <c r="X602" s="233"/>
      <c r="Y602" s="233"/>
      <c r="Z602" s="233"/>
      <c r="AA602" s="233"/>
      <c r="AB602" s="233"/>
      <c r="AE602" s="233"/>
      <c r="AF602" s="233"/>
      <c r="AG602" s="233"/>
      <c r="AH602" s="233"/>
      <c r="AI602" s="233"/>
      <c r="AL602" s="233"/>
      <c r="AM602" s="233"/>
      <c r="AN602" s="233"/>
      <c r="AO602" s="233"/>
      <c r="AP602" s="233"/>
    </row>
    <row r="603" spans="2:42" x14ac:dyDescent="0.35">
      <c r="C603" s="233">
        <v>-1121060635.1976371</v>
      </c>
      <c r="D603" s="233">
        <v>-227214927</v>
      </c>
      <c r="E603" s="233">
        <v>-47884065.150000006</v>
      </c>
      <c r="F603" s="233">
        <v>-33750068.711061731</v>
      </c>
      <c r="G603" s="233">
        <v>-1429909696.0586989</v>
      </c>
      <c r="J603" s="233"/>
      <c r="K603" s="233"/>
      <c r="L603" s="233"/>
      <c r="M603" s="233"/>
      <c r="N603" s="233"/>
      <c r="Q603" s="233"/>
      <c r="R603" s="233"/>
      <c r="S603" s="233"/>
      <c r="T603" s="233"/>
      <c r="U603" s="233"/>
      <c r="X603" s="233"/>
      <c r="Y603" s="233"/>
      <c r="Z603" s="233"/>
      <c r="AA603" s="233"/>
      <c r="AB603" s="233"/>
      <c r="AE603" s="233"/>
      <c r="AF603" s="233"/>
      <c r="AG603" s="233"/>
      <c r="AH603" s="233"/>
      <c r="AI603" s="233"/>
      <c r="AL603" s="233"/>
      <c r="AM603" s="233"/>
      <c r="AN603" s="233"/>
      <c r="AO603" s="233"/>
      <c r="AP603" s="233"/>
    </row>
    <row r="604" spans="2:42" x14ac:dyDescent="0.35">
      <c r="C604" s="301">
        <v>0.5083956116782673</v>
      </c>
      <c r="D604" s="301">
        <v>0.43733215087514055</v>
      </c>
      <c r="E604" s="301">
        <v>0.81856387626396732</v>
      </c>
      <c r="F604" s="301">
        <v>2.6634145636947784</v>
      </c>
      <c r="G604" s="301">
        <v>0.51144698713671632</v>
      </c>
      <c r="J604" s="233"/>
      <c r="K604" s="233"/>
      <c r="L604" s="233"/>
      <c r="M604" s="233"/>
      <c r="N604" s="233"/>
      <c r="Q604" s="233"/>
      <c r="R604" s="233"/>
      <c r="S604" s="233"/>
      <c r="T604" s="233"/>
      <c r="U604" s="233"/>
      <c r="X604" s="233"/>
      <c r="Y604" s="233"/>
      <c r="Z604" s="233"/>
      <c r="AA604" s="233"/>
      <c r="AB604" s="233"/>
      <c r="AE604" s="233"/>
      <c r="AF604" s="233"/>
      <c r="AG604" s="233"/>
      <c r="AH604" s="233"/>
      <c r="AI604" s="233"/>
      <c r="AL604" s="233"/>
      <c r="AM604" s="233"/>
      <c r="AN604" s="233"/>
      <c r="AO604" s="233"/>
      <c r="AP604" s="233"/>
    </row>
    <row r="605" spans="2:42" x14ac:dyDescent="0.35">
      <c r="C605" s="233"/>
      <c r="D605" s="233"/>
      <c r="E605" s="233"/>
      <c r="F605" s="233"/>
      <c r="G605" s="233"/>
      <c r="J605" s="233"/>
      <c r="K605" s="233"/>
      <c r="L605" s="233"/>
      <c r="M605" s="233"/>
      <c r="N605" s="233"/>
      <c r="Q605" s="233"/>
      <c r="R605" s="233"/>
      <c r="S605" s="233"/>
      <c r="T605" s="233"/>
      <c r="U605" s="233"/>
      <c r="X605" s="233"/>
      <c r="Y605" s="233"/>
      <c r="Z605" s="233"/>
      <c r="AA605" s="233"/>
      <c r="AB605" s="233"/>
      <c r="AE605" s="233"/>
      <c r="AF605" s="233"/>
      <c r="AG605" s="233"/>
      <c r="AH605" s="233"/>
      <c r="AI605" s="233"/>
      <c r="AL605" s="233"/>
      <c r="AM605" s="233"/>
      <c r="AN605" s="233"/>
      <c r="AO605" s="233"/>
      <c r="AP605" s="233"/>
    </row>
    <row r="606" spans="2:42" x14ac:dyDescent="0.35">
      <c r="C606" s="233"/>
      <c r="D606" s="233"/>
      <c r="E606" s="233"/>
      <c r="F606" s="233"/>
      <c r="G606" s="233"/>
      <c r="J606" s="233"/>
      <c r="K606" s="233"/>
      <c r="L606" s="233"/>
      <c r="M606" s="233"/>
      <c r="N606" s="233"/>
      <c r="Q606" s="233"/>
      <c r="R606" s="233"/>
      <c r="S606" s="233"/>
      <c r="T606" s="233"/>
      <c r="U606" s="233"/>
      <c r="X606" s="233"/>
      <c r="Y606" s="233"/>
      <c r="Z606" s="233"/>
      <c r="AA606" s="233"/>
      <c r="AB606" s="233"/>
      <c r="AE606" s="233"/>
      <c r="AF606" s="233"/>
      <c r="AG606" s="233"/>
      <c r="AH606" s="233"/>
      <c r="AI606" s="233"/>
      <c r="AL606" s="233"/>
      <c r="AM606" s="233"/>
      <c r="AN606" s="233"/>
      <c r="AO606" s="233"/>
      <c r="AP606" s="233"/>
    </row>
    <row r="607" spans="2:42" x14ac:dyDescent="0.35">
      <c r="C607" s="233"/>
      <c r="D607" s="233"/>
      <c r="E607" s="233"/>
      <c r="F607" s="233"/>
      <c r="G607" s="233"/>
      <c r="J607" s="233"/>
      <c r="K607" s="233"/>
      <c r="L607" s="233"/>
      <c r="M607" s="233"/>
      <c r="N607" s="233"/>
      <c r="Q607" s="233"/>
      <c r="R607" s="233"/>
      <c r="S607" s="233"/>
      <c r="T607" s="233"/>
      <c r="U607" s="233"/>
      <c r="X607" s="233"/>
      <c r="Y607" s="233"/>
      <c r="Z607" s="233"/>
      <c r="AA607" s="233"/>
      <c r="AB607" s="233"/>
      <c r="AE607" s="233"/>
      <c r="AF607" s="233"/>
      <c r="AG607" s="233"/>
      <c r="AH607" s="233"/>
      <c r="AI607" s="233"/>
      <c r="AL607" s="233"/>
      <c r="AM607" s="233"/>
      <c r="AN607" s="233"/>
      <c r="AO607" s="233"/>
      <c r="AP607" s="233"/>
    </row>
    <row r="608" spans="2:42" x14ac:dyDescent="0.35">
      <c r="C608" s="233"/>
      <c r="D608" s="233"/>
      <c r="E608" s="233"/>
      <c r="F608" s="233"/>
      <c r="G608" s="233"/>
      <c r="J608" s="233"/>
      <c r="K608" s="233"/>
      <c r="L608" s="233"/>
      <c r="M608" s="233"/>
      <c r="N608" s="233"/>
      <c r="Q608" s="233"/>
      <c r="R608" s="233"/>
      <c r="S608" s="233"/>
      <c r="T608" s="233"/>
      <c r="U608" s="233"/>
      <c r="X608" s="233"/>
      <c r="Y608" s="233"/>
      <c r="Z608" s="233"/>
      <c r="AA608" s="233"/>
      <c r="AB608" s="233"/>
      <c r="AE608" s="233"/>
      <c r="AF608" s="233"/>
      <c r="AG608" s="233"/>
      <c r="AH608" s="233"/>
      <c r="AI608" s="233"/>
      <c r="AL608" s="233"/>
      <c r="AM608" s="233"/>
      <c r="AN608" s="233"/>
      <c r="AO608" s="233"/>
      <c r="AP608" s="233"/>
    </row>
  </sheetData>
  <mergeCells count="30">
    <mergeCell ref="B227:G227"/>
    <mergeCell ref="I227:N227"/>
    <mergeCell ref="P227:U227"/>
    <mergeCell ref="W227:AB227"/>
    <mergeCell ref="B304:G304"/>
    <mergeCell ref="I304:N304"/>
    <mergeCell ref="P304:U304"/>
    <mergeCell ref="W304:AB304"/>
    <mergeCell ref="I535:N535"/>
    <mergeCell ref="B381:G381"/>
    <mergeCell ref="I381:N381"/>
    <mergeCell ref="P381:U381"/>
    <mergeCell ref="W381:AB381"/>
    <mergeCell ref="P535:U535"/>
    <mergeCell ref="W535:AB535"/>
    <mergeCell ref="B535:G535"/>
    <mergeCell ref="B458:G458"/>
    <mergeCell ref="I458:N458"/>
    <mergeCell ref="P458:U458"/>
    <mergeCell ref="W458:AB458"/>
    <mergeCell ref="AD535:AI535"/>
    <mergeCell ref="AK227:AP227"/>
    <mergeCell ref="AK304:AP304"/>
    <mergeCell ref="AK381:AP381"/>
    <mergeCell ref="AK458:AP458"/>
    <mergeCell ref="AK535:AP535"/>
    <mergeCell ref="AD381:AI381"/>
    <mergeCell ref="AD458:AI458"/>
    <mergeCell ref="AD304:AI304"/>
    <mergeCell ref="AD227:AI22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F0546-E83B-49ED-BB61-A71600780847}">
  <sheetPr>
    <tabColor theme="5"/>
  </sheetPr>
  <dimension ref="B2:BO193"/>
  <sheetViews>
    <sheetView showGridLines="0" tabSelected="1" zoomScaleNormal="100" workbookViewId="0">
      <pane xSplit="3" ySplit="3" topLeftCell="F74" activePane="bottomRight" state="frozen"/>
      <selection activeCell="G5" sqref="G5"/>
      <selection pane="topRight" activeCell="G5" sqref="G5"/>
      <selection pane="bottomLeft" activeCell="G5" sqref="G5"/>
      <selection pane="bottomRight" activeCell="M180" sqref="M180"/>
    </sheetView>
  </sheetViews>
  <sheetFormatPr defaultColWidth="8.81640625" defaultRowHeight="13" x14ac:dyDescent="0.3"/>
  <cols>
    <col min="1" max="1" width="2.54296875" style="36" customWidth="1"/>
    <col min="2" max="2" width="4.1796875" style="36" bestFit="1" customWidth="1"/>
    <col min="3" max="3" width="39.1796875" style="36" bestFit="1" customWidth="1"/>
    <col min="4" max="4" width="5.81640625" style="110" bestFit="1" customWidth="1"/>
    <col min="5" max="12" width="11" style="36" bestFit="1" customWidth="1"/>
    <col min="13" max="13" width="13.54296875" style="36" bestFit="1" customWidth="1"/>
    <col min="14" max="14" width="12.81640625" style="132" bestFit="1" customWidth="1"/>
    <col min="15" max="15" width="11.453125" style="36" bestFit="1" customWidth="1"/>
    <col min="16" max="20" width="11" style="36" bestFit="1" customWidth="1"/>
    <col min="21" max="21" width="11" style="36" bestFit="1" customWidth="1" collapsed="1"/>
    <col min="22" max="24" width="11" style="36" bestFit="1" customWidth="1"/>
    <col min="25" max="25" width="12.81640625" style="132" bestFit="1" customWidth="1" collapsed="1"/>
    <col min="26" max="26" width="5" style="36" bestFit="1" customWidth="1"/>
    <col min="27" max="31" width="11" style="36" bestFit="1" customWidth="1"/>
    <col min="32" max="35" width="11" style="36" bestFit="1" customWidth="1" collapsed="1"/>
    <col min="36" max="36" width="3.81640625" style="36" bestFit="1" customWidth="1" collapsed="1"/>
    <col min="37" max="41" width="11" style="36" bestFit="1" customWidth="1"/>
    <col min="42" max="45" width="11" style="36" bestFit="1" customWidth="1" collapsed="1"/>
    <col min="46" max="46" width="3.453125" style="36" customWidth="1" collapsed="1"/>
    <col min="47" max="51" width="11" style="36" bestFit="1" customWidth="1"/>
    <col min="52" max="55" width="11" style="36" bestFit="1" customWidth="1" collapsed="1"/>
    <col min="56" max="56" width="12.81640625" style="132" bestFit="1" customWidth="1" collapsed="1"/>
    <col min="57" max="57" width="3.453125" style="36" customWidth="1"/>
    <col min="58" max="62" width="11" style="36" bestFit="1" customWidth="1"/>
    <col min="63" max="66" width="11" style="36" bestFit="1" customWidth="1" collapsed="1"/>
    <col min="67" max="67" width="6" style="36" customWidth="1" collapsed="1"/>
    <col min="68" max="16384" width="8.81640625" style="36"/>
  </cols>
  <sheetData>
    <row r="2" spans="2:67" s="32" customFormat="1" ht="14.5" customHeight="1" x14ac:dyDescent="0.3">
      <c r="B2" s="139"/>
      <c r="C2" s="30" t="s">
        <v>73</v>
      </c>
      <c r="D2" s="30"/>
      <c r="E2" s="136"/>
      <c r="F2" s="136"/>
      <c r="G2" s="136"/>
      <c r="H2" s="136"/>
      <c r="I2" s="136"/>
      <c r="J2" s="136"/>
      <c r="K2" s="136"/>
      <c r="L2" s="136"/>
      <c r="M2" s="136"/>
      <c r="N2" s="167"/>
      <c r="P2" s="31" t="s">
        <v>240</v>
      </c>
      <c r="Q2" s="31"/>
      <c r="R2" s="31"/>
      <c r="S2" s="31"/>
      <c r="T2" s="31"/>
      <c r="U2" s="31"/>
      <c r="V2" s="31"/>
      <c r="W2" s="31"/>
      <c r="X2" s="31"/>
      <c r="Y2" s="180"/>
      <c r="Z2" s="36"/>
      <c r="AA2" s="31" t="s">
        <v>69</v>
      </c>
      <c r="AB2" s="31"/>
      <c r="AC2" s="31"/>
      <c r="AD2" s="31"/>
      <c r="AE2" s="31"/>
      <c r="AF2" s="31"/>
      <c r="AG2" s="31"/>
      <c r="AH2" s="31"/>
      <c r="AI2" s="31"/>
      <c r="AJ2" s="36"/>
      <c r="AK2" s="31" t="s">
        <v>70</v>
      </c>
      <c r="AL2" s="31"/>
      <c r="AM2" s="31"/>
      <c r="AN2" s="31"/>
      <c r="AO2" s="31"/>
      <c r="AP2" s="31"/>
      <c r="AQ2" s="31"/>
      <c r="AR2" s="31"/>
      <c r="AS2" s="31"/>
      <c r="AT2" s="36"/>
      <c r="AU2" s="31" t="s">
        <v>76</v>
      </c>
      <c r="AV2" s="31"/>
      <c r="AW2" s="31"/>
      <c r="AX2" s="31"/>
      <c r="AY2" s="31"/>
      <c r="AZ2" s="31"/>
      <c r="BA2" s="31"/>
      <c r="BB2" s="31"/>
      <c r="BC2" s="31"/>
      <c r="BD2" s="31"/>
      <c r="BE2" s="36"/>
      <c r="BF2" s="31" t="s">
        <v>77</v>
      </c>
      <c r="BG2" s="31"/>
      <c r="BH2" s="31"/>
      <c r="BI2" s="31"/>
      <c r="BJ2" s="31"/>
      <c r="BK2" s="31"/>
      <c r="BL2" s="31"/>
      <c r="BM2" s="31"/>
      <c r="BN2" s="31"/>
      <c r="BO2" s="36"/>
    </row>
    <row r="3" spans="2:67" s="35" customFormat="1" x14ac:dyDescent="0.3">
      <c r="B3" s="33"/>
      <c r="C3" s="34"/>
      <c r="D3" s="129" t="s">
        <v>148</v>
      </c>
      <c r="E3" s="34" t="s">
        <v>206</v>
      </c>
      <c r="F3" s="34" t="s">
        <v>215</v>
      </c>
      <c r="G3" s="34" t="s">
        <v>218</v>
      </c>
      <c r="H3" s="34" t="s">
        <v>221</v>
      </c>
      <c r="I3" s="34" t="s">
        <v>226</v>
      </c>
      <c r="J3" s="34" t="s">
        <v>230</v>
      </c>
      <c r="K3" s="34" t="s">
        <v>246</v>
      </c>
      <c r="L3" s="34" t="s">
        <v>251</v>
      </c>
      <c r="M3" s="34" t="s">
        <v>252</v>
      </c>
      <c r="N3" s="168" t="s">
        <v>259</v>
      </c>
      <c r="P3" s="34" t="str">
        <f t="shared" ref="P3:V3" si="0">E3</f>
        <v>Q4-2023</v>
      </c>
      <c r="Q3" s="34" t="str">
        <f t="shared" si="0"/>
        <v>Q1-2024</v>
      </c>
      <c r="R3" s="34" t="str">
        <f t="shared" si="0"/>
        <v>Q2-2024</v>
      </c>
      <c r="S3" s="34" t="str">
        <f t="shared" si="0"/>
        <v>Q3-2024</v>
      </c>
      <c r="T3" s="34" t="str">
        <f t="shared" si="0"/>
        <v>Q4-2024</v>
      </c>
      <c r="U3" s="34" t="str">
        <f t="shared" si="0"/>
        <v>Q1-2025</v>
      </c>
      <c r="V3" s="34" t="str">
        <f t="shared" si="0"/>
        <v>Q2-2025</v>
      </c>
      <c r="W3" s="34" t="str">
        <f>L3</f>
        <v>Q3-2025</v>
      </c>
      <c r="X3" s="34" t="str">
        <f>M3</f>
        <v>Q4-2025</v>
      </c>
      <c r="Y3" s="34" t="str">
        <f>N3</f>
        <v>Q4-25 vs. Q4-24</v>
      </c>
      <c r="Z3" s="205"/>
      <c r="AA3" s="34" t="str">
        <f t="shared" ref="AA3:AG3" si="1">E3</f>
        <v>Q4-2023</v>
      </c>
      <c r="AB3" s="34" t="str">
        <f t="shared" si="1"/>
        <v>Q1-2024</v>
      </c>
      <c r="AC3" s="34" t="str">
        <f t="shared" si="1"/>
        <v>Q2-2024</v>
      </c>
      <c r="AD3" s="34" t="str">
        <f t="shared" si="1"/>
        <v>Q3-2024</v>
      </c>
      <c r="AE3" s="34" t="str">
        <f t="shared" si="1"/>
        <v>Q4-2024</v>
      </c>
      <c r="AF3" s="34" t="str">
        <f t="shared" si="1"/>
        <v>Q1-2025</v>
      </c>
      <c r="AG3" s="34" t="str">
        <f t="shared" si="1"/>
        <v>Q2-2025</v>
      </c>
      <c r="AH3" s="34" t="str">
        <f>L3</f>
        <v>Q3-2025</v>
      </c>
      <c r="AI3" s="34" t="str">
        <f>M3</f>
        <v>Q4-2025</v>
      </c>
      <c r="AJ3" s="205"/>
      <c r="AK3" s="34" t="str">
        <f t="shared" ref="AK3:AQ3" si="2">E3</f>
        <v>Q4-2023</v>
      </c>
      <c r="AL3" s="34" t="str">
        <f t="shared" si="2"/>
        <v>Q1-2024</v>
      </c>
      <c r="AM3" s="34" t="str">
        <f t="shared" si="2"/>
        <v>Q2-2024</v>
      </c>
      <c r="AN3" s="34" t="str">
        <f t="shared" si="2"/>
        <v>Q3-2024</v>
      </c>
      <c r="AO3" s="34" t="str">
        <f t="shared" si="2"/>
        <v>Q4-2024</v>
      </c>
      <c r="AP3" s="34" t="str">
        <f t="shared" si="2"/>
        <v>Q1-2025</v>
      </c>
      <c r="AQ3" s="34" t="str">
        <f t="shared" si="2"/>
        <v>Q2-2025</v>
      </c>
      <c r="AR3" s="34" t="str">
        <f>L3</f>
        <v>Q3-2025</v>
      </c>
      <c r="AS3" s="34" t="str">
        <f>M3</f>
        <v>Q4-2025</v>
      </c>
      <c r="AT3" s="205"/>
      <c r="AU3" s="34" t="str">
        <f t="shared" ref="AU3:BA3" si="3">E3</f>
        <v>Q4-2023</v>
      </c>
      <c r="AV3" s="34" t="str">
        <f t="shared" si="3"/>
        <v>Q1-2024</v>
      </c>
      <c r="AW3" s="34" t="str">
        <f t="shared" si="3"/>
        <v>Q2-2024</v>
      </c>
      <c r="AX3" s="34" t="str">
        <f t="shared" si="3"/>
        <v>Q3-2024</v>
      </c>
      <c r="AY3" s="34" t="str">
        <f t="shared" si="3"/>
        <v>Q4-2024</v>
      </c>
      <c r="AZ3" s="34" t="str">
        <f t="shared" si="3"/>
        <v>Q1-2025</v>
      </c>
      <c r="BA3" s="34" t="str">
        <f t="shared" si="3"/>
        <v>Q2-2025</v>
      </c>
      <c r="BB3" s="34" t="str">
        <f>L3</f>
        <v>Q3-2025</v>
      </c>
      <c r="BC3" s="34" t="str">
        <f>M3</f>
        <v>Q4-2025</v>
      </c>
      <c r="BD3" s="34" t="str">
        <f>N3</f>
        <v>Q4-25 vs. Q4-24</v>
      </c>
      <c r="BE3" s="205"/>
      <c r="BF3" s="34" t="str">
        <f t="shared" ref="BF3:BL3" si="4">E3</f>
        <v>Q4-2023</v>
      </c>
      <c r="BG3" s="34" t="str">
        <f t="shared" si="4"/>
        <v>Q1-2024</v>
      </c>
      <c r="BH3" s="34" t="str">
        <f t="shared" si="4"/>
        <v>Q2-2024</v>
      </c>
      <c r="BI3" s="34" t="str">
        <f t="shared" si="4"/>
        <v>Q3-2024</v>
      </c>
      <c r="BJ3" s="34" t="str">
        <f t="shared" si="4"/>
        <v>Q4-2024</v>
      </c>
      <c r="BK3" s="34" t="str">
        <f t="shared" si="4"/>
        <v>Q1-2025</v>
      </c>
      <c r="BL3" s="34" t="str">
        <f t="shared" si="4"/>
        <v>Q2-2025</v>
      </c>
      <c r="BM3" s="34" t="str">
        <f>L3</f>
        <v>Q3-2025</v>
      </c>
      <c r="BN3" s="34" t="str">
        <f>M3</f>
        <v>Q4-2025</v>
      </c>
      <c r="BO3" s="205"/>
    </row>
    <row r="4" spans="2:67" x14ac:dyDescent="0.3">
      <c r="C4" s="37" t="s">
        <v>74</v>
      </c>
      <c r="D4" s="107"/>
      <c r="E4" s="133"/>
      <c r="F4" s="133"/>
      <c r="G4" s="133"/>
      <c r="H4" s="133"/>
      <c r="I4" s="133"/>
      <c r="J4" s="133"/>
      <c r="K4" s="133"/>
      <c r="L4" s="133"/>
      <c r="M4" s="133"/>
    </row>
    <row r="5" spans="2:67" x14ac:dyDescent="0.3">
      <c r="C5" s="36" t="s">
        <v>85</v>
      </c>
      <c r="D5" s="108"/>
      <c r="E5" s="203"/>
      <c r="F5" s="203">
        <f>VLOOKUP($C5,'Segment IFRS17'!$I$460:$N$531,6,0)/1000</f>
        <v>95904.931389999998</v>
      </c>
      <c r="G5" s="203">
        <f>VLOOKUP($C5,'Segment IFRS17'!$P$460:$U$531,6,0)/1000</f>
        <v>177848.84931999998</v>
      </c>
      <c r="H5" s="203">
        <f>VLOOKUP($C5,'Segment IFRS17'!$AD$460:$AI$531,6,0)/1000</f>
        <v>263591.16657999996</v>
      </c>
      <c r="I5" s="203">
        <f>VLOOKUP($C5,'Segment IFRS17'!$AK$460:$AP$531,6,0)/1000</f>
        <v>302632.20671999996</v>
      </c>
      <c r="J5" s="203">
        <f>VLOOKUP($C5,'Segment IFRS17'!$I$539:$N$600,6,0)/1000</f>
        <v>58492.442889999998</v>
      </c>
      <c r="K5" s="203">
        <f>VLOOKUP($C5,'Segment IFRS17'!$P$539:$U$600,6,0)/1000</f>
        <v>260352.27484000003</v>
      </c>
      <c r="L5" s="203">
        <f>VLOOKUP($C5,'Segment IFRS17'!$AD$539:$AI$600,6,0)/1000</f>
        <v>341556.70208000002</v>
      </c>
      <c r="M5" s="203">
        <f>VLOOKUP($C5,'Segment IFRS17'!$AK$539:$AP$600,6,0)/1000</f>
        <v>306440.39060000004</v>
      </c>
      <c r="N5" s="132">
        <f>M5/I5-1</f>
        <v>1.2583538022189034E-2</v>
      </c>
      <c r="O5" s="132"/>
      <c r="P5" s="203"/>
      <c r="Q5" s="203">
        <f>VLOOKUP($C5,'Segment IFRS17'!$I$460:$N$531,2,0)/1000</f>
        <v>95904.931389999998</v>
      </c>
      <c r="R5" s="203">
        <f>VLOOKUP($C5,'Segment IFRS17'!$P$460:$U$531,2,0)/1000</f>
        <v>177848.84931999998</v>
      </c>
      <c r="S5" s="203">
        <f>VLOOKUP($C5,'Segment IFRS17'!$AD$460:$AI$531,2,0)/1000</f>
        <v>263591.16657999996</v>
      </c>
      <c r="T5" s="203">
        <f>VLOOKUP($C5,'Segment IFRS17'!$AK$460:$AP$531,2,0)/1000</f>
        <v>302632.20671999996</v>
      </c>
      <c r="U5" s="203">
        <f>VLOOKUP($C5,'Segment IFRS17'!$I$537:$N$608,2,0)/1000</f>
        <v>58492.442889999998</v>
      </c>
      <c r="V5" s="203">
        <f>VLOOKUP($C5,'Segment IFRS17'!$P$537:$U$608,2,0)/1000</f>
        <v>260352.27484000003</v>
      </c>
      <c r="W5" s="203">
        <f>VLOOKUP($C5,'Segment IFRS17'!$AD$537:$AI$608,2,0)/1000</f>
        <v>341556.70208000002</v>
      </c>
      <c r="X5" s="203">
        <f>VLOOKUP($C5,'Segment IFRS17'!$AK$537:$AP$608,2,0)/1000</f>
        <v>306440.39060000004</v>
      </c>
      <c r="Y5" s="132">
        <f>W5/S5-1</f>
        <v>0.29578204957159482</v>
      </c>
      <c r="AA5" s="203"/>
      <c r="AB5" s="203">
        <f>VLOOKUP($C5,'Segment IFRS17'!$I$460:$N$531,3,0)/1000</f>
        <v>0</v>
      </c>
      <c r="AC5" s="203">
        <f>VLOOKUP($C5,'Segment IFRS17'!$P$460:$U$531,3,0)/1000</f>
        <v>0</v>
      </c>
      <c r="AD5" s="203">
        <f>VLOOKUP($C5,'Segment IFRS17'!$AD$460:$AI$531,3,0)/1000</f>
        <v>0</v>
      </c>
      <c r="AE5" s="203">
        <f>VLOOKUP($C5,'Segment IFRS17'!$AK$460:$AP$531,3,0)/1000</f>
        <v>0</v>
      </c>
      <c r="AF5" s="203">
        <f>VLOOKUP($C5,'Segment IFRS17'!$I$537:$N$608,3,0)/1000</f>
        <v>0</v>
      </c>
      <c r="AG5" s="203">
        <f>VLOOKUP($C5,'Segment IFRS17'!$P$537:$U$608,3,0)/1000</f>
        <v>0</v>
      </c>
      <c r="AH5" s="203">
        <f>VLOOKUP($C5,'Segment IFRS17'!$AD$537:$AI$608,3,0)/1000</f>
        <v>0</v>
      </c>
      <c r="AI5" s="203">
        <f>VLOOKUP($C5,'Segment IFRS17'!$AK$537:$AP$608,3,0)/1000</f>
        <v>0</v>
      </c>
      <c r="AK5" s="203"/>
      <c r="AL5" s="203">
        <f>VLOOKUP($C5,'Segment IFRS17'!$I$460:$N$531,4,0)/1000</f>
        <v>0</v>
      </c>
      <c r="AM5" s="203">
        <f>VLOOKUP($C5,'Segment IFRS17'!$P$460:$U$531,4,0)/1000</f>
        <v>0</v>
      </c>
      <c r="AN5" s="203">
        <f>VLOOKUP($C5,'Segment IFRS17'!$AD$460:$AI$531,4,0)/1000</f>
        <v>0</v>
      </c>
      <c r="AO5" s="203">
        <f>VLOOKUP($C5,'Segment IFRS17'!$AK$460:$AP$531,4,0)/1000</f>
        <v>0</v>
      </c>
      <c r="AP5" s="203">
        <f>VLOOKUP($C5,'Segment IFRS17'!$I$537:$N$608,4,0)/1000</f>
        <v>0</v>
      </c>
      <c r="AQ5" s="203">
        <f>VLOOKUP($C5,'Segment IFRS17'!$P$537:$U$608,4,0)/1000</f>
        <v>0</v>
      </c>
      <c r="AR5" s="203">
        <f>VLOOKUP($C5,'Segment IFRS17'!$AD$537:$AI$608,4,0)/1000</f>
        <v>0</v>
      </c>
      <c r="AS5" s="203">
        <f>VLOOKUP($C5,'Segment IFRS17'!$AK$537:$AP$608,4,0)/1000</f>
        <v>0</v>
      </c>
      <c r="AU5" s="38"/>
      <c r="AV5" s="38">
        <f t="shared" ref="AV5:BA5" si="5">AB5+AL5</f>
        <v>0</v>
      </c>
      <c r="AW5" s="38">
        <f t="shared" si="5"/>
        <v>0</v>
      </c>
      <c r="AX5" s="38">
        <f t="shared" si="5"/>
        <v>0</v>
      </c>
      <c r="AY5" s="38">
        <f t="shared" si="5"/>
        <v>0</v>
      </c>
      <c r="AZ5" s="38">
        <f t="shared" si="5"/>
        <v>0</v>
      </c>
      <c r="BA5" s="38">
        <f t="shared" si="5"/>
        <v>0</v>
      </c>
      <c r="BB5" s="38">
        <f>AH5+AR5</f>
        <v>0</v>
      </c>
      <c r="BC5" s="38">
        <f>AI5+AS5</f>
        <v>0</v>
      </c>
      <c r="BF5" s="203"/>
      <c r="BG5" s="203">
        <f>VLOOKUP($C5,'Segment IFRS17'!$I$460:$N$531,5,0)/1000</f>
        <v>0</v>
      </c>
      <c r="BH5" s="203">
        <f>VLOOKUP($C5,'Segment IFRS17'!$P$460:$U$531,5,0)/1000</f>
        <v>0</v>
      </c>
      <c r="BI5" s="203">
        <f>VLOOKUP($C5,'Segment IFRS17'!$AD$460:$AI$531,5,0)/1000</f>
        <v>0</v>
      </c>
      <c r="BJ5" s="203">
        <f>VLOOKUP($C5,'Segment IFRS17'!$AK$460:$AP$531,5,0)/1000</f>
        <v>0</v>
      </c>
      <c r="BK5" s="203">
        <f>VLOOKUP($C5,'Segment IFRS17'!$I$537:$N$608,5,0)/1000</f>
        <v>0</v>
      </c>
      <c r="BL5" s="203">
        <f>VLOOKUP($C5,'Segment IFRS17'!$P$537:$U$608,5,0)/1000</f>
        <v>0</v>
      </c>
      <c r="BM5" s="203">
        <f>VLOOKUP($C5,'Segment IFRS17'!$AD$537:$AI$608,5,0)/1000</f>
        <v>0</v>
      </c>
      <c r="BN5" s="203">
        <f>VLOOKUP($C5,'Segment IFRS17'!$AK$537:$AP$608,5,0)/1000</f>
        <v>0</v>
      </c>
    </row>
    <row r="6" spans="2:67" x14ac:dyDescent="0.3">
      <c r="C6" s="39" t="s">
        <v>92</v>
      </c>
      <c r="D6" s="109"/>
      <c r="E6" s="40"/>
      <c r="F6" s="40">
        <f t="shared" ref="F6:M6" si="6">F5/F$142</f>
        <v>0.11129395291677735</v>
      </c>
      <c r="G6" s="40">
        <f t="shared" si="6"/>
        <v>9.8477020456993594E-2</v>
      </c>
      <c r="H6" s="40">
        <f t="shared" si="6"/>
        <v>0.18999314473969869</v>
      </c>
      <c r="I6" s="40">
        <f t="shared" si="6"/>
        <v>0.14939647515217194</v>
      </c>
      <c r="J6" s="40">
        <f t="shared" si="6"/>
        <v>9.3847442293174432E-2</v>
      </c>
      <c r="K6" s="40">
        <f t="shared" si="6"/>
        <v>0.19353307035269432</v>
      </c>
      <c r="L6" s="40">
        <f t="shared" si="6"/>
        <v>0.15459714675341268</v>
      </c>
      <c r="M6" s="40">
        <f t="shared" si="6"/>
        <v>0.22672444269989145</v>
      </c>
      <c r="N6" s="169"/>
      <c r="P6" s="40"/>
      <c r="Q6" s="40">
        <f t="shared" ref="Q6:X6" si="7">Q5/Q$142</f>
        <v>0.11129395291677735</v>
      </c>
      <c r="R6" s="40">
        <f t="shared" si="7"/>
        <v>9.8477020456993594E-2</v>
      </c>
      <c r="S6" s="40">
        <f t="shared" si="7"/>
        <v>0.18999314473969869</v>
      </c>
      <c r="T6" s="40">
        <f t="shared" si="7"/>
        <v>0.14939647515217194</v>
      </c>
      <c r="U6" s="40">
        <f t="shared" si="7"/>
        <v>9.3847442293174432E-2</v>
      </c>
      <c r="V6" s="40">
        <f t="shared" si="7"/>
        <v>0.19353307035269432</v>
      </c>
      <c r="W6" s="40">
        <f t="shared" si="7"/>
        <v>0.15459714675341268</v>
      </c>
      <c r="X6" s="40">
        <f t="shared" si="7"/>
        <v>0.22672444269989145</v>
      </c>
      <c r="Y6" s="169"/>
      <c r="AA6" s="40"/>
      <c r="AB6" s="40"/>
      <c r="AC6" s="40"/>
      <c r="AD6" s="40"/>
      <c r="AE6" s="40"/>
      <c r="AF6" s="40"/>
      <c r="AG6" s="40"/>
      <c r="AH6" s="40"/>
      <c r="AI6" s="40"/>
      <c r="AK6" s="40"/>
      <c r="AL6" s="40"/>
      <c r="AM6" s="40"/>
      <c r="AN6" s="40"/>
      <c r="AO6" s="40"/>
      <c r="AP6" s="40"/>
      <c r="AQ6" s="40"/>
      <c r="AR6" s="40"/>
      <c r="AS6" s="40"/>
      <c r="AU6" s="40"/>
      <c r="AV6" s="40"/>
      <c r="AW6" s="40"/>
      <c r="AX6" s="40"/>
      <c r="AY6" s="40"/>
      <c r="AZ6" s="40"/>
      <c r="BA6" s="40"/>
      <c r="BB6" s="40"/>
      <c r="BC6" s="40"/>
      <c r="BD6" s="169"/>
      <c r="BF6" s="40"/>
      <c r="BG6" s="40">
        <f t="shared" ref="BG6:BN6" si="8">BG5/BG$142</f>
        <v>0</v>
      </c>
      <c r="BH6" s="40">
        <f t="shared" si="8"/>
        <v>0</v>
      </c>
      <c r="BI6" s="40">
        <f t="shared" si="8"/>
        <v>0</v>
      </c>
      <c r="BJ6" s="40">
        <f t="shared" si="8"/>
        <v>0</v>
      </c>
      <c r="BK6" s="40">
        <f t="shared" si="8"/>
        <v>0</v>
      </c>
      <c r="BL6" s="40">
        <f t="shared" si="8"/>
        <v>0</v>
      </c>
      <c r="BM6" s="40">
        <f t="shared" si="8"/>
        <v>0</v>
      </c>
      <c r="BN6" s="40">
        <f t="shared" si="8"/>
        <v>0</v>
      </c>
    </row>
    <row r="7" spans="2:67" x14ac:dyDescent="0.3">
      <c r="C7" s="36" t="s">
        <v>19</v>
      </c>
      <c r="E7" s="203"/>
      <c r="F7" s="203">
        <f>VLOOKUP($C7,'Segment IFRS17'!$I$460:$N$531,6,0)/1000</f>
        <v>94648.665723919985</v>
      </c>
      <c r="G7" s="203">
        <f>VLOOKUP($C7,'Segment IFRS17'!$P$460:$U$531,6,0)/1000</f>
        <v>88721.404231200009</v>
      </c>
      <c r="H7" s="203">
        <f>VLOOKUP($C7,'Segment IFRS17'!$AD$460:$AI$531,6,0)/1000</f>
        <v>103760.26267525998</v>
      </c>
      <c r="I7" s="203">
        <f>VLOOKUP($C7,'Segment IFRS17'!$AK$460:$AP$531,6,0)/1000</f>
        <v>107621.48133265995</v>
      </c>
      <c r="J7" s="203">
        <f>VLOOKUP($C7,'Segment IFRS17'!$I$537:$N$608,6,0)/1000</f>
        <v>96320.349973860008</v>
      </c>
      <c r="K7" s="203">
        <f>VLOOKUP($C7,'Segment IFRS17'!$P$539:$U$600,6,0)/1000</f>
        <v>91481.861098859983</v>
      </c>
      <c r="L7" s="203">
        <f>VLOOKUP($C7,'Segment IFRS17'!$AD$539:$AI$600,6,0)/1000</f>
        <v>68049.811860459988</v>
      </c>
      <c r="M7" s="203">
        <f>VLOOKUP($C7,'Segment IFRS17'!$AK$539:$AP$600,6,0)/1000</f>
        <v>84912.847386239941</v>
      </c>
      <c r="N7" s="132">
        <f>M7/I7-1</f>
        <v>-0.21100465878393937</v>
      </c>
      <c r="O7" s="132"/>
      <c r="P7" s="38"/>
      <c r="Q7" s="38">
        <f>VLOOKUP($C7,'Segment IFRS17'!$I$460:$N$531,2,0)/1000</f>
        <v>94648.665723919985</v>
      </c>
      <c r="R7" s="38">
        <f>VLOOKUP($C7,'Segment IFRS17'!$P$460:$U$531,2,0)/1000</f>
        <v>88721.404231200009</v>
      </c>
      <c r="S7" s="38">
        <f>VLOOKUP($C7,'Segment IFRS17'!$AD$460:$AI$531,2,0)/1000</f>
        <v>103760.26267525998</v>
      </c>
      <c r="T7" s="38">
        <f>VLOOKUP($C7,'Segment IFRS17'!$AK$460:$AP$531,2,0)/1000</f>
        <v>107621.48133265995</v>
      </c>
      <c r="U7" s="38">
        <f>VLOOKUP($C7,'Segment IFRS17'!$I$537:$N$608,2,0)/1000</f>
        <v>96320.349973860008</v>
      </c>
      <c r="V7" s="38">
        <f>VLOOKUP($C7,'Segment IFRS17'!$P$537:$U$608,2,0)/1000</f>
        <v>91481.861098859983</v>
      </c>
      <c r="W7" s="38">
        <f>VLOOKUP($C7,'Segment IFRS17'!$AD$537:$AI$608,2,0)/1000</f>
        <v>68049.811860459988</v>
      </c>
      <c r="X7" s="38">
        <f>VLOOKUP($C7,'Segment IFRS17'!$AK$537:$AP$608,2,0)/1000</f>
        <v>84912.847386239941</v>
      </c>
      <c r="Y7" s="132">
        <f>W7/S7-1</f>
        <v>-0.34416307258746548</v>
      </c>
      <c r="Z7" s="204"/>
      <c r="AA7" s="38"/>
      <c r="AB7" s="38">
        <f>VLOOKUP($C7,'Segment IFRS17'!$I$460:$N$531,3,0)/1000</f>
        <v>0</v>
      </c>
      <c r="AC7" s="38">
        <f>VLOOKUP($C7,'Segment IFRS17'!$P$460:$U$531,3,0)/1000</f>
        <v>0</v>
      </c>
      <c r="AD7" s="38">
        <f>VLOOKUP($C7,'Segment IFRS17'!$AD$460:$AI$531,3,0)/1000</f>
        <v>0</v>
      </c>
      <c r="AE7" s="38">
        <f>VLOOKUP($C7,'Segment IFRS17'!$AK$460:$AP$531,3,0)/1000</f>
        <v>0</v>
      </c>
      <c r="AF7" s="38">
        <f>VLOOKUP($C7,'Segment IFRS17'!$I$537:$N$608,3,0)/1000</f>
        <v>0</v>
      </c>
      <c r="AG7" s="38">
        <f>VLOOKUP($C7,'Segment IFRS17'!$P$537:$U$608,3,0)/1000</f>
        <v>0</v>
      </c>
      <c r="AH7" s="38">
        <f>VLOOKUP($C7,'Segment IFRS17'!$AD$537:$AI$608,3,0)/1000</f>
        <v>0</v>
      </c>
      <c r="AI7" s="38">
        <f>VLOOKUP($C7,'Segment IFRS17'!$AK$537:$AP$608,3,0)/1000</f>
        <v>0</v>
      </c>
      <c r="AK7" s="38"/>
      <c r="AL7" s="38">
        <f>VLOOKUP($C7,'Segment IFRS17'!$I$460:$N$531,4,0)/1000</f>
        <v>0</v>
      </c>
      <c r="AM7" s="38">
        <f>VLOOKUP($C7,'Segment IFRS17'!$P$460:$U$531,4,0)/1000</f>
        <v>0</v>
      </c>
      <c r="AN7" s="38">
        <f>VLOOKUP($C7,'Segment IFRS17'!$AD$460:$AI$531,4,0)/1000</f>
        <v>0</v>
      </c>
      <c r="AO7" s="38">
        <f>VLOOKUP($C7,'Segment IFRS17'!$AK$460:$AP$531,4,0)/1000</f>
        <v>0</v>
      </c>
      <c r="AP7" s="38">
        <f>VLOOKUP($C7,'Segment IFRS17'!$I$537:$N$608,4,0)/1000</f>
        <v>0</v>
      </c>
      <c r="AQ7" s="38">
        <f>VLOOKUP($C7,'Segment IFRS17'!$P$537:$U$608,4,0)/1000</f>
        <v>0</v>
      </c>
      <c r="AR7" s="38">
        <f>VLOOKUP($C7,'Segment IFRS17'!$AD$537:$AI$608,4,0)/1000</f>
        <v>0</v>
      </c>
      <c r="AS7" s="38">
        <f>VLOOKUP($C7,'Segment IFRS17'!$AK$537:$AP$608,4,0)/1000</f>
        <v>0</v>
      </c>
      <c r="AU7" s="38"/>
      <c r="AV7" s="38">
        <f t="shared" ref="AV7:BA7" si="9">AB7+AL7</f>
        <v>0</v>
      </c>
      <c r="AW7" s="38">
        <f t="shared" si="9"/>
        <v>0</v>
      </c>
      <c r="AX7" s="38">
        <f t="shared" si="9"/>
        <v>0</v>
      </c>
      <c r="AY7" s="38">
        <f t="shared" si="9"/>
        <v>0</v>
      </c>
      <c r="AZ7" s="38">
        <f t="shared" si="9"/>
        <v>0</v>
      </c>
      <c r="BA7" s="38">
        <f t="shared" si="9"/>
        <v>0</v>
      </c>
      <c r="BB7" s="38">
        <f>AH7+AR7</f>
        <v>0</v>
      </c>
      <c r="BC7" s="38">
        <f>AI7+AS7</f>
        <v>0</v>
      </c>
      <c r="BF7" s="38"/>
      <c r="BG7" s="38">
        <f>VLOOKUP($C7,'Segment IFRS17'!$I$460:$N$531,5,0)/1000</f>
        <v>0</v>
      </c>
      <c r="BH7" s="38">
        <f>VLOOKUP($C7,'Segment IFRS17'!$P$460:$U$531,5,0)/1000</f>
        <v>0</v>
      </c>
      <c r="BI7" s="38">
        <f>VLOOKUP($C7,'Segment IFRS17'!$AD$460:$AI$531,5,0)/1000</f>
        <v>0</v>
      </c>
      <c r="BJ7" s="38">
        <f>VLOOKUP($C7,'Segment IFRS17'!$AK$460:$AP$531,5,0)/1000</f>
        <v>0</v>
      </c>
      <c r="BK7" s="38">
        <f>VLOOKUP($C7,'Segment IFRS17'!$I$537:$N$608,5,0)/1000</f>
        <v>0</v>
      </c>
      <c r="BL7" s="38">
        <f>VLOOKUP($C7,'Segment IFRS17'!$P$537:$U$608,5,0)/1000</f>
        <v>0</v>
      </c>
      <c r="BM7" s="38">
        <f>VLOOKUP($C7,'Segment IFRS17'!$AD$537:$AI$608,5,0)/1000</f>
        <v>0</v>
      </c>
      <c r="BN7" s="38">
        <f>VLOOKUP($C7,'Segment IFRS17'!$AK$537:$AP$608,5,0)/1000</f>
        <v>0</v>
      </c>
    </row>
    <row r="8" spans="2:67" x14ac:dyDescent="0.3">
      <c r="C8" s="39" t="s">
        <v>57</v>
      </c>
      <c r="D8" s="109"/>
      <c r="E8" s="40"/>
      <c r="F8" s="40">
        <f t="shared" ref="F8:M8" si="10">F7/AVERAGE(E118:F118)*4</f>
        <v>3.0520207149143899E-2</v>
      </c>
      <c r="G8" s="40">
        <f t="shared" si="10"/>
        <v>2.9263143131499483E-2</v>
      </c>
      <c r="H8" s="40">
        <f t="shared" si="10"/>
        <v>3.4347111294651483E-2</v>
      </c>
      <c r="I8" s="40">
        <f t="shared" si="10"/>
        <v>3.5407863651913028E-2</v>
      </c>
      <c r="J8" s="40">
        <f t="shared" si="10"/>
        <v>3.2400738246171748E-2</v>
      </c>
      <c r="K8" s="40">
        <f t="shared" si="10"/>
        <v>3.2566957810953125E-2</v>
      </c>
      <c r="L8" s="40">
        <f t="shared" si="10"/>
        <v>2.408329495808146E-2</v>
      </c>
      <c r="M8" s="40">
        <f t="shared" si="10"/>
        <v>3.012815994621974E-2</v>
      </c>
      <c r="N8" s="169"/>
      <c r="P8" s="40"/>
      <c r="Q8" s="207">
        <f t="shared" ref="Q8:X8" si="11">Q7/AVERAGE(P118:Q118)*4</f>
        <v>3.0520207149143899E-2</v>
      </c>
      <c r="R8" s="207">
        <f t="shared" si="11"/>
        <v>2.9263143131499483E-2</v>
      </c>
      <c r="S8" s="207">
        <f t="shared" si="11"/>
        <v>3.4347111294651483E-2</v>
      </c>
      <c r="T8" s="207">
        <f t="shared" si="11"/>
        <v>3.5407863651913028E-2</v>
      </c>
      <c r="U8" s="207">
        <f t="shared" si="11"/>
        <v>3.2400738246171748E-2</v>
      </c>
      <c r="V8" s="207">
        <f t="shared" si="11"/>
        <v>3.2566957810953125E-2</v>
      </c>
      <c r="W8" s="207">
        <f t="shared" si="11"/>
        <v>2.408329495808146E-2</v>
      </c>
      <c r="X8" s="207">
        <f t="shared" si="11"/>
        <v>3.012815994621974E-2</v>
      </c>
      <c r="Y8" s="169"/>
      <c r="AA8" s="40"/>
      <c r="AB8" s="40"/>
      <c r="AC8" s="40"/>
      <c r="AD8" s="40"/>
      <c r="AE8" s="40"/>
      <c r="AF8" s="40"/>
      <c r="AG8" s="40"/>
      <c r="AH8" s="40"/>
      <c r="AI8" s="40"/>
      <c r="AK8" s="40"/>
      <c r="AL8" s="40"/>
      <c r="AM8" s="40"/>
      <c r="AN8" s="40"/>
      <c r="AO8" s="40"/>
      <c r="AP8" s="40"/>
      <c r="AQ8" s="40"/>
      <c r="AR8" s="40"/>
      <c r="AS8" s="40"/>
      <c r="AU8" s="40"/>
      <c r="AV8" s="40"/>
      <c r="AW8" s="40"/>
      <c r="AX8" s="40"/>
      <c r="AY8" s="40"/>
      <c r="AZ8" s="40"/>
      <c r="BA8" s="40"/>
      <c r="BB8" s="40"/>
      <c r="BC8" s="40"/>
      <c r="BD8" s="169"/>
      <c r="BF8" s="40"/>
      <c r="BG8" s="40"/>
      <c r="BH8" s="40"/>
      <c r="BI8" s="40"/>
      <c r="BJ8" s="40"/>
      <c r="BK8" s="40"/>
      <c r="BL8" s="40"/>
      <c r="BM8" s="40"/>
      <c r="BN8" s="40"/>
    </row>
    <row r="9" spans="2:67" x14ac:dyDescent="0.3">
      <c r="C9" s="36" t="s">
        <v>86</v>
      </c>
      <c r="E9" s="203"/>
      <c r="F9" s="203">
        <f>VLOOKUP($C9,'Segment IFRS17'!$I$460:$N$531,6,0)/1000</f>
        <v>4275.5908099999988</v>
      </c>
      <c r="G9" s="203">
        <f>VLOOKUP($C9,'Segment IFRS17'!$P$460:$U$531,6,0)/1000</f>
        <v>3906.5286899999955</v>
      </c>
      <c r="H9" s="203">
        <f>VLOOKUP($C9,'Segment IFRS17'!$AD$460:$AI$531,6,0)/1000</f>
        <v>4002.5249999999983</v>
      </c>
      <c r="I9" s="203">
        <f>VLOOKUP($C9,'Segment IFRS17'!$AK$460:$AP$531,6,0)/1000</f>
        <v>5605.3160800000132</v>
      </c>
      <c r="J9" s="203">
        <f>VLOOKUP($C9,'Segment IFRS17'!$I$537:$N$608,6,0)/1000</f>
        <v>3238.9487899999995</v>
      </c>
      <c r="K9" s="203">
        <f>VLOOKUP($C9,'Segment IFRS17'!$P$539:$U$600,6,0)/1000</f>
        <v>2207.3322300000027</v>
      </c>
      <c r="L9" s="203">
        <f>VLOOKUP($C9,'Segment IFRS17'!$AD$539:$AI$600,6,0)/1000</f>
        <v>3241.248929999997</v>
      </c>
      <c r="M9" s="203">
        <f>VLOOKUP($C9,'Segment IFRS17'!$AK$539:$AP$600,6,0)/1000</f>
        <v>1005.676709999999</v>
      </c>
      <c r="N9" s="132">
        <f>M9/I9-1</f>
        <v>-0.82058519169181321</v>
      </c>
      <c r="P9" s="38"/>
      <c r="Q9" s="38">
        <f>VLOOKUP($C9,'Segment IFRS17'!$I$460:$N$531,2,0)/1000</f>
        <v>4275.5908099999988</v>
      </c>
      <c r="R9" s="38">
        <f>VLOOKUP($C9,'Segment IFRS17'!$P$460:$U$531,2,0)/1000</f>
        <v>3906.5286899999955</v>
      </c>
      <c r="S9" s="38">
        <f>VLOOKUP($C9,'Segment IFRS17'!$AD$460:$AI$531,2,0)/1000</f>
        <v>4002.5249999999983</v>
      </c>
      <c r="T9" s="38">
        <f>VLOOKUP($C9,'Segment IFRS17'!$AK$460:$AP$531,2,0)/1000</f>
        <v>5605.3160800000132</v>
      </c>
      <c r="U9" s="38">
        <f>VLOOKUP($C9,'Segment IFRS17'!$I$537:$N$608,2,0)/1000</f>
        <v>3238.9487899999995</v>
      </c>
      <c r="V9" s="38">
        <f>VLOOKUP($C9,'Segment IFRS17'!$P$537:$U$608,2,0)/1000</f>
        <v>2207.3322300000027</v>
      </c>
      <c r="W9" s="38">
        <f>VLOOKUP($C9,'Segment IFRS17'!$AD$537:$AI$608,2,0)/1000</f>
        <v>3241.248929999997</v>
      </c>
      <c r="X9" s="38">
        <f>VLOOKUP($C9,'Segment IFRS17'!$AK$537:$AP$608,2,0)/1000</f>
        <v>1005.676709999999</v>
      </c>
      <c r="Y9" s="132">
        <f>W9/S9-1</f>
        <v>-0.1901989544100291</v>
      </c>
      <c r="AA9" s="38"/>
      <c r="AB9" s="38">
        <f>VLOOKUP($C9,'Segment IFRS17'!$I$460:$N$531,3,0)/1000</f>
        <v>0</v>
      </c>
      <c r="AC9" s="38">
        <f>VLOOKUP($C9,'Segment IFRS17'!$P$460:$U$531,3,0)/1000</f>
        <v>0</v>
      </c>
      <c r="AD9" s="38">
        <f>VLOOKUP($C9,'Segment IFRS17'!$AD$460:$AI$531,3,0)/1000</f>
        <v>0</v>
      </c>
      <c r="AE9" s="38">
        <f>VLOOKUP($C9,'Segment IFRS17'!$AK$460:$AP$531,3,0)/1000</f>
        <v>0</v>
      </c>
      <c r="AF9" s="38">
        <f>VLOOKUP($C9,'Segment IFRS17'!$I$537:$N$608,3,0)/1000</f>
        <v>0</v>
      </c>
      <c r="AG9" s="38">
        <f>VLOOKUP($C9,'Segment IFRS17'!$P$537:$U$608,3,0)/1000</f>
        <v>0</v>
      </c>
      <c r="AH9" s="38">
        <f>VLOOKUP($C9,'Segment IFRS17'!$AD$537:$AI$608,3,0)/1000</f>
        <v>0</v>
      </c>
      <c r="AI9" s="38">
        <f>VLOOKUP($C9,'Segment IFRS17'!$AK$537:$AP$608,3,0)/1000</f>
        <v>0</v>
      </c>
      <c r="AK9" s="38"/>
      <c r="AL9" s="38">
        <f>VLOOKUP($C9,'Segment IFRS17'!$I$460:$N$531,4,0)/1000</f>
        <v>0</v>
      </c>
      <c r="AM9" s="38">
        <f>VLOOKUP($C9,'Segment IFRS17'!$P$460:$U$531,4,0)/1000</f>
        <v>0</v>
      </c>
      <c r="AN9" s="38">
        <f>VLOOKUP($C9,'Segment IFRS17'!$AD$460:$AI$531,4,0)/1000</f>
        <v>0</v>
      </c>
      <c r="AO9" s="38">
        <f>VLOOKUP($C9,'Segment IFRS17'!$AK$460:$AP$531,4,0)/1000</f>
        <v>0</v>
      </c>
      <c r="AP9" s="38">
        <f>VLOOKUP($C9,'Segment IFRS17'!$I$537:$N$608,4,0)/1000</f>
        <v>0</v>
      </c>
      <c r="AQ9" s="38">
        <f>VLOOKUP($C9,'Segment IFRS17'!$P$537:$U$608,4,0)/1000</f>
        <v>0</v>
      </c>
      <c r="AR9" s="38">
        <f>VLOOKUP($C9,'Segment IFRS17'!$AD$537:$AI$608,4,0)/1000</f>
        <v>0</v>
      </c>
      <c r="AS9" s="38">
        <f>VLOOKUP($C9,'Segment IFRS17'!$AK$537:$AP$608,4,0)/1000</f>
        <v>0</v>
      </c>
      <c r="AU9" s="38"/>
      <c r="AV9" s="38">
        <f t="shared" ref="AV9:BC10" si="12">AB9+AL9</f>
        <v>0</v>
      </c>
      <c r="AW9" s="38">
        <f t="shared" si="12"/>
        <v>0</v>
      </c>
      <c r="AX9" s="38">
        <f t="shared" si="12"/>
        <v>0</v>
      </c>
      <c r="AY9" s="38">
        <f t="shared" si="12"/>
        <v>0</v>
      </c>
      <c r="AZ9" s="38">
        <f t="shared" si="12"/>
        <v>0</v>
      </c>
      <c r="BA9" s="38">
        <f t="shared" si="12"/>
        <v>0</v>
      </c>
      <c r="BB9" s="38">
        <f t="shared" si="12"/>
        <v>0</v>
      </c>
      <c r="BC9" s="38">
        <f t="shared" si="12"/>
        <v>0</v>
      </c>
      <c r="BF9" s="38"/>
      <c r="BG9" s="38">
        <f>VLOOKUP($C9,'Segment IFRS17'!$I$460:$N$531,5,0)/1000</f>
        <v>0</v>
      </c>
      <c r="BH9" s="38">
        <f>VLOOKUP($C9,'Segment IFRS17'!$P$460:$U$531,5,0)/1000</f>
        <v>0</v>
      </c>
      <c r="BI9" s="38">
        <f>VLOOKUP($C9,'Segment IFRS17'!$AD$460:$AI$531,5,0)/1000</f>
        <v>0</v>
      </c>
      <c r="BJ9" s="38">
        <f>VLOOKUP($C9,'Segment IFRS17'!$AK$460:$AP$531,5,0)/1000</f>
        <v>0</v>
      </c>
      <c r="BK9" s="38">
        <f>VLOOKUP($C9,'Segment IFRS17'!$I$537:$N$608,5,0)/1000</f>
        <v>0</v>
      </c>
      <c r="BL9" s="38">
        <f>VLOOKUP($C9,'Segment IFRS17'!$P$537:$U$608,5,0)/1000</f>
        <v>0</v>
      </c>
      <c r="BM9" s="38">
        <f>VLOOKUP($C9,'Segment IFRS17'!$AD$537:$AI$608,5,0)/1000</f>
        <v>0</v>
      </c>
      <c r="BN9" s="38">
        <f>VLOOKUP($C9,'Segment IFRS17'!$AK$537:$AP$608,5,0)/1000</f>
        <v>0</v>
      </c>
    </row>
    <row r="10" spans="2:67" x14ac:dyDescent="0.3">
      <c r="C10" s="36" t="s">
        <v>87</v>
      </c>
      <c r="E10" s="203"/>
      <c r="F10" s="203">
        <f>VLOOKUP($C10,'Segment IFRS17'!$I$460:$N$531,6,0)/1000</f>
        <v>-101021.8792</v>
      </c>
      <c r="G10" s="203">
        <f>VLOOKUP($C10,'Segment IFRS17'!$P$460:$U$531,6,0)/1000</f>
        <v>-37646.264360000001</v>
      </c>
      <c r="H10" s="203">
        <f>VLOOKUP($C10,'Segment IFRS17'!$AD$460:$AI$531,6,0)/1000</f>
        <v>-63198.925979999993</v>
      </c>
      <c r="I10" s="203">
        <f>VLOOKUP($C10,'Segment IFRS17'!$AK$460:$AP$531,6,0)/1000</f>
        <v>-59802.193729999992</v>
      </c>
      <c r="J10" s="203">
        <f>VLOOKUP($C10,'Segment IFRS17'!$I$537:$N$608,6,0)/1000</f>
        <v>-75590.375590000011</v>
      </c>
      <c r="K10" s="203">
        <f>VLOOKUP($C10,'Segment IFRS17'!$P$539:$U$600,6,0)/1000</f>
        <v>-58101.905989999992</v>
      </c>
      <c r="L10" s="203">
        <f>VLOOKUP($C10,'Segment IFRS17'!$AD$539:$AI$600,6,0)/1000</f>
        <v>-48206.573179999992</v>
      </c>
      <c r="M10" s="203">
        <f>VLOOKUP($C10,'Segment IFRS17'!$AK$539:$AP$600,6,0)/1000</f>
        <v>-58534.582880000024</v>
      </c>
      <c r="N10" s="132">
        <f>M10/I10-1</f>
        <v>-2.1196728262563136E-2</v>
      </c>
      <c r="P10" s="38"/>
      <c r="Q10" s="38">
        <f>VLOOKUP($C10,'Segment IFRS17'!$I$460:$N$531,2,0)/1000</f>
        <v>-101021.8792</v>
      </c>
      <c r="R10" s="38">
        <f>VLOOKUP($C10,'Segment IFRS17'!$P$460:$U$531,2,0)/1000</f>
        <v>-37646.264360000001</v>
      </c>
      <c r="S10" s="38">
        <f>VLOOKUP($C10,'Segment IFRS17'!$AD$460:$AI$531,2,0)/1000</f>
        <v>-63198.925979999993</v>
      </c>
      <c r="T10" s="38">
        <f>VLOOKUP($C10,'Segment IFRS17'!$AK$460:$AP$531,2,0)/1000</f>
        <v>-59802.193729999992</v>
      </c>
      <c r="U10" s="38">
        <f>VLOOKUP($C10,'Segment IFRS17'!$I$537:$N$608,2,0)/1000</f>
        <v>-75590.375590000011</v>
      </c>
      <c r="V10" s="38">
        <f>VLOOKUP($C10,'Segment IFRS17'!$P$537:$U$608,2,0)/1000</f>
        <v>-58101.905989999992</v>
      </c>
      <c r="W10" s="38">
        <f>VLOOKUP($C10,'Segment IFRS17'!$AD$537:$AI$608,2,0)/1000</f>
        <v>-48206.573179999992</v>
      </c>
      <c r="X10" s="38">
        <f>VLOOKUP($C10,'Segment IFRS17'!$AK$537:$AP$608,2,0)/1000</f>
        <v>-58534.582880000024</v>
      </c>
      <c r="Y10" s="132">
        <f>W10/S10-1</f>
        <v>-0.23722480354720743</v>
      </c>
      <c r="AA10" s="38"/>
      <c r="AB10" s="38">
        <f>VLOOKUP($C10,'Segment IFRS17'!$I$460:$N$531,3,0)/1000</f>
        <v>0</v>
      </c>
      <c r="AC10" s="38">
        <f>VLOOKUP($C10,'Segment IFRS17'!$P$460:$U$531,3,0)/1000</f>
        <v>0</v>
      </c>
      <c r="AD10" s="38">
        <f>VLOOKUP($C10,'Segment IFRS17'!$AD$460:$AI$531,3,0)/1000</f>
        <v>0</v>
      </c>
      <c r="AE10" s="38">
        <f>VLOOKUP($C10,'Segment IFRS17'!$AK$460:$AP$531,3,0)/1000</f>
        <v>0</v>
      </c>
      <c r="AF10" s="38">
        <f>VLOOKUP($C10,'Segment IFRS17'!$I$537:$N$608,3,0)/1000</f>
        <v>0</v>
      </c>
      <c r="AG10" s="38">
        <f>VLOOKUP($C10,'Segment IFRS17'!$P$537:$U$608,3,0)/1000</f>
        <v>0</v>
      </c>
      <c r="AH10" s="38">
        <f>VLOOKUP($C10,'Segment IFRS17'!$AD$537:$AI$608,3,0)/1000</f>
        <v>0</v>
      </c>
      <c r="AI10" s="38">
        <f>VLOOKUP($C10,'Segment IFRS17'!$AK$537:$AP$608,3,0)/1000</f>
        <v>0</v>
      </c>
      <c r="AK10" s="38"/>
      <c r="AL10" s="38">
        <f>VLOOKUP($C10,'Segment IFRS17'!$I$460:$N$531,4,0)/1000</f>
        <v>0</v>
      </c>
      <c r="AM10" s="38">
        <f>VLOOKUP($C10,'Segment IFRS17'!$P$460:$U$531,4,0)/1000</f>
        <v>0</v>
      </c>
      <c r="AN10" s="38">
        <f>VLOOKUP($C10,'Segment IFRS17'!$AD$460:$AI$531,4,0)/1000</f>
        <v>0</v>
      </c>
      <c r="AO10" s="38">
        <f>VLOOKUP($C10,'Segment IFRS17'!$AK$460:$AP$531,4,0)/1000</f>
        <v>0</v>
      </c>
      <c r="AP10" s="38">
        <f>VLOOKUP($C10,'Segment IFRS17'!$I$537:$N$608,4,0)/1000</f>
        <v>0</v>
      </c>
      <c r="AQ10" s="38">
        <f>VLOOKUP($C10,'Segment IFRS17'!$P$537:$U$608,4,0)/1000</f>
        <v>0</v>
      </c>
      <c r="AR10" s="38">
        <f>VLOOKUP($C10,'Segment IFRS17'!$AD$537:$AI$608,4,0)/1000</f>
        <v>0</v>
      </c>
      <c r="AS10" s="38">
        <f>VLOOKUP($C10,'Segment IFRS17'!$AK$537:$AP$608,4,0)/1000</f>
        <v>0</v>
      </c>
      <c r="AU10" s="38"/>
      <c r="AV10" s="38">
        <f t="shared" si="12"/>
        <v>0</v>
      </c>
      <c r="AW10" s="38">
        <f t="shared" si="12"/>
        <v>0</v>
      </c>
      <c r="AX10" s="38">
        <f t="shared" si="12"/>
        <v>0</v>
      </c>
      <c r="AY10" s="38">
        <f t="shared" si="12"/>
        <v>0</v>
      </c>
      <c r="AZ10" s="38">
        <f t="shared" si="12"/>
        <v>0</v>
      </c>
      <c r="BA10" s="38">
        <f t="shared" si="12"/>
        <v>0</v>
      </c>
      <c r="BB10" s="38">
        <f t="shared" si="12"/>
        <v>0</v>
      </c>
      <c r="BC10" s="38">
        <f t="shared" si="12"/>
        <v>0</v>
      </c>
      <c r="BF10" s="38"/>
      <c r="BG10" s="38">
        <f>VLOOKUP($C10,'Segment IFRS17'!$I$460:$N$531,5,0)/1000</f>
        <v>0</v>
      </c>
      <c r="BH10" s="38">
        <f>VLOOKUP($C10,'Segment IFRS17'!$P$460:$U$531,5,0)/1000</f>
        <v>0</v>
      </c>
      <c r="BI10" s="38">
        <f>VLOOKUP($C10,'Segment IFRS17'!$AD$460:$AI$531,5,0)/1000</f>
        <v>0</v>
      </c>
      <c r="BJ10" s="38">
        <f>VLOOKUP($C10,'Segment IFRS17'!$AK$460:$AP$531,5,0)/1000</f>
        <v>0</v>
      </c>
      <c r="BK10" s="38">
        <f>VLOOKUP($C10,'Segment IFRS17'!$I$537:$N$608,5,0)/1000</f>
        <v>0</v>
      </c>
      <c r="BL10" s="38">
        <f>VLOOKUP($C10,'Segment IFRS17'!$P$537:$U$608,5,0)/1000</f>
        <v>0</v>
      </c>
      <c r="BM10" s="38">
        <f>VLOOKUP($C10,'Segment IFRS17'!$AD$537:$AI$608,5,0)/1000</f>
        <v>0</v>
      </c>
      <c r="BN10" s="38">
        <f>VLOOKUP($C10,'Segment IFRS17'!$AK$537:$AP$608,5,0)/1000</f>
        <v>0</v>
      </c>
    </row>
    <row r="11" spans="2:67" x14ac:dyDescent="0.3">
      <c r="C11" s="43" t="s">
        <v>18</v>
      </c>
      <c r="D11" s="111"/>
      <c r="E11" s="44"/>
      <c r="F11" s="44">
        <f t="shared" ref="F11:M11" si="13">F5+F7+F9+F10</f>
        <v>93807.308723919967</v>
      </c>
      <c r="G11" s="44">
        <f t="shared" si="13"/>
        <v>232830.51788119998</v>
      </c>
      <c r="H11" s="44">
        <f t="shared" si="13"/>
        <v>308155.02827525995</v>
      </c>
      <c r="I11" s="44">
        <f t="shared" si="13"/>
        <v>356056.81040265993</v>
      </c>
      <c r="J11" s="44">
        <f t="shared" si="13"/>
        <v>82461.366063859983</v>
      </c>
      <c r="K11" s="44">
        <f t="shared" si="13"/>
        <v>295939.56217886001</v>
      </c>
      <c r="L11" s="44">
        <f t="shared" si="13"/>
        <v>364641.18969045999</v>
      </c>
      <c r="M11" s="44">
        <f t="shared" si="13"/>
        <v>333824.33181623992</v>
      </c>
      <c r="N11" s="170">
        <f>M11/I11-1</f>
        <v>-6.244081825391179E-2</v>
      </c>
      <c r="O11" s="132"/>
      <c r="P11" s="44"/>
      <c r="Q11" s="44">
        <f t="shared" ref="Q11:X11" si="14">Q5+Q7+Q9+Q10</f>
        <v>93807.308723919967</v>
      </c>
      <c r="R11" s="44">
        <f t="shared" si="14"/>
        <v>232830.51788119998</v>
      </c>
      <c r="S11" s="44">
        <f t="shared" si="14"/>
        <v>308155.02827525995</v>
      </c>
      <c r="T11" s="44">
        <f t="shared" si="14"/>
        <v>356056.81040265993</v>
      </c>
      <c r="U11" s="44">
        <f t="shared" si="14"/>
        <v>82461.366063859983</v>
      </c>
      <c r="V11" s="44">
        <f t="shared" si="14"/>
        <v>295939.56217886001</v>
      </c>
      <c r="W11" s="44">
        <f t="shared" si="14"/>
        <v>364641.18969045999</v>
      </c>
      <c r="X11" s="44">
        <f t="shared" si="14"/>
        <v>333824.33181623992</v>
      </c>
      <c r="Y11" s="170">
        <f>W11/S11-1</f>
        <v>0.18330436381762905</v>
      </c>
      <c r="Z11" s="204"/>
      <c r="AA11" s="44"/>
      <c r="AB11" s="44">
        <f t="shared" ref="AB11:AI11" si="15">AB5+AB7+AB9+AB10</f>
        <v>0</v>
      </c>
      <c r="AC11" s="44">
        <f t="shared" si="15"/>
        <v>0</v>
      </c>
      <c r="AD11" s="44">
        <f t="shared" si="15"/>
        <v>0</v>
      </c>
      <c r="AE11" s="44">
        <f t="shared" si="15"/>
        <v>0</v>
      </c>
      <c r="AF11" s="44">
        <f t="shared" si="15"/>
        <v>0</v>
      </c>
      <c r="AG11" s="44">
        <f t="shared" si="15"/>
        <v>0</v>
      </c>
      <c r="AH11" s="44">
        <f t="shared" si="15"/>
        <v>0</v>
      </c>
      <c r="AI11" s="44">
        <f t="shared" si="15"/>
        <v>0</v>
      </c>
      <c r="AK11" s="44"/>
      <c r="AL11" s="44">
        <f t="shared" ref="AL11:AS11" si="16">AL5+AL7+AL9+AL10</f>
        <v>0</v>
      </c>
      <c r="AM11" s="44">
        <f t="shared" si="16"/>
        <v>0</v>
      </c>
      <c r="AN11" s="44">
        <f t="shared" si="16"/>
        <v>0</v>
      </c>
      <c r="AO11" s="44">
        <f t="shared" si="16"/>
        <v>0</v>
      </c>
      <c r="AP11" s="44">
        <f t="shared" si="16"/>
        <v>0</v>
      </c>
      <c r="AQ11" s="44">
        <f t="shared" si="16"/>
        <v>0</v>
      </c>
      <c r="AR11" s="44">
        <f t="shared" si="16"/>
        <v>0</v>
      </c>
      <c r="AS11" s="44">
        <f t="shared" si="16"/>
        <v>0</v>
      </c>
      <c r="AU11" s="44"/>
      <c r="AV11" s="44">
        <f t="shared" ref="AV11:BC11" si="17">AV5+AV7+AV9+AV10</f>
        <v>0</v>
      </c>
      <c r="AW11" s="44">
        <f t="shared" si="17"/>
        <v>0</v>
      </c>
      <c r="AX11" s="44">
        <f t="shared" si="17"/>
        <v>0</v>
      </c>
      <c r="AY11" s="44">
        <f t="shared" si="17"/>
        <v>0</v>
      </c>
      <c r="AZ11" s="44">
        <f t="shared" si="17"/>
        <v>0</v>
      </c>
      <c r="BA11" s="44">
        <f t="shared" si="17"/>
        <v>0</v>
      </c>
      <c r="BB11" s="44">
        <f t="shared" si="17"/>
        <v>0</v>
      </c>
      <c r="BC11" s="44">
        <f t="shared" si="17"/>
        <v>0</v>
      </c>
      <c r="BD11" s="170"/>
      <c r="BF11" s="44"/>
      <c r="BG11" s="44">
        <f t="shared" ref="BG11:BN11" si="18">BG5+BG7+BG9+BG10</f>
        <v>0</v>
      </c>
      <c r="BH11" s="44">
        <f t="shared" si="18"/>
        <v>0</v>
      </c>
      <c r="BI11" s="44">
        <f t="shared" si="18"/>
        <v>0</v>
      </c>
      <c r="BJ11" s="44">
        <f t="shared" si="18"/>
        <v>0</v>
      </c>
      <c r="BK11" s="44">
        <f t="shared" si="18"/>
        <v>0</v>
      </c>
      <c r="BL11" s="44">
        <f t="shared" si="18"/>
        <v>0</v>
      </c>
      <c r="BM11" s="44">
        <f t="shared" si="18"/>
        <v>0</v>
      </c>
      <c r="BN11" s="44">
        <f t="shared" si="18"/>
        <v>0</v>
      </c>
    </row>
    <row r="12" spans="2:67" x14ac:dyDescent="0.3">
      <c r="C12" s="39" t="s">
        <v>56</v>
      </c>
      <c r="D12" s="109"/>
      <c r="E12" s="40"/>
      <c r="F12" s="40">
        <f t="shared" ref="F12:M12" si="19">F11/F$142</f>
        <v>0.1088597431753978</v>
      </c>
      <c r="G12" s="40">
        <f t="shared" si="19"/>
        <v>0.12892102344246614</v>
      </c>
      <c r="H12" s="40">
        <f t="shared" si="19"/>
        <v>0.22211420681883237</v>
      </c>
      <c r="I12" s="40">
        <f t="shared" si="19"/>
        <v>0.17576989906199295</v>
      </c>
      <c r="J12" s="40">
        <f t="shared" si="19"/>
        <v>0.13230407058990304</v>
      </c>
      <c r="K12" s="40">
        <f t="shared" si="19"/>
        <v>0.21998690867020373</v>
      </c>
      <c r="L12" s="40">
        <f t="shared" si="19"/>
        <v>0.16504576596395221</v>
      </c>
      <c r="M12" s="40">
        <f t="shared" si="19"/>
        <v>0.24698485549672389</v>
      </c>
      <c r="N12" s="169"/>
      <c r="P12" s="40"/>
      <c r="Q12" s="207">
        <f t="shared" ref="Q12:X12" si="20">Q11/Q$142</f>
        <v>0.1088597431753978</v>
      </c>
      <c r="R12" s="207">
        <f t="shared" si="20"/>
        <v>0.12892102344246614</v>
      </c>
      <c r="S12" s="207">
        <f t="shared" si="20"/>
        <v>0.22211420681883237</v>
      </c>
      <c r="T12" s="207">
        <f t="shared" si="20"/>
        <v>0.17576989906199295</v>
      </c>
      <c r="U12" s="207">
        <f t="shared" si="20"/>
        <v>0.13230407058990304</v>
      </c>
      <c r="V12" s="207">
        <f t="shared" si="20"/>
        <v>0.21998690867020373</v>
      </c>
      <c r="W12" s="207">
        <f t="shared" si="20"/>
        <v>0.16504576596395221</v>
      </c>
      <c r="X12" s="207">
        <f t="shared" si="20"/>
        <v>0.24698485549672389</v>
      </c>
      <c r="Y12" s="169"/>
      <c r="AA12" s="40"/>
      <c r="AB12" s="40"/>
      <c r="AC12" s="40"/>
      <c r="AD12" s="40"/>
      <c r="AE12" s="40"/>
      <c r="AF12" s="40"/>
      <c r="AG12" s="40"/>
      <c r="AH12" s="40"/>
      <c r="AI12" s="40"/>
      <c r="AK12" s="40"/>
      <c r="AL12" s="40"/>
      <c r="AM12" s="40"/>
      <c r="AN12" s="40"/>
      <c r="AO12" s="40"/>
      <c r="AP12" s="40"/>
      <c r="AQ12" s="40"/>
      <c r="AR12" s="40"/>
      <c r="AS12" s="40"/>
      <c r="AU12" s="40"/>
      <c r="AV12" s="40"/>
      <c r="AW12" s="40"/>
      <c r="AX12" s="40"/>
      <c r="AY12" s="40"/>
      <c r="AZ12" s="40"/>
      <c r="BA12" s="40"/>
      <c r="BB12" s="40"/>
      <c r="BC12" s="40"/>
      <c r="BD12" s="169"/>
      <c r="BF12" s="40"/>
      <c r="BG12" s="40">
        <f t="shared" ref="BG12:BN12" si="21">BG11/BG$142</f>
        <v>0</v>
      </c>
      <c r="BH12" s="40">
        <f t="shared" si="21"/>
        <v>0</v>
      </c>
      <c r="BI12" s="40">
        <f t="shared" si="21"/>
        <v>0</v>
      </c>
      <c r="BJ12" s="40">
        <f t="shared" si="21"/>
        <v>0</v>
      </c>
      <c r="BK12" s="40">
        <f t="shared" si="21"/>
        <v>0</v>
      </c>
      <c r="BL12" s="40">
        <f t="shared" si="21"/>
        <v>0</v>
      </c>
      <c r="BM12" s="40">
        <f t="shared" si="21"/>
        <v>0</v>
      </c>
      <c r="BN12" s="40">
        <f t="shared" si="21"/>
        <v>0</v>
      </c>
    </row>
    <row r="13" spans="2:67" x14ac:dyDescent="0.3">
      <c r="C13" s="37"/>
      <c r="D13" s="107"/>
      <c r="E13" s="37"/>
      <c r="F13" s="37"/>
      <c r="G13" s="37"/>
      <c r="H13" s="37"/>
      <c r="I13" s="37"/>
      <c r="J13" s="255"/>
      <c r="K13" s="255"/>
      <c r="L13" s="255"/>
      <c r="M13" s="255"/>
      <c r="N13" s="171"/>
      <c r="P13" s="37"/>
      <c r="Q13" s="37"/>
      <c r="R13" s="37"/>
      <c r="S13" s="37"/>
      <c r="T13" s="37"/>
      <c r="U13" s="37"/>
      <c r="V13" s="37"/>
      <c r="W13" s="37"/>
      <c r="X13" s="37"/>
      <c r="Y13" s="171"/>
      <c r="AA13" s="37"/>
      <c r="AB13" s="37"/>
      <c r="AC13" s="37"/>
      <c r="AD13" s="37"/>
      <c r="AE13" s="37"/>
      <c r="AF13" s="37"/>
      <c r="AG13" s="37"/>
      <c r="AH13" s="37"/>
      <c r="AI13" s="37"/>
      <c r="AK13" s="37"/>
      <c r="AL13" s="37"/>
      <c r="AM13" s="37"/>
      <c r="AN13" s="37"/>
      <c r="AO13" s="37"/>
      <c r="AP13" s="37"/>
      <c r="AQ13" s="37"/>
      <c r="AR13" s="37"/>
      <c r="AS13" s="37"/>
      <c r="AU13" s="37"/>
      <c r="AV13" s="37"/>
      <c r="AW13" s="37"/>
      <c r="AX13" s="37"/>
      <c r="AY13" s="37"/>
      <c r="AZ13" s="37"/>
      <c r="BA13" s="37"/>
      <c r="BB13" s="37"/>
      <c r="BC13" s="37"/>
      <c r="BD13" s="171"/>
      <c r="BF13" s="37"/>
      <c r="BG13" s="37"/>
      <c r="BH13" s="37"/>
      <c r="BI13" s="37"/>
      <c r="BJ13" s="37"/>
      <c r="BK13" s="37"/>
      <c r="BL13" s="37"/>
      <c r="BM13" s="37"/>
      <c r="BN13" s="37"/>
    </row>
    <row r="14" spans="2:67" x14ac:dyDescent="0.3">
      <c r="C14" s="36" t="s">
        <v>12</v>
      </c>
      <c r="E14" s="203"/>
      <c r="F14" s="203">
        <f>VLOOKUP($C14,'Segment IFRS17'!$I$460:$N$531,6,0)/1000</f>
        <v>551374.93046999979</v>
      </c>
      <c r="G14" s="203">
        <f>VLOOKUP($C14,'Segment IFRS17'!$P$460:$U$531,6,0)/1000</f>
        <v>499426.15569000051</v>
      </c>
      <c r="H14" s="203">
        <f>VLOOKUP($C14,'Segment IFRS17'!$AD$460:$AI$531,6,0)/1000</f>
        <v>579226.35617999954</v>
      </c>
      <c r="I14" s="203">
        <f>VLOOKUP($C14,'Segment IFRS17'!$AK$460:$AP$531,6,0)/1000</f>
        <v>672123.66980999976</v>
      </c>
      <c r="J14" s="203">
        <f>VLOOKUP($C14,'Segment IFRS17'!$I$537:$N$608,6,0)/1000</f>
        <v>668395.18642000004</v>
      </c>
      <c r="K14" s="203">
        <f>VLOOKUP($C14,'Segment IFRS17'!$P$539:$U$600,6,0)/1000</f>
        <v>716212.55677999952</v>
      </c>
      <c r="L14" s="203">
        <f>VLOOKUP($C14,'Segment IFRS17'!$AD$539:$AI$600,6,0)/1000</f>
        <v>678335.86331000063</v>
      </c>
      <c r="M14" s="203">
        <f>VLOOKUP($C14,'Segment IFRS17'!$AK$539:$AP$600,6,0)/1000</f>
        <v>626080.65271999978</v>
      </c>
      <c r="N14" s="132">
        <f>M14/I14-1</f>
        <v>-6.8503787558940932E-2</v>
      </c>
      <c r="O14" s="197"/>
      <c r="P14" s="38"/>
      <c r="Q14" s="38">
        <f>VLOOKUP($C14,'Segment IFRS17'!$I$460:$N$531,2,0)/1000</f>
        <v>551374.93046999979</v>
      </c>
      <c r="R14" s="38">
        <f>VLOOKUP($C14,'Segment IFRS17'!$P$460:$U$531,2,0)/1000</f>
        <v>499426.15569000051</v>
      </c>
      <c r="S14" s="38">
        <f>VLOOKUP($C14,'Segment IFRS17'!$AD$460:$AI$531,2,0)/1000</f>
        <v>579226.35617999954</v>
      </c>
      <c r="T14" s="38">
        <f>VLOOKUP($C14,'Segment IFRS17'!$AK$460:$AP$531,2,0)/1000</f>
        <v>672123.66980999976</v>
      </c>
      <c r="U14" s="38">
        <f>VLOOKUP($C14,'Segment IFRS17'!$I$537:$N$608,2,0)/1000</f>
        <v>668395.18642000004</v>
      </c>
      <c r="V14" s="38">
        <f>VLOOKUP($C14,'Segment IFRS17'!$P$537:$U$608,2,0)/1000</f>
        <v>716212.55677999952</v>
      </c>
      <c r="W14" s="38">
        <f>VLOOKUP($C14,'Segment IFRS17'!$AD$537:$AI$608,2,0)/1000</f>
        <v>678335.86331000063</v>
      </c>
      <c r="X14" s="38">
        <f>VLOOKUP($C14,'Segment IFRS17'!$AK$537:$AP$608,2,0)/1000</f>
        <v>626080.65271999978</v>
      </c>
      <c r="Y14" s="132">
        <f>W14/S14-1</f>
        <v>0.17110669442535165</v>
      </c>
      <c r="AA14" s="38"/>
      <c r="AB14" s="38">
        <f>VLOOKUP($C14,'Segment IFRS17'!$I$460:$N$531,3,0)/1000</f>
        <v>0</v>
      </c>
      <c r="AC14" s="38">
        <f>VLOOKUP($C14,'Segment IFRS17'!$P$460:$U$531,3,0)/1000</f>
        <v>0</v>
      </c>
      <c r="AD14" s="38">
        <f>VLOOKUP($C14,'Segment IFRS17'!$AD$460:$AI$531,3,0)/1000</f>
        <v>0</v>
      </c>
      <c r="AE14" s="38">
        <f>VLOOKUP($C14,'Segment IFRS17'!$AK$460:$AP$531,3,0)/1000</f>
        <v>0</v>
      </c>
      <c r="AF14" s="38">
        <f>VLOOKUP($C14,'Segment IFRS17'!$I$537:$N$608,3,0)/1000</f>
        <v>0</v>
      </c>
      <c r="AG14" s="38">
        <f>VLOOKUP($C14,'Segment IFRS17'!$P$537:$U$608,3,0)/1000</f>
        <v>0</v>
      </c>
      <c r="AH14" s="38">
        <f>VLOOKUP($C14,'Segment IFRS17'!$AD$537:$AI$608,3,0)/1000</f>
        <v>0</v>
      </c>
      <c r="AI14" s="38">
        <f>VLOOKUP($C14,'Segment IFRS17'!$AK$537:$AP$608,3,0)/1000</f>
        <v>0</v>
      </c>
      <c r="AK14" s="38"/>
      <c r="AL14" s="38">
        <f>VLOOKUP($C14,'Segment IFRS17'!$I$460:$N$531,4,0)/1000</f>
        <v>0</v>
      </c>
      <c r="AM14" s="38">
        <f>VLOOKUP($C14,'Segment IFRS17'!$P$460:$U$531,4,0)/1000</f>
        <v>0</v>
      </c>
      <c r="AN14" s="38">
        <f>VLOOKUP($C14,'Segment IFRS17'!$AD$460:$AI$531,4,0)/1000</f>
        <v>0</v>
      </c>
      <c r="AO14" s="38">
        <f>VLOOKUP($C14,'Segment IFRS17'!$AK$460:$AP$531,4,0)/1000</f>
        <v>0</v>
      </c>
      <c r="AP14" s="38">
        <f>VLOOKUP($C14,'Segment IFRS17'!$I$537:$N$608,4,0)/1000</f>
        <v>0</v>
      </c>
      <c r="AQ14" s="38">
        <f>VLOOKUP($C14,'Segment IFRS17'!$P$537:$U$608,4,0)/1000</f>
        <v>0</v>
      </c>
      <c r="AR14" s="38">
        <f>VLOOKUP($C14,'Segment IFRS17'!$AD$537:$AI$608,4,0)/1000</f>
        <v>0</v>
      </c>
      <c r="AS14" s="38">
        <f>VLOOKUP($C14,'Segment IFRS17'!$AK$537:$AP$608,4,0)/1000</f>
        <v>0</v>
      </c>
      <c r="AU14" s="38"/>
      <c r="AV14" s="38">
        <f t="shared" ref="AV14:BC17" si="22">AB14+AL14</f>
        <v>0</v>
      </c>
      <c r="AW14" s="38">
        <f t="shared" si="22"/>
        <v>0</v>
      </c>
      <c r="AX14" s="38">
        <f t="shared" si="22"/>
        <v>0</v>
      </c>
      <c r="AY14" s="38">
        <f t="shared" si="22"/>
        <v>0</v>
      </c>
      <c r="AZ14" s="38">
        <f t="shared" si="22"/>
        <v>0</v>
      </c>
      <c r="BA14" s="38">
        <f t="shared" si="22"/>
        <v>0</v>
      </c>
      <c r="BB14" s="38">
        <f t="shared" si="22"/>
        <v>0</v>
      </c>
      <c r="BC14" s="38">
        <f t="shared" si="22"/>
        <v>0</v>
      </c>
      <c r="BF14" s="38"/>
      <c r="BG14" s="38">
        <f>VLOOKUP($C14,'Segment IFRS17'!$I$460:$N$531,5,0)/1000</f>
        <v>0</v>
      </c>
      <c r="BH14" s="38">
        <f>VLOOKUP($C14,'Segment IFRS17'!$P$460:$U$531,5,0)/1000</f>
        <v>0</v>
      </c>
      <c r="BI14" s="38">
        <f>VLOOKUP($C14,'Segment IFRS17'!$AD$460:$AI$531,5,0)/1000</f>
        <v>0</v>
      </c>
      <c r="BJ14" s="38">
        <f>VLOOKUP($C14,'Segment IFRS17'!$AK$460:$AP$531,5,0)/1000</f>
        <v>0</v>
      </c>
      <c r="BK14" s="38">
        <f>VLOOKUP($C14,'Segment IFRS17'!$I$537:$N$608,5,0)/1000</f>
        <v>0</v>
      </c>
      <c r="BL14" s="38">
        <f>VLOOKUP($C14,'Segment IFRS17'!$P$537:$U$608,5,0)/1000</f>
        <v>0</v>
      </c>
      <c r="BM14" s="38">
        <f>VLOOKUP($C14,'Segment IFRS17'!$AD$537:$AI$608,5,0)/1000</f>
        <v>0</v>
      </c>
      <c r="BN14" s="38">
        <f>VLOOKUP($C14,'Segment IFRS17'!$AK$537:$AP$608,5,0)/1000</f>
        <v>0</v>
      </c>
    </row>
    <row r="15" spans="2:67" x14ac:dyDescent="0.3">
      <c r="C15" s="36" t="s">
        <v>3</v>
      </c>
      <c r="E15" s="203"/>
      <c r="F15" s="203">
        <f>VLOOKUP($C15,'Segment IFRS17'!$I$460:$N$531,6,0)/1000</f>
        <v>-334038.73619000003</v>
      </c>
      <c r="G15" s="203">
        <f>VLOOKUP($C15,'Segment IFRS17'!$P$460:$U$531,6,0)/1000</f>
        <v>-344570.35153999989</v>
      </c>
      <c r="H15" s="203">
        <f>VLOOKUP($C15,'Segment IFRS17'!$AD$460:$AI$531,6,0)/1000</f>
        <v>-357947.55053243885</v>
      </c>
      <c r="I15" s="203">
        <f>VLOOKUP($C15,'Segment IFRS17'!$AK$460:$AP$531,6,0)/1000</f>
        <v>-453757.36462353379</v>
      </c>
      <c r="J15" s="203">
        <f>VLOOKUP($C15,'Segment IFRS17'!$I$537:$N$608,6,0)/1000</f>
        <v>-437887.82317459903</v>
      </c>
      <c r="K15" s="203">
        <f>VLOOKUP($C15,'Segment IFRS17'!$P$539:$U$600,6,0)/1000</f>
        <v>-467072.43385679345</v>
      </c>
      <c r="L15" s="203">
        <f>VLOOKUP($C15,'Segment IFRS17'!$AD$539:$AI$600,6,0)/1000</f>
        <v>-466834.18673983181</v>
      </c>
      <c r="M15" s="203">
        <f>VLOOKUP($C15,'Segment IFRS17'!$AK$539:$AP$600,6,0)/1000</f>
        <v>-447528.12082396587</v>
      </c>
      <c r="N15" s="132">
        <f>M15/I15-1</f>
        <v>-1.3728138175203131E-2</v>
      </c>
      <c r="O15" s="197"/>
      <c r="P15" s="38"/>
      <c r="Q15" s="38">
        <f>VLOOKUP($C15,'Segment IFRS17'!$I$460:$N$531,2,0)/1000</f>
        <v>-334025.95389999996</v>
      </c>
      <c r="R15" s="38">
        <f>VLOOKUP($C15,'Segment IFRS17'!$P$460:$U$531,2,0)/1000</f>
        <v>-344555.77924999991</v>
      </c>
      <c r="S15" s="38">
        <f>VLOOKUP($C15,'Segment IFRS17'!$AD$460:$AI$531,2,0)/1000</f>
        <v>-357926.40938243887</v>
      </c>
      <c r="T15" s="38">
        <f>VLOOKUP($C15,'Segment IFRS17'!$AK$460:$AP$531,2,0)/1000</f>
        <v>-453726.25506353378</v>
      </c>
      <c r="U15" s="38">
        <f>VLOOKUP($C15,'Segment IFRS17'!$I$537:$N$608,2,0)/1000</f>
        <v>-437859.66228459909</v>
      </c>
      <c r="V15" s="38">
        <f>VLOOKUP($C15,'Segment IFRS17'!$P$537:$U$608,2,0)/1000</f>
        <v>-467048.28042679344</v>
      </c>
      <c r="W15" s="38">
        <f>VLOOKUP($C15,'Segment IFRS17'!$AD$537:$AI$608,2,0)/1000</f>
        <v>-466801.58195983182</v>
      </c>
      <c r="X15" s="38">
        <f>VLOOKUP($C15,'Segment IFRS17'!$AK$537:$AP$608,2,0)/1000</f>
        <v>-447485.68927396584</v>
      </c>
      <c r="Y15" s="132">
        <f>W15/S15-1</f>
        <v>0.30418312179099782</v>
      </c>
      <c r="AA15" s="38"/>
      <c r="AB15" s="38">
        <f>VLOOKUP($C15,'Segment IFRS17'!$I$460:$N$531,3,0)/1000</f>
        <v>0</v>
      </c>
      <c r="AC15" s="38">
        <f>VLOOKUP($C15,'Segment IFRS17'!$P$460:$U$531,3,0)/1000</f>
        <v>0</v>
      </c>
      <c r="AD15" s="38">
        <f>VLOOKUP($C15,'Segment IFRS17'!$AD$460:$AI$531,3,0)/1000</f>
        <v>0</v>
      </c>
      <c r="AE15" s="38">
        <f>VLOOKUP($C15,'Segment IFRS17'!$AK$460:$AP$531,3,0)/1000</f>
        <v>0</v>
      </c>
      <c r="AF15" s="38">
        <f>VLOOKUP($C15,'Segment IFRS17'!$I$537:$N$608,3,0)/1000</f>
        <v>0</v>
      </c>
      <c r="AG15" s="38">
        <f>VLOOKUP($C15,'Segment IFRS17'!$P$537:$U$608,3,0)/1000</f>
        <v>0</v>
      </c>
      <c r="AH15" s="38">
        <f>VLOOKUP($C15,'Segment IFRS17'!$AD$537:$AI$608,3,0)/1000</f>
        <v>0</v>
      </c>
      <c r="AI15" s="38">
        <f>VLOOKUP($C15,'Segment IFRS17'!$AK$537:$AP$608,3,0)/1000</f>
        <v>0</v>
      </c>
      <c r="AK15" s="38"/>
      <c r="AL15" s="38">
        <f>VLOOKUP($C15,'Segment IFRS17'!$I$460:$N$531,4,0)/1000</f>
        <v>0</v>
      </c>
      <c r="AM15" s="38">
        <f>VLOOKUP($C15,'Segment IFRS17'!$P$460:$U$531,4,0)/1000</f>
        <v>0</v>
      </c>
      <c r="AN15" s="38">
        <f>VLOOKUP($C15,'Segment IFRS17'!$AD$460:$AI$531,4,0)/1000</f>
        <v>0</v>
      </c>
      <c r="AO15" s="38">
        <f>VLOOKUP($C15,'Segment IFRS17'!$AK$460:$AP$531,4,0)/1000</f>
        <v>0</v>
      </c>
      <c r="AP15" s="38">
        <f>VLOOKUP($C15,'Segment IFRS17'!$I$537:$N$608,4,0)/1000</f>
        <v>0</v>
      </c>
      <c r="AQ15" s="38">
        <f>VLOOKUP($C15,'Segment IFRS17'!$P$537:$U$608,4,0)/1000</f>
        <v>0</v>
      </c>
      <c r="AR15" s="38">
        <f>VLOOKUP($C15,'Segment IFRS17'!$AD$537:$AI$608,4,0)/1000</f>
        <v>0</v>
      </c>
      <c r="AS15" s="38">
        <f>VLOOKUP($C15,'Segment IFRS17'!$AK$537:$AP$608,4,0)/1000</f>
        <v>0</v>
      </c>
      <c r="AU15" s="38"/>
      <c r="AV15" s="38">
        <f t="shared" si="22"/>
        <v>0</v>
      </c>
      <c r="AW15" s="38">
        <f t="shared" si="22"/>
        <v>0</v>
      </c>
      <c r="AX15" s="38">
        <f t="shared" si="22"/>
        <v>0</v>
      </c>
      <c r="AY15" s="38">
        <f t="shared" si="22"/>
        <v>0</v>
      </c>
      <c r="AZ15" s="38">
        <f t="shared" si="22"/>
        <v>0</v>
      </c>
      <c r="BA15" s="38">
        <f t="shared" si="22"/>
        <v>0</v>
      </c>
      <c r="BB15" s="38">
        <f t="shared" si="22"/>
        <v>0</v>
      </c>
      <c r="BC15" s="38">
        <f t="shared" si="22"/>
        <v>0</v>
      </c>
      <c r="BF15" s="38"/>
      <c r="BG15" s="38">
        <f>VLOOKUP($C15,'Segment IFRS17'!$I$460:$N$531,5,0)/1000</f>
        <v>-12.782290000000001</v>
      </c>
      <c r="BH15" s="38">
        <f>VLOOKUP($C15,'Segment IFRS17'!$P$460:$U$531,5,0)/1000</f>
        <v>-14.572290000000001</v>
      </c>
      <c r="BI15" s="38">
        <f>VLOOKUP($C15,'Segment IFRS17'!$AD$460:$AI$531,5,0)/1000</f>
        <v>-21.141149999999993</v>
      </c>
      <c r="BJ15" s="38">
        <f>VLOOKUP($C15,'Segment IFRS17'!$AK$460:$AP$531,5,0)/1000</f>
        <v>-31.109559999999998</v>
      </c>
      <c r="BK15" s="38">
        <f>VLOOKUP($C15,'Segment IFRS17'!$I$537:$N$608,5,0)/1000</f>
        <v>-28.160889999999998</v>
      </c>
      <c r="BL15" s="38">
        <f>VLOOKUP($C15,'Segment IFRS17'!$P$537:$U$608,5,0)/1000</f>
        <v>-24.15343</v>
      </c>
      <c r="BM15" s="38">
        <f>VLOOKUP($C15,'Segment IFRS17'!$AD$537:$AI$608,5,0)/1000</f>
        <v>-32.604780000000005</v>
      </c>
      <c r="BN15" s="38">
        <f>VLOOKUP($C15,'Segment IFRS17'!$AK$537:$AP$608,5,0)/1000</f>
        <v>-42.43154999999998</v>
      </c>
    </row>
    <row r="16" spans="2:67" x14ac:dyDescent="0.3">
      <c r="C16" s="36" t="s">
        <v>88</v>
      </c>
      <c r="E16" s="203"/>
      <c r="F16" s="203">
        <f>VLOOKUP($C16,'Segment IFRS17'!$I$460:$N$531,6,0)/1000</f>
        <v>25144.540649999995</v>
      </c>
      <c r="G16" s="203">
        <f>VLOOKUP($C16,'Segment IFRS17'!$P$460:$U$531,6,0)/1000</f>
        <v>29383.086800000001</v>
      </c>
      <c r="H16" s="203">
        <f>VLOOKUP($C16,'Segment IFRS17'!$AD$460:$AI$531,6,0)/1000</f>
        <v>32509.178598402326</v>
      </c>
      <c r="I16" s="203">
        <f>VLOOKUP($C16,'Segment IFRS17'!$AK$460:$AP$531,6,0)/1000</f>
        <v>37325.466301977227</v>
      </c>
      <c r="J16" s="203">
        <f>VLOOKUP($C16,'Segment IFRS17'!$I$537:$N$608,6,0)/1000</f>
        <v>44673.548984248562</v>
      </c>
      <c r="K16" s="203">
        <f>VLOOKUP($C16,'Segment IFRS17'!$P$539:$U$600,6,0)/1000</f>
        <v>40105.871622289451</v>
      </c>
      <c r="L16" s="203">
        <f>VLOOKUP($C16,'Segment IFRS17'!$AD$539:$AI$600,6,0)/1000</f>
        <v>35477.176389297216</v>
      </c>
      <c r="M16" s="203">
        <f>VLOOKUP($C16,'Segment IFRS17'!$AK$539:$AP$600,6,0)/1000</f>
        <v>39728.293433101011</v>
      </c>
      <c r="N16" s="132">
        <f>M16/I16-1</f>
        <v>6.4375006374575383E-2</v>
      </c>
      <c r="O16" s="197"/>
      <c r="P16" s="38"/>
      <c r="Q16" s="38">
        <f>VLOOKUP($C16,'Segment IFRS17'!$I$460:$N$531,2,0)/1000</f>
        <v>25139.838959999994</v>
      </c>
      <c r="R16" s="38">
        <f>VLOOKUP($C16,'Segment IFRS17'!$P$460:$U$531,2,0)/1000</f>
        <v>28850.742710000002</v>
      </c>
      <c r="S16" s="38">
        <f>VLOOKUP($C16,'Segment IFRS17'!$AD$460:$AI$531,2,0)/1000</f>
        <v>31450.205118402326</v>
      </c>
      <c r="T16" s="38">
        <f>VLOOKUP($C16,'Segment IFRS17'!$AK$460:$AP$531,2,0)/1000</f>
        <v>35786.895521977225</v>
      </c>
      <c r="U16" s="38">
        <f>VLOOKUP($C16,'Segment IFRS17'!$I$537:$N$608,2,0)/1000</f>
        <v>43163.798574248569</v>
      </c>
      <c r="V16" s="38">
        <f>VLOOKUP($C16,'Segment IFRS17'!$P$537:$U$608,2,0)/1000</f>
        <v>38403.510642289446</v>
      </c>
      <c r="W16" s="38">
        <f>VLOOKUP($C16,'Segment IFRS17'!$AD$537:$AI$608,2,0)/1000</f>
        <v>34121.650229297222</v>
      </c>
      <c r="X16" s="38">
        <f>VLOOKUP($C16,'Segment IFRS17'!$AK$537:$AP$608,2,0)/1000</f>
        <v>37804.926793101011</v>
      </c>
      <c r="Y16" s="132">
        <f>W16/S16-1</f>
        <v>8.4942056843113178E-2</v>
      </c>
      <c r="AA16" s="38"/>
      <c r="AB16" s="38">
        <f>VLOOKUP($C16,'Segment IFRS17'!$I$460:$N$531,3,0)/1000</f>
        <v>0</v>
      </c>
      <c r="AC16" s="38">
        <f>VLOOKUP($C16,'Segment IFRS17'!$P$460:$U$531,3,0)/1000</f>
        <v>0</v>
      </c>
      <c r="AD16" s="38">
        <f>VLOOKUP($C16,'Segment IFRS17'!$AD$460:$AI$531,3,0)/1000</f>
        <v>0</v>
      </c>
      <c r="AE16" s="38">
        <f>VLOOKUP($C16,'Segment IFRS17'!$AK$460:$AP$531,3,0)/1000</f>
        <v>0</v>
      </c>
      <c r="AF16" s="38">
        <f>VLOOKUP($C16,'Segment IFRS17'!$I$537:$N$608,3,0)/1000</f>
        <v>0</v>
      </c>
      <c r="AG16" s="38">
        <f>VLOOKUP($C16,'Segment IFRS17'!$P$537:$U$608,3,0)/1000</f>
        <v>0</v>
      </c>
      <c r="AH16" s="38">
        <f>VLOOKUP($C16,'Segment IFRS17'!$AD$537:$AI$608,3,0)/1000</f>
        <v>0</v>
      </c>
      <c r="AI16" s="38">
        <f>VLOOKUP($C16,'Segment IFRS17'!$AK$537:$AP$608,3,0)/1000</f>
        <v>0</v>
      </c>
      <c r="AK16" s="38"/>
      <c r="AL16" s="38">
        <f>VLOOKUP($C16,'Segment IFRS17'!$I$460:$N$531,4,0)/1000</f>
        <v>0</v>
      </c>
      <c r="AM16" s="38">
        <f>VLOOKUP($C16,'Segment IFRS17'!$P$460:$U$531,4,0)/1000</f>
        <v>0</v>
      </c>
      <c r="AN16" s="38">
        <f>VLOOKUP($C16,'Segment IFRS17'!$AD$460:$AI$531,4,0)/1000</f>
        <v>0</v>
      </c>
      <c r="AO16" s="38">
        <f>VLOOKUP($C16,'Segment IFRS17'!$AK$460:$AP$531,4,0)/1000</f>
        <v>0</v>
      </c>
      <c r="AP16" s="38">
        <f>VLOOKUP($C16,'Segment IFRS17'!$I$537:$N$608,4,0)/1000</f>
        <v>0</v>
      </c>
      <c r="AQ16" s="38">
        <f>VLOOKUP($C16,'Segment IFRS17'!$P$537:$U$608,4,0)/1000</f>
        <v>0</v>
      </c>
      <c r="AR16" s="38">
        <f>VLOOKUP($C16,'Segment IFRS17'!$AD$537:$AI$608,4,0)/1000</f>
        <v>0</v>
      </c>
      <c r="AS16" s="38">
        <f>VLOOKUP($C16,'Segment IFRS17'!$AK$537:$AP$608,4,0)/1000</f>
        <v>0</v>
      </c>
      <c r="AU16" s="38"/>
      <c r="AV16" s="38">
        <f t="shared" si="22"/>
        <v>0</v>
      </c>
      <c r="AW16" s="38">
        <f t="shared" si="22"/>
        <v>0</v>
      </c>
      <c r="AX16" s="38">
        <f t="shared" si="22"/>
        <v>0</v>
      </c>
      <c r="AY16" s="38">
        <f t="shared" si="22"/>
        <v>0</v>
      </c>
      <c r="AZ16" s="38">
        <f t="shared" si="22"/>
        <v>0</v>
      </c>
      <c r="BA16" s="38">
        <f t="shared" si="22"/>
        <v>0</v>
      </c>
      <c r="BB16" s="38">
        <f t="shared" si="22"/>
        <v>0</v>
      </c>
      <c r="BC16" s="38">
        <f t="shared" si="22"/>
        <v>0</v>
      </c>
      <c r="BF16" s="38"/>
      <c r="BG16" s="38">
        <f>VLOOKUP($C16,'Segment IFRS17'!$I$460:$N$531,5,0)/1000</f>
        <v>4.7016900000000001</v>
      </c>
      <c r="BH16" s="38">
        <f>VLOOKUP($C16,'Segment IFRS17'!$P$460:$U$531,5,0)/1000</f>
        <v>532.34408999999994</v>
      </c>
      <c r="BI16" s="38">
        <f>VLOOKUP($C16,'Segment IFRS17'!$AD$460:$AI$531,5,0)/1000</f>
        <v>1058.9734799999999</v>
      </c>
      <c r="BJ16" s="38">
        <f>VLOOKUP($C16,'Segment IFRS17'!$AK$460:$AP$531,5,0)/1000</f>
        <v>1538.5707800000002</v>
      </c>
      <c r="BK16" s="38">
        <f>VLOOKUP($C16,'Segment IFRS17'!$I$537:$N$608,5,0)/1000</f>
        <v>1509.7504100000001</v>
      </c>
      <c r="BL16" s="38">
        <f>VLOOKUP($C16,'Segment IFRS17'!$P$537:$U$608,5,0)/1000</f>
        <v>1702.3609800000004</v>
      </c>
      <c r="BM16" s="38">
        <f>VLOOKUP($C16,'Segment IFRS17'!$AD$537:$AI$608,5,0)/1000</f>
        <v>1355.5261599999992</v>
      </c>
      <c r="BN16" s="38">
        <f>VLOOKUP($C16,'Segment IFRS17'!$AK$537:$AP$608,5,0)/1000</f>
        <v>1923.3666400000006</v>
      </c>
    </row>
    <row r="17" spans="3:67" x14ac:dyDescent="0.3">
      <c r="C17" s="36" t="s">
        <v>13</v>
      </c>
      <c r="E17" s="203"/>
      <c r="F17" s="203">
        <f>VLOOKUP($C17,'Segment IFRS17'!$I$460:$N$531,6,0)/1000</f>
        <v>-3302.5287699999994</v>
      </c>
      <c r="G17" s="203">
        <f>VLOOKUP($C17,'Segment IFRS17'!$P$460:$U$531,6,0)/1000</f>
        <v>-3492.7054700000008</v>
      </c>
      <c r="H17" s="203">
        <f>VLOOKUP($C17,'Segment IFRS17'!$AD$460:$AI$531,6,0)/1000</f>
        <v>-3996.7940299999991</v>
      </c>
      <c r="I17" s="203">
        <f>VLOOKUP($C17,'Segment IFRS17'!$AK$460:$AP$531,6,0)/1000</f>
        <v>-5121.5280900000016</v>
      </c>
      <c r="J17" s="203">
        <f>VLOOKUP($C17,'Segment IFRS17'!$I$537:$N$608,6,0)/1000</f>
        <v>-5696.2471000000005</v>
      </c>
      <c r="K17" s="203">
        <f>VLOOKUP($C17,'Segment IFRS17'!$P$539:$U$600,6,0)/1000</f>
        <v>-5554.887609999997</v>
      </c>
      <c r="L17" s="203">
        <f>VLOOKUP($C17,'Segment IFRS17'!$AD$539:$AI$600,6,0)/1000</f>
        <v>-6081.4891900000011</v>
      </c>
      <c r="M17" s="203">
        <f>VLOOKUP($C17,'Segment IFRS17'!$AK$539:$AP$600,6,0)/1000</f>
        <v>-3178.2072199999989</v>
      </c>
      <c r="N17" s="132">
        <f>M17/I17-1</f>
        <v>-0.37944161114617692</v>
      </c>
      <c r="O17" s="197"/>
      <c r="P17" s="38"/>
      <c r="Q17" s="38">
        <f>VLOOKUP($C17,'Segment IFRS17'!$I$460:$N$531,2,0)/1000</f>
        <v>-3302.5287699999994</v>
      </c>
      <c r="R17" s="38">
        <f>VLOOKUP($C17,'Segment IFRS17'!$P$460:$U$531,2,0)/1000</f>
        <v>-3492.7054700000008</v>
      </c>
      <c r="S17" s="38">
        <f>VLOOKUP($C17,'Segment IFRS17'!$AD$460:$AI$531,2,0)/1000</f>
        <v>-3996.7940299999991</v>
      </c>
      <c r="T17" s="38">
        <f>VLOOKUP($C17,'Segment IFRS17'!$AK$460:$AP$531,2,0)/1000</f>
        <v>-5121.5280900000016</v>
      </c>
      <c r="U17" s="38">
        <f>VLOOKUP($C17,'Segment IFRS17'!$I$537:$N$608,2,0)/1000</f>
        <v>-5696.2471000000005</v>
      </c>
      <c r="V17" s="38">
        <f>VLOOKUP($C17,'Segment IFRS17'!$P$537:$U$608,2,0)/1000</f>
        <v>-5554.887609999997</v>
      </c>
      <c r="W17" s="38">
        <f>VLOOKUP($C17,'Segment IFRS17'!$AD$537:$AI$608,2,0)/1000</f>
        <v>-6081.4891900000011</v>
      </c>
      <c r="X17" s="38">
        <f>VLOOKUP($C17,'Segment IFRS17'!$AK$537:$AP$608,2,0)/1000</f>
        <v>-3178.2072199999989</v>
      </c>
      <c r="Y17" s="132">
        <f>W17/S17-1</f>
        <v>0.52159184194938435</v>
      </c>
      <c r="AA17" s="38"/>
      <c r="AB17" s="38">
        <f>VLOOKUP($C17,'Segment IFRS17'!$I$460:$N$531,3,0)/1000</f>
        <v>0</v>
      </c>
      <c r="AC17" s="38">
        <f>VLOOKUP($C17,'Segment IFRS17'!$P$460:$U$531,3,0)/1000</f>
        <v>0</v>
      </c>
      <c r="AD17" s="38">
        <f>VLOOKUP($C17,'Segment IFRS17'!$AD$460:$AI$531,3,0)/1000</f>
        <v>0</v>
      </c>
      <c r="AE17" s="38">
        <f>VLOOKUP($C17,'Segment IFRS17'!$AK$460:$AP$531,3,0)/1000</f>
        <v>0</v>
      </c>
      <c r="AF17" s="38">
        <f>VLOOKUP($C17,'Segment IFRS17'!$I$537:$N$608,3,0)/1000</f>
        <v>0</v>
      </c>
      <c r="AG17" s="38">
        <f>VLOOKUP($C17,'Segment IFRS17'!$P$537:$U$608,3,0)/1000</f>
        <v>0</v>
      </c>
      <c r="AH17" s="38">
        <f>VLOOKUP($C17,'Segment IFRS17'!$AD$537:$AI$608,3,0)/1000</f>
        <v>0</v>
      </c>
      <c r="AI17" s="38">
        <f>VLOOKUP($C17,'Segment IFRS17'!$AK$537:$AP$608,3,0)/1000</f>
        <v>0</v>
      </c>
      <c r="AK17" s="38"/>
      <c r="AL17" s="38">
        <f>VLOOKUP($C17,'Segment IFRS17'!$I$460:$N$531,4,0)/1000</f>
        <v>0</v>
      </c>
      <c r="AM17" s="38">
        <f>VLOOKUP($C17,'Segment IFRS17'!$P$460:$U$531,4,0)/1000</f>
        <v>0</v>
      </c>
      <c r="AN17" s="38">
        <f>VLOOKUP($C17,'Segment IFRS17'!$AD$460:$AI$531,4,0)/1000</f>
        <v>0</v>
      </c>
      <c r="AO17" s="38">
        <f>VLOOKUP($C17,'Segment IFRS17'!$AK$460:$AP$531,4,0)/1000</f>
        <v>0</v>
      </c>
      <c r="AP17" s="38">
        <f>VLOOKUP($C17,'Segment IFRS17'!$I$537:$N$608,4,0)/1000</f>
        <v>0</v>
      </c>
      <c r="AQ17" s="38">
        <f>VLOOKUP($C17,'Segment IFRS17'!$P$537:$U$608,4,0)/1000</f>
        <v>0</v>
      </c>
      <c r="AR17" s="38">
        <f>VLOOKUP($C17,'Segment IFRS17'!$AD$537:$AI$608,4,0)/1000</f>
        <v>0</v>
      </c>
      <c r="AS17" s="38">
        <f>VLOOKUP($C17,'Segment IFRS17'!$AK$537:$AP$608,4,0)/1000</f>
        <v>0</v>
      </c>
      <c r="AU17" s="38"/>
      <c r="AV17" s="38">
        <f t="shared" si="22"/>
        <v>0</v>
      </c>
      <c r="AW17" s="38">
        <f t="shared" si="22"/>
        <v>0</v>
      </c>
      <c r="AX17" s="38">
        <f t="shared" si="22"/>
        <v>0</v>
      </c>
      <c r="AY17" s="38">
        <f t="shared" si="22"/>
        <v>0</v>
      </c>
      <c r="AZ17" s="38">
        <f t="shared" si="22"/>
        <v>0</v>
      </c>
      <c r="BA17" s="38">
        <f t="shared" si="22"/>
        <v>0</v>
      </c>
      <c r="BB17" s="38">
        <f t="shared" si="22"/>
        <v>0</v>
      </c>
      <c r="BC17" s="38">
        <f t="shared" si="22"/>
        <v>0</v>
      </c>
      <c r="BF17" s="38"/>
      <c r="BG17" s="38">
        <f>VLOOKUP($C17,'Segment IFRS17'!$I$460:$N$531,5,0)/1000</f>
        <v>0</v>
      </c>
      <c r="BH17" s="38">
        <f>VLOOKUP($C17,'Segment IFRS17'!$P$460:$U$531,5,0)/1000</f>
        <v>0</v>
      </c>
      <c r="BI17" s="38">
        <f>VLOOKUP($C17,'Segment IFRS17'!$AD$460:$AI$531,5,0)/1000</f>
        <v>0</v>
      </c>
      <c r="BJ17" s="38">
        <f>VLOOKUP($C17,'Segment IFRS17'!$AK$460:$AP$531,5,0)/1000</f>
        <v>0</v>
      </c>
      <c r="BK17" s="38">
        <f>VLOOKUP($C17,'Segment IFRS17'!$I$537:$N$608,5,0)/1000</f>
        <v>0</v>
      </c>
      <c r="BL17" s="38">
        <f>VLOOKUP($C17,'Segment IFRS17'!$P$537:$U$608,5,0)/1000</f>
        <v>0</v>
      </c>
      <c r="BM17" s="38">
        <f>VLOOKUP($C17,'Segment IFRS17'!$AD$537:$AI$608,5,0)/1000</f>
        <v>0</v>
      </c>
      <c r="BN17" s="38">
        <f>VLOOKUP($C17,'Segment IFRS17'!$AK$537:$AP$608,5,0)/1000</f>
        <v>0</v>
      </c>
    </row>
    <row r="18" spans="3:67" x14ac:dyDescent="0.3">
      <c r="C18" s="43" t="s">
        <v>14</v>
      </c>
      <c r="D18" s="111"/>
      <c r="E18" s="44"/>
      <c r="F18" s="44">
        <f t="shared" ref="F18:M18" si="23">F14+F15+F16+F17</f>
        <v>239178.20615999974</v>
      </c>
      <c r="G18" s="44">
        <f t="shared" si="23"/>
        <v>180746.18548000063</v>
      </c>
      <c r="H18" s="44">
        <f t="shared" si="23"/>
        <v>249791.19021596303</v>
      </c>
      <c r="I18" s="44">
        <f t="shared" si="23"/>
        <v>250570.24339844318</v>
      </c>
      <c r="J18" s="44">
        <f t="shared" si="23"/>
        <v>269484.66512964957</v>
      </c>
      <c r="K18" s="44">
        <f t="shared" si="23"/>
        <v>283691.10693549557</v>
      </c>
      <c r="L18" s="44">
        <f t="shared" si="23"/>
        <v>240897.36376946603</v>
      </c>
      <c r="M18" s="44">
        <f t="shared" si="23"/>
        <v>215102.6181091349</v>
      </c>
      <c r="N18" s="170">
        <f>M18/I18-1</f>
        <v>-0.14154763474012988</v>
      </c>
      <c r="O18" s="38"/>
      <c r="P18" s="44"/>
      <c r="Q18" s="44">
        <f t="shared" ref="Q18:X18" si="24">Q14+Q15+Q16+Q17</f>
        <v>239186.28675999981</v>
      </c>
      <c r="R18" s="44">
        <f t="shared" si="24"/>
        <v>180228.41368000058</v>
      </c>
      <c r="S18" s="44">
        <f t="shared" si="24"/>
        <v>248753.35788596299</v>
      </c>
      <c r="T18" s="44">
        <f t="shared" si="24"/>
        <v>249062.78217844319</v>
      </c>
      <c r="U18" s="44">
        <f t="shared" si="24"/>
        <v>268003.07560964953</v>
      </c>
      <c r="V18" s="44">
        <f t="shared" si="24"/>
        <v>282012.89938549558</v>
      </c>
      <c r="W18" s="44">
        <f t="shared" si="24"/>
        <v>239574.44238946604</v>
      </c>
      <c r="X18" s="44">
        <f t="shared" si="24"/>
        <v>213221.68301913494</v>
      </c>
      <c r="Y18" s="170">
        <f>W18/S18-1</f>
        <v>-3.6899664689973299E-2</v>
      </c>
      <c r="Z18" s="204"/>
      <c r="AA18" s="44"/>
      <c r="AB18" s="44">
        <f t="shared" ref="AB18:AI18" si="25">AB14+AB15+AB16+AB17</f>
        <v>0</v>
      </c>
      <c r="AC18" s="44">
        <f t="shared" si="25"/>
        <v>0</v>
      </c>
      <c r="AD18" s="44">
        <f t="shared" si="25"/>
        <v>0</v>
      </c>
      <c r="AE18" s="44">
        <f t="shared" si="25"/>
        <v>0</v>
      </c>
      <c r="AF18" s="44">
        <f t="shared" si="25"/>
        <v>0</v>
      </c>
      <c r="AG18" s="44">
        <f t="shared" si="25"/>
        <v>0</v>
      </c>
      <c r="AH18" s="44">
        <f t="shared" si="25"/>
        <v>0</v>
      </c>
      <c r="AI18" s="44">
        <f t="shared" si="25"/>
        <v>0</v>
      </c>
      <c r="AK18" s="44"/>
      <c r="AL18" s="44">
        <f t="shared" ref="AL18:AS18" si="26">AL14+AL15+AL16+AL17</f>
        <v>0</v>
      </c>
      <c r="AM18" s="44">
        <f t="shared" si="26"/>
        <v>0</v>
      </c>
      <c r="AN18" s="44">
        <f t="shared" si="26"/>
        <v>0</v>
      </c>
      <c r="AO18" s="44">
        <f t="shared" si="26"/>
        <v>0</v>
      </c>
      <c r="AP18" s="44">
        <f t="shared" si="26"/>
        <v>0</v>
      </c>
      <c r="AQ18" s="44">
        <f t="shared" si="26"/>
        <v>0</v>
      </c>
      <c r="AR18" s="44">
        <f t="shared" si="26"/>
        <v>0</v>
      </c>
      <c r="AS18" s="44">
        <f t="shared" si="26"/>
        <v>0</v>
      </c>
      <c r="AU18" s="44"/>
      <c r="AV18" s="44">
        <f t="shared" ref="AV18:BC18" si="27">AV14+AV15+AV16+AV17</f>
        <v>0</v>
      </c>
      <c r="AW18" s="44">
        <f t="shared" si="27"/>
        <v>0</v>
      </c>
      <c r="AX18" s="44">
        <f t="shared" si="27"/>
        <v>0</v>
      </c>
      <c r="AY18" s="44">
        <f t="shared" si="27"/>
        <v>0</v>
      </c>
      <c r="AZ18" s="44">
        <f t="shared" si="27"/>
        <v>0</v>
      </c>
      <c r="BA18" s="44">
        <f t="shared" si="27"/>
        <v>0</v>
      </c>
      <c r="BB18" s="44">
        <f t="shared" si="27"/>
        <v>0</v>
      </c>
      <c r="BC18" s="44">
        <f t="shared" si="27"/>
        <v>0</v>
      </c>
      <c r="BD18" s="170"/>
      <c r="BF18" s="44"/>
      <c r="BG18" s="44">
        <f t="shared" ref="BG18:BN18" si="28">BG14+BG15+BG16+BG17</f>
        <v>-8.0806000000000004</v>
      </c>
      <c r="BH18" s="44">
        <f t="shared" si="28"/>
        <v>517.77179999999998</v>
      </c>
      <c r="BI18" s="44">
        <f t="shared" si="28"/>
        <v>1037.83233</v>
      </c>
      <c r="BJ18" s="44">
        <f t="shared" si="28"/>
        <v>1507.4612200000001</v>
      </c>
      <c r="BK18" s="44">
        <f t="shared" si="28"/>
        <v>1481.58952</v>
      </c>
      <c r="BL18" s="44">
        <f t="shared" si="28"/>
        <v>1678.2075500000003</v>
      </c>
      <c r="BM18" s="44">
        <f t="shared" si="28"/>
        <v>1322.9213799999993</v>
      </c>
      <c r="BN18" s="44">
        <f t="shared" si="28"/>
        <v>1880.9350900000006</v>
      </c>
    </row>
    <row r="19" spans="3:67" x14ac:dyDescent="0.3">
      <c r="C19" s="39" t="s">
        <v>54</v>
      </c>
      <c r="D19" s="109"/>
      <c r="E19" s="207"/>
      <c r="F19" s="207">
        <f t="shared" ref="F19:M19" si="29">F18/AVERAGE(E115:F115)*4</f>
        <v>0.11126675423680586</v>
      </c>
      <c r="G19" s="207">
        <f t="shared" si="29"/>
        <v>8.5265192654980379E-2</v>
      </c>
      <c r="H19" s="207">
        <f t="shared" si="29"/>
        <v>0.11745174643206048</v>
      </c>
      <c r="I19" s="207">
        <f t="shared" si="29"/>
        <v>0.11374415898999655</v>
      </c>
      <c r="J19" s="207">
        <f t="shared" si="29"/>
        <v>0.12250718392042359</v>
      </c>
      <c r="K19" s="207">
        <f t="shared" si="29"/>
        <v>0.12573653712903743</v>
      </c>
      <c r="L19" s="207">
        <f t="shared" si="29"/>
        <v>0.10962941657203033</v>
      </c>
      <c r="M19" s="207">
        <f t="shared" si="29"/>
        <v>0.10066384793989519</v>
      </c>
      <c r="N19" s="40"/>
      <c r="O19" s="104"/>
      <c r="P19" s="40"/>
      <c r="Q19" s="207">
        <f t="shared" ref="Q19:X19" si="30">Q18/AVERAGE(P115:Q115)*4</f>
        <v>0.11127051336749226</v>
      </c>
      <c r="R19" s="207">
        <f t="shared" si="30"/>
        <v>8.5020939022954461E-2</v>
      </c>
      <c r="S19" s="207">
        <f t="shared" si="30"/>
        <v>0.1169637579663473</v>
      </c>
      <c r="T19" s="207">
        <f t="shared" si="30"/>
        <v>0.11305986022269927</v>
      </c>
      <c r="U19" s="207">
        <f t="shared" si="30"/>
        <v>0.12183365632012806</v>
      </c>
      <c r="V19" s="207">
        <f t="shared" si="30"/>
        <v>0.12499272810308588</v>
      </c>
      <c r="W19" s="207">
        <f t="shared" si="30"/>
        <v>0.10902737138236666</v>
      </c>
      <c r="X19" s="207">
        <f t="shared" si="30"/>
        <v>9.9783606845904857E-2</v>
      </c>
      <c r="Y19" s="40"/>
      <c r="AA19" s="40"/>
      <c r="AB19" s="40"/>
      <c r="AC19" s="40"/>
      <c r="AD19" s="40"/>
      <c r="AE19" s="40"/>
      <c r="AF19" s="40"/>
      <c r="AG19" s="40"/>
      <c r="AH19" s="40"/>
      <c r="AI19" s="40"/>
      <c r="AK19" s="40"/>
      <c r="AL19" s="40"/>
      <c r="AM19" s="40"/>
      <c r="AN19" s="40"/>
      <c r="AO19" s="40"/>
      <c r="AP19" s="40"/>
      <c r="AQ19" s="40"/>
      <c r="AR19" s="40"/>
      <c r="AS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F19" s="40"/>
      <c r="BG19" s="40"/>
      <c r="BH19" s="40"/>
      <c r="BI19" s="40"/>
      <c r="BJ19" s="40"/>
      <c r="BK19" s="40"/>
      <c r="BL19" s="40"/>
      <c r="BM19" s="40"/>
      <c r="BN19" s="40"/>
    </row>
    <row r="20" spans="3:67" x14ac:dyDescent="0.3">
      <c r="C20" s="45"/>
      <c r="D20" s="112"/>
      <c r="E20" s="166"/>
      <c r="F20" s="166"/>
      <c r="G20" s="166"/>
      <c r="H20" s="166"/>
      <c r="I20" s="166"/>
      <c r="J20" s="166"/>
      <c r="K20" s="166"/>
      <c r="L20" s="166"/>
      <c r="M20" s="166"/>
      <c r="N20" s="172"/>
      <c r="P20" s="45"/>
      <c r="Q20" s="45"/>
      <c r="R20" s="45"/>
      <c r="S20" s="45"/>
      <c r="T20" s="45"/>
      <c r="U20" s="45"/>
      <c r="V20" s="45"/>
      <c r="W20" s="45"/>
      <c r="X20" s="45"/>
      <c r="Y20" s="172"/>
      <c r="AA20" s="45"/>
      <c r="AB20" s="45"/>
      <c r="AC20" s="45"/>
      <c r="AD20" s="45"/>
      <c r="AE20" s="45"/>
      <c r="AF20" s="45"/>
      <c r="AG20" s="45"/>
      <c r="AH20" s="45"/>
      <c r="AI20" s="45"/>
      <c r="AK20" s="45"/>
      <c r="AL20" s="45"/>
      <c r="AM20" s="45"/>
      <c r="AN20" s="45"/>
      <c r="AO20" s="45"/>
      <c r="AP20" s="45"/>
      <c r="AQ20" s="45"/>
      <c r="AR20" s="45"/>
      <c r="AS20" s="45"/>
      <c r="AU20" s="45"/>
      <c r="AV20" s="45"/>
      <c r="AW20" s="45"/>
      <c r="AX20" s="45"/>
      <c r="AY20" s="45"/>
      <c r="AZ20" s="45"/>
      <c r="BA20" s="45"/>
      <c r="BB20" s="45"/>
      <c r="BC20" s="45"/>
      <c r="BD20" s="172"/>
      <c r="BF20" s="45"/>
      <c r="BG20" s="45"/>
      <c r="BH20" s="45"/>
      <c r="BI20" s="45"/>
      <c r="BJ20" s="45"/>
      <c r="BK20" s="45"/>
      <c r="BL20" s="45"/>
      <c r="BM20" s="45"/>
      <c r="BN20" s="45"/>
    </row>
    <row r="21" spans="3:67" x14ac:dyDescent="0.3">
      <c r="C21" s="36" t="s">
        <v>15</v>
      </c>
      <c r="E21" s="203"/>
      <c r="F21" s="203">
        <f>VLOOKUP($C21,'Segment IFRS17'!$I$460:$N$531,6,0)/1000</f>
        <v>42512.39360000001</v>
      </c>
      <c r="G21" s="203">
        <f>VLOOKUP($C21,'Segment IFRS17'!$P$460:$U$531,6,0)/1000</f>
        <v>50209.773939999963</v>
      </c>
      <c r="H21" s="203">
        <f>VLOOKUP($C21,'Segment IFRS17'!$AD$460:$AI$531,6,0)/1000</f>
        <v>59099.672640000055</v>
      </c>
      <c r="I21" s="203">
        <f>VLOOKUP($C21,'Segment IFRS17'!$AK$460:$AP$531,6,0)/1000</f>
        <v>66832.839473308151</v>
      </c>
      <c r="J21" s="203">
        <f>VLOOKUP($C21,'Segment IFRS17'!$I$537:$N$608,6,0)/1000</f>
        <v>40126.088380364396</v>
      </c>
      <c r="K21" s="203">
        <f>VLOOKUP($C21,'Segment IFRS17'!$P$539:$U$600,6,0)/1000</f>
        <v>51024.148507414669</v>
      </c>
      <c r="L21" s="203">
        <f>VLOOKUP($C21,'Segment IFRS17'!$AD$539:$AI$600,6,0)/1000</f>
        <v>69540.868812141067</v>
      </c>
      <c r="M21" s="203">
        <f>VLOOKUP($C21,'Segment IFRS17'!$AK$539:$AP$600,6,0)/1000</f>
        <v>52163.27242665775</v>
      </c>
      <c r="N21" s="132">
        <f>M21/I21-1</f>
        <v>-0.21949639073032601</v>
      </c>
      <c r="O21" s="132"/>
      <c r="P21" s="38"/>
      <c r="Q21" s="38">
        <f>VLOOKUP($C21,'Segment IFRS17'!$I$460:$N$531,2,0)/1000</f>
        <v>38616.692690000003</v>
      </c>
      <c r="R21" s="38">
        <f>VLOOKUP($C21,'Segment IFRS17'!$P$460:$U$531,2,0)/1000</f>
        <v>46472.287779999962</v>
      </c>
      <c r="S21" s="38">
        <f>VLOOKUP($C21,'Segment IFRS17'!$AD$460:$AI$531,2,0)/1000</f>
        <v>55282.285010000051</v>
      </c>
      <c r="T21" s="38">
        <f>VLOOKUP($C21,'Segment IFRS17'!$AK$460:$AP$531,2,0)/1000</f>
        <v>63493.249223308143</v>
      </c>
      <c r="U21" s="38">
        <f>VLOOKUP($C21,'Segment IFRS17'!$I$537:$N$608,2,0)/1000</f>
        <v>37378.543130364393</v>
      </c>
      <c r="V21" s="38">
        <f>VLOOKUP($C21,'Segment IFRS17'!$P$537:$U$608,2,0)/1000</f>
        <v>48331.277747414671</v>
      </c>
      <c r="W21" s="38">
        <f>VLOOKUP($C21,'Segment IFRS17'!$AD$537:$AI$608,2,0)/1000</f>
        <v>67060.685182141067</v>
      </c>
      <c r="X21" s="38">
        <f>VLOOKUP($C21,'Segment IFRS17'!$AK$537:$AP$608,2,0)/1000</f>
        <v>49830.293626657753</v>
      </c>
      <c r="Y21" s="132">
        <f>W21/S21-1</f>
        <v>0.21305921363435698</v>
      </c>
      <c r="AA21" s="38"/>
      <c r="AB21" s="38">
        <f>VLOOKUP($C21,'Segment IFRS17'!$I$460:$N$531,3,0)/1000</f>
        <v>0</v>
      </c>
      <c r="AC21" s="38">
        <f>VLOOKUP($C21,'Segment IFRS17'!$P$460:$U$531,3,0)/1000</f>
        <v>0</v>
      </c>
      <c r="AD21" s="38">
        <f>VLOOKUP($C21,'Segment IFRS17'!$AD$460:$AI$531,3,0)/1000</f>
        <v>0</v>
      </c>
      <c r="AE21" s="38">
        <f>VLOOKUP($C21,'Segment IFRS17'!$AK$460:$AP$531,3,0)/1000</f>
        <v>0</v>
      </c>
      <c r="AF21" s="38">
        <f>VLOOKUP($C21,'Segment IFRS17'!$I$537:$N$608,3,0)/1000</f>
        <v>0</v>
      </c>
      <c r="AG21" s="38">
        <f>VLOOKUP($C21,'Segment IFRS17'!$P$537:$U$608,3,0)/1000</f>
        <v>0</v>
      </c>
      <c r="AH21" s="38">
        <f>VLOOKUP($C21,'Segment IFRS17'!$AD$537:$AI$608,3,0)/1000</f>
        <v>0</v>
      </c>
      <c r="AI21" s="38">
        <f>VLOOKUP($C21,'Segment IFRS17'!$AK$537:$AP$608,3,0)/1000</f>
        <v>0</v>
      </c>
      <c r="AK21" s="38"/>
      <c r="AL21" s="38">
        <f>VLOOKUP($C21,'Segment IFRS17'!$I$460:$N$531,4,0)/1000</f>
        <v>0</v>
      </c>
      <c r="AM21" s="38">
        <f>VLOOKUP($C21,'Segment IFRS17'!$P$460:$U$531,4,0)/1000</f>
        <v>0</v>
      </c>
      <c r="AN21" s="38">
        <f>VLOOKUP($C21,'Segment IFRS17'!$AD$460:$AI$531,4,0)/1000</f>
        <v>0</v>
      </c>
      <c r="AO21" s="38">
        <f>VLOOKUP($C21,'Segment IFRS17'!$AK$460:$AP$531,4,0)/1000</f>
        <v>0</v>
      </c>
      <c r="AP21" s="38">
        <f>VLOOKUP($C21,'Segment IFRS17'!$I$537:$N$608,4,0)/1000</f>
        <v>0</v>
      </c>
      <c r="AQ21" s="38">
        <f>VLOOKUP($C21,'Segment IFRS17'!$P$537:$U$608,4,0)/1000</f>
        <v>0</v>
      </c>
      <c r="AR21" s="38">
        <f>VLOOKUP($C21,'Segment IFRS17'!$AD$537:$AI$608,4,0)/1000</f>
        <v>0</v>
      </c>
      <c r="AS21" s="38">
        <f>VLOOKUP($C21,'Segment IFRS17'!$AK$537:$AP$608,4,0)/1000</f>
        <v>0</v>
      </c>
      <c r="AU21" s="38"/>
      <c r="AV21" s="38">
        <f t="shared" ref="AV21:BA21" si="31">AB21+AL21</f>
        <v>0</v>
      </c>
      <c r="AW21" s="38">
        <f t="shared" si="31"/>
        <v>0</v>
      </c>
      <c r="AX21" s="38">
        <f t="shared" si="31"/>
        <v>0</v>
      </c>
      <c r="AY21" s="38">
        <f t="shared" si="31"/>
        <v>0</v>
      </c>
      <c r="AZ21" s="38">
        <f t="shared" si="31"/>
        <v>0</v>
      </c>
      <c r="BA21" s="38">
        <f t="shared" si="31"/>
        <v>0</v>
      </c>
      <c r="BB21" s="38">
        <f>AH21+AR21</f>
        <v>0</v>
      </c>
      <c r="BC21" s="38">
        <f>AI21+AS21</f>
        <v>0</v>
      </c>
      <c r="BF21" s="38"/>
      <c r="BG21" s="38">
        <f>VLOOKUP($C21,'Segment IFRS17'!$I$460:$N$531,5,0)/1000</f>
        <v>3895.70091</v>
      </c>
      <c r="BH21" s="38">
        <f>VLOOKUP($C21,'Segment IFRS17'!$P$460:$U$531,5,0)/1000</f>
        <v>3737.486159999999</v>
      </c>
      <c r="BI21" s="38">
        <f>VLOOKUP($C21,'Segment IFRS17'!$AD$460:$AI$531,5,0)/1000</f>
        <v>3817.3876299999997</v>
      </c>
      <c r="BJ21" s="38">
        <f>VLOOKUP($C21,'Segment IFRS17'!$AK$460:$AP$531,5,0)/1000</f>
        <v>3339.5902500000002</v>
      </c>
      <c r="BK21" s="38">
        <f>VLOOKUP($C21,'Segment IFRS17'!$I$537:$N$608,5,0)/1000</f>
        <v>2747.5452500000001</v>
      </c>
      <c r="BL21" s="38">
        <f>VLOOKUP($C21,'Segment IFRS17'!$P$537:$U$608,5,0)/1000</f>
        <v>2692.8707599999989</v>
      </c>
      <c r="BM21" s="38">
        <f>VLOOKUP($C21,'Segment IFRS17'!$AD$537:$AI$608,5,0)/1000</f>
        <v>2480.1836300000009</v>
      </c>
      <c r="BN21" s="38">
        <f>VLOOKUP($C21,'Segment IFRS17'!$AK$537:$AP$608,5,0)/1000</f>
        <v>2332.9787999999999</v>
      </c>
    </row>
    <row r="22" spans="3:67" x14ac:dyDescent="0.3">
      <c r="C22" s="39" t="s">
        <v>55</v>
      </c>
      <c r="D22" s="109"/>
      <c r="E22" s="40"/>
      <c r="F22" s="40">
        <f t="shared" ref="F22:M22" si="32">F21/F$128</f>
        <v>1.653430693832033E-2</v>
      </c>
      <c r="G22" s="40">
        <f t="shared" si="32"/>
        <v>2.3249466730792385E-2</v>
      </c>
      <c r="H22" s="40">
        <f t="shared" si="32"/>
        <v>1.6991016347293827E-2</v>
      </c>
      <c r="I22" s="40">
        <f t="shared" si="32"/>
        <v>2.0574421629173809E-2</v>
      </c>
      <c r="J22" s="40">
        <f t="shared" si="32"/>
        <v>1.9711329625347544E-2</v>
      </c>
      <c r="K22" s="40">
        <f t="shared" si="32"/>
        <v>1.6990233420928317E-2</v>
      </c>
      <c r="L22" s="40">
        <f t="shared" si="32"/>
        <v>2.1039614855796678E-2</v>
      </c>
      <c r="M22" s="40">
        <f t="shared" si="32"/>
        <v>1.6078332457041402E-2</v>
      </c>
      <c r="N22" s="169"/>
      <c r="P22" s="40"/>
      <c r="Q22" s="40">
        <f t="shared" ref="Q22:X22" si="33">Q21/Q$128</f>
        <v>1.5019155493499449E-2</v>
      </c>
      <c r="R22" s="40">
        <f t="shared" si="33"/>
        <v>2.1518836351186319E-2</v>
      </c>
      <c r="S22" s="40">
        <f t="shared" si="33"/>
        <v>1.5893526416674693E-2</v>
      </c>
      <c r="T22" s="40">
        <f t="shared" si="33"/>
        <v>1.9546332168757875E-2</v>
      </c>
      <c r="U22" s="40">
        <f t="shared" si="33"/>
        <v>1.8361639878120402E-2</v>
      </c>
      <c r="V22" s="40">
        <f t="shared" si="33"/>
        <v>1.609355010286875E-2</v>
      </c>
      <c r="W22" s="40">
        <f t="shared" si="33"/>
        <v>2.0289234407030392E-2</v>
      </c>
      <c r="X22" s="40">
        <f t="shared" si="33"/>
        <v>1.5359236299599026E-2</v>
      </c>
      <c r="Y22" s="169"/>
      <c r="AA22" s="40"/>
      <c r="AB22" s="40"/>
      <c r="AC22" s="40"/>
      <c r="AD22" s="40"/>
      <c r="AE22" s="40"/>
      <c r="AF22" s="40"/>
      <c r="AG22" s="40"/>
      <c r="AH22" s="40"/>
      <c r="AI22" s="40"/>
      <c r="AK22" s="40"/>
      <c r="AL22" s="40"/>
      <c r="AM22" s="40"/>
      <c r="AN22" s="40"/>
      <c r="AO22" s="40"/>
      <c r="AP22" s="40"/>
      <c r="AQ22" s="40"/>
      <c r="AR22" s="40"/>
      <c r="AS22" s="40"/>
      <c r="AU22" s="40"/>
      <c r="AV22" s="40"/>
      <c r="AW22" s="40"/>
      <c r="AX22" s="40"/>
      <c r="AY22" s="40"/>
      <c r="AZ22" s="40"/>
      <c r="BA22" s="40"/>
      <c r="BB22" s="40"/>
      <c r="BC22" s="40"/>
      <c r="BD22" s="169"/>
      <c r="BF22" s="40"/>
      <c r="BG22" s="40">
        <f t="shared" ref="BG22:BN22" si="34">BG21/BG$128</f>
        <v>1.5151514448208769E-3</v>
      </c>
      <c r="BH22" s="40">
        <f t="shared" si="34"/>
        <v>1.7306303796060674E-3</v>
      </c>
      <c r="BI22" s="40">
        <f t="shared" si="34"/>
        <v>1.0974899306191348E-3</v>
      </c>
      <c r="BJ22" s="40">
        <f t="shared" si="34"/>
        <v>1.028089460415932E-3</v>
      </c>
      <c r="BK22" s="40">
        <f t="shared" si="34"/>
        <v>1.3496897472271405E-3</v>
      </c>
      <c r="BL22" s="40">
        <f t="shared" si="34"/>
        <v>8.9668331805956556E-4</v>
      </c>
      <c r="BM22" s="40">
        <f t="shared" si="34"/>
        <v>7.5038044876628469E-4</v>
      </c>
      <c r="BN22" s="40">
        <f t="shared" si="34"/>
        <v>7.1909615744237729E-4</v>
      </c>
    </row>
    <row r="23" spans="3:67" x14ac:dyDescent="0.3">
      <c r="C23" s="39" t="s">
        <v>99</v>
      </c>
      <c r="D23" s="109"/>
      <c r="E23" s="40"/>
      <c r="F23" s="40">
        <f t="shared" ref="F23:M23" si="35">F181/F$128</f>
        <v>1.653430693832033E-2</v>
      </c>
      <c r="G23" s="40">
        <f t="shared" si="35"/>
        <v>1.8450451433773257E-2</v>
      </c>
      <c r="H23" s="40">
        <f t="shared" si="35"/>
        <v>1.6991016347293827E-2</v>
      </c>
      <c r="I23" s="40">
        <f t="shared" si="35"/>
        <v>1.6837134981672844E-2</v>
      </c>
      <c r="J23" s="40">
        <f t="shared" si="35"/>
        <v>1.9711329625347544E-2</v>
      </c>
      <c r="K23" s="40">
        <f t="shared" si="35"/>
        <v>1.6990233420928317E-2</v>
      </c>
      <c r="L23" s="40">
        <f t="shared" si="35"/>
        <v>1.7070154139771528E-2</v>
      </c>
      <c r="M23" s="40">
        <f t="shared" si="35"/>
        <v>1.6078332457041402E-2</v>
      </c>
      <c r="N23" s="169"/>
      <c r="P23" s="40"/>
      <c r="Q23" s="40">
        <f t="shared" ref="Q23:X23" si="36">Q181/Q$128</f>
        <v>1.5019155493499449E-2</v>
      </c>
      <c r="R23" s="40">
        <f t="shared" si="36"/>
        <v>1.6719821054167187E-2</v>
      </c>
      <c r="S23" s="40">
        <f t="shared" si="36"/>
        <v>1.5893526416674693E-2</v>
      </c>
      <c r="T23" s="40">
        <f t="shared" si="36"/>
        <v>1.580904552125691E-2</v>
      </c>
      <c r="U23" s="40">
        <f t="shared" si="36"/>
        <v>1.8361639878120402E-2</v>
      </c>
      <c r="V23" s="40">
        <f t="shared" si="36"/>
        <v>1.609355010286875E-2</v>
      </c>
      <c r="W23" s="40">
        <f t="shared" si="36"/>
        <v>1.6319773691005245E-2</v>
      </c>
      <c r="X23" s="40">
        <f t="shared" si="36"/>
        <v>1.5359236299599026E-2</v>
      </c>
      <c r="Y23" s="169"/>
      <c r="AA23" s="40"/>
      <c r="AB23" s="40"/>
      <c r="AC23" s="40"/>
      <c r="AD23" s="40"/>
      <c r="AE23" s="40"/>
      <c r="AF23" s="40"/>
      <c r="AG23" s="40"/>
      <c r="AH23" s="40"/>
      <c r="AI23" s="40"/>
      <c r="AK23" s="40"/>
      <c r="AL23" s="40"/>
      <c r="AM23" s="40"/>
      <c r="AN23" s="40"/>
      <c r="AO23" s="40"/>
      <c r="AP23" s="40"/>
      <c r="AQ23" s="40"/>
      <c r="AR23" s="40"/>
      <c r="AS23" s="40"/>
      <c r="AU23" s="40"/>
      <c r="AV23" s="40"/>
      <c r="AW23" s="40"/>
      <c r="AX23" s="40"/>
      <c r="AY23" s="40"/>
      <c r="AZ23" s="40"/>
      <c r="BA23" s="40"/>
      <c r="BB23" s="40"/>
      <c r="BC23" s="40"/>
      <c r="BD23" s="169"/>
      <c r="BF23" s="40"/>
      <c r="BG23" s="40"/>
      <c r="BH23" s="40"/>
      <c r="BI23" s="40"/>
      <c r="BJ23" s="40"/>
      <c r="BK23" s="40"/>
      <c r="BL23" s="40"/>
      <c r="BM23" s="40"/>
      <c r="BN23" s="40"/>
    </row>
    <row r="24" spans="3:67" x14ac:dyDescent="0.3">
      <c r="C24" s="36" t="s">
        <v>16</v>
      </c>
      <c r="E24" s="203"/>
      <c r="F24" s="203">
        <f>VLOOKUP($C24,'Segment IFRS17'!$I$460:$N$531,6,0)/1000</f>
        <v>-32166.196959999997</v>
      </c>
      <c r="G24" s="203">
        <f>VLOOKUP($C24,'Segment IFRS17'!$P$460:$U$531,6,0)/1000</f>
        <v>-26666.022469999996</v>
      </c>
      <c r="H24" s="203">
        <f>VLOOKUP($C24,'Segment IFRS17'!$AD$460:$AI$531,6,0)/1000</f>
        <v>-25693.452228474573</v>
      </c>
      <c r="I24" s="203">
        <f>VLOOKUP($C24,'Segment IFRS17'!$AK$460:$AP$531,6,0)/1000</f>
        <v>-26382.603418002665</v>
      </c>
      <c r="J24" s="203">
        <f>VLOOKUP($C24,'Segment IFRS17'!$I$537:$N$608,6,0)/1000</f>
        <v>-19274.7176</v>
      </c>
      <c r="K24" s="203">
        <f>VLOOKUP($C24,'Segment IFRS17'!$P$539:$U$600,6,0)/1000</f>
        <v>-21829.13200999999</v>
      </c>
      <c r="L24" s="203">
        <f>VLOOKUP($C24,'Segment IFRS17'!$AD$539:$AI$600,6,0)/1000</f>
        <v>-33653.910598260874</v>
      </c>
      <c r="M24" s="203">
        <f>VLOOKUP($C24,'Segment IFRS17'!$AK$539:$AP$600,6,0)/1000</f>
        <v>-22226.428770257666</v>
      </c>
      <c r="N24" s="132">
        <f>M24/I24-1</f>
        <v>-0.15753466714012598</v>
      </c>
      <c r="O24" s="132"/>
      <c r="P24" s="38"/>
      <c r="Q24" s="38">
        <f>VLOOKUP($C24,'Segment IFRS17'!$I$460:$N$531,2,0)/1000</f>
        <v>-32166.196959999997</v>
      </c>
      <c r="R24" s="38">
        <f>VLOOKUP($C24,'Segment IFRS17'!$P$460:$U$531,2,0)/1000</f>
        <v>-26666.022469999996</v>
      </c>
      <c r="S24" s="38">
        <f>VLOOKUP($C24,'Segment IFRS17'!$AD$460:$AI$531,2,0)/1000</f>
        <v>-25693.452228474573</v>
      </c>
      <c r="T24" s="38">
        <f>VLOOKUP($C24,'Segment IFRS17'!$AK$460:$AP$531,2,0)/1000</f>
        <v>-26382.603418002665</v>
      </c>
      <c r="U24" s="38">
        <f>VLOOKUP($C24,'Segment IFRS17'!$I$537:$N$608,2,0)/1000</f>
        <v>-19274.7176</v>
      </c>
      <c r="V24" s="38">
        <f>VLOOKUP($C24,'Segment IFRS17'!$P$537:$U$608,2,0)/1000</f>
        <v>-21829.13200999999</v>
      </c>
      <c r="W24" s="38">
        <f>VLOOKUP($C24,'Segment IFRS17'!$AD$537:$AI$608,2,0)/1000</f>
        <v>-33653.910598260874</v>
      </c>
      <c r="X24" s="38">
        <f>VLOOKUP($C24,'Segment IFRS17'!$AK$537:$AP$608,2,0)/1000</f>
        <v>-22226.428770257666</v>
      </c>
      <c r="Y24" s="132">
        <f>W24/S24-1</f>
        <v>0.30982439802169459</v>
      </c>
      <c r="AA24" s="38"/>
      <c r="AB24" s="38">
        <f>VLOOKUP($C24,'Segment IFRS17'!$I$460:$N$531,3,0)/1000</f>
        <v>0</v>
      </c>
      <c r="AC24" s="38">
        <f>VLOOKUP($C24,'Segment IFRS17'!$P$460:$U$531,3,0)/1000</f>
        <v>0</v>
      </c>
      <c r="AD24" s="38">
        <f>VLOOKUP($C24,'Segment IFRS17'!$AD$460:$AI$531,3,0)/1000</f>
        <v>0</v>
      </c>
      <c r="AE24" s="38">
        <f>VLOOKUP($C24,'Segment IFRS17'!$AK$460:$AP$531,3,0)/1000</f>
        <v>0</v>
      </c>
      <c r="AF24" s="38">
        <f>VLOOKUP($C24,'Segment IFRS17'!$I$537:$N$608,3,0)/1000</f>
        <v>0</v>
      </c>
      <c r="AG24" s="38">
        <f>VLOOKUP($C24,'Segment IFRS17'!$P$537:$U$608,3,0)/1000</f>
        <v>0</v>
      </c>
      <c r="AH24" s="38">
        <f>VLOOKUP($C24,'Segment IFRS17'!$AD$537:$AI$608,3,0)/1000</f>
        <v>0</v>
      </c>
      <c r="AI24" s="38">
        <f>VLOOKUP($C24,'Segment IFRS17'!$AK$537:$AP$608,3,0)/1000</f>
        <v>0</v>
      </c>
      <c r="AK24" s="38"/>
      <c r="AL24" s="38">
        <f>VLOOKUP($C24,'Segment IFRS17'!$I$460:$N$531,4,0)/1000</f>
        <v>0</v>
      </c>
      <c r="AM24" s="38">
        <f>VLOOKUP($C24,'Segment IFRS17'!$P$460:$U$531,4,0)/1000</f>
        <v>0</v>
      </c>
      <c r="AN24" s="38">
        <f>VLOOKUP($C24,'Segment IFRS17'!$AD$460:$AI$531,4,0)/1000</f>
        <v>0</v>
      </c>
      <c r="AO24" s="38">
        <f>VLOOKUP($C24,'Segment IFRS17'!$AK$460:$AP$531,4,0)/1000</f>
        <v>0</v>
      </c>
      <c r="AP24" s="38">
        <f>VLOOKUP($C24,'Segment IFRS17'!$I$537:$N$608,4,0)/1000</f>
        <v>0</v>
      </c>
      <c r="AQ24" s="38">
        <f>VLOOKUP($C24,'Segment IFRS17'!$P$537:$U$608,4,0)/1000</f>
        <v>0</v>
      </c>
      <c r="AR24" s="38">
        <f>VLOOKUP($C24,'Segment IFRS17'!$AD$537:$AI$608,4,0)/1000</f>
        <v>0</v>
      </c>
      <c r="AS24" s="38">
        <f>VLOOKUP($C24,'Segment IFRS17'!$AK$537:$AP$608,4,0)/1000</f>
        <v>0</v>
      </c>
      <c r="AU24" s="38"/>
      <c r="AV24" s="38">
        <f t="shared" ref="AV24:BA24" si="37">AB24+AL24</f>
        <v>0</v>
      </c>
      <c r="AW24" s="38">
        <f t="shared" si="37"/>
        <v>0</v>
      </c>
      <c r="AX24" s="38">
        <f t="shared" si="37"/>
        <v>0</v>
      </c>
      <c r="AY24" s="38">
        <f t="shared" si="37"/>
        <v>0</v>
      </c>
      <c r="AZ24" s="38">
        <f t="shared" si="37"/>
        <v>0</v>
      </c>
      <c r="BA24" s="38">
        <f t="shared" si="37"/>
        <v>0</v>
      </c>
      <c r="BB24" s="38">
        <f>AH24+AR24</f>
        <v>0</v>
      </c>
      <c r="BC24" s="38">
        <f>AI24+AS24</f>
        <v>0</v>
      </c>
      <c r="BF24" s="38"/>
      <c r="BG24" s="38">
        <f>VLOOKUP($C24,'Segment IFRS17'!$I$460:$N$531,5,0)/1000</f>
        <v>0</v>
      </c>
      <c r="BH24" s="38">
        <f>VLOOKUP($C24,'Segment IFRS17'!$P$460:$U$531,5,0)/1000</f>
        <v>0</v>
      </c>
      <c r="BI24" s="38">
        <f>VLOOKUP($C24,'Segment IFRS17'!$AD$460:$AI$531,5,0)/1000</f>
        <v>0</v>
      </c>
      <c r="BJ24" s="38">
        <f>VLOOKUP($C24,'Segment IFRS17'!$AK$460:$AP$531,5,0)/1000</f>
        <v>0</v>
      </c>
      <c r="BK24" s="38">
        <f>VLOOKUP($C24,'Segment IFRS17'!$I$537:$N$608,5,0)/1000</f>
        <v>0</v>
      </c>
      <c r="BL24" s="38">
        <f>VLOOKUP($C24,'Segment IFRS17'!$P$537:$U$608,5,0)/1000</f>
        <v>0</v>
      </c>
      <c r="BM24" s="38">
        <f>VLOOKUP($C24,'Segment IFRS17'!$AD$537:$AI$608,5,0)/1000</f>
        <v>0</v>
      </c>
      <c r="BN24" s="38">
        <f>VLOOKUP($C24,'Segment IFRS17'!$AK$537:$AP$608,5,0)/1000</f>
        <v>0</v>
      </c>
    </row>
    <row r="25" spans="3:67" x14ac:dyDescent="0.3">
      <c r="C25" s="39" t="s">
        <v>126</v>
      </c>
      <c r="D25" s="109"/>
      <c r="E25" s="40"/>
      <c r="F25" s="40">
        <f t="shared" ref="F25:M25" si="38">-F24/F$128</f>
        <v>1.2510370001257848E-2</v>
      </c>
      <c r="G25" s="40">
        <f t="shared" si="38"/>
        <v>1.2347611901214379E-2</v>
      </c>
      <c r="H25" s="40">
        <f t="shared" si="38"/>
        <v>7.3868068524114263E-3</v>
      </c>
      <c r="I25" s="40">
        <f t="shared" si="38"/>
        <v>8.1218576178265812E-3</v>
      </c>
      <c r="J25" s="40">
        <f t="shared" si="38"/>
        <v>9.4684113848237869E-3</v>
      </c>
      <c r="K25" s="40">
        <f t="shared" si="38"/>
        <v>7.2687552673664424E-3</v>
      </c>
      <c r="L25" s="40">
        <f t="shared" si="38"/>
        <v>1.0182002748507541E-2</v>
      </c>
      <c r="M25" s="40">
        <f t="shared" si="38"/>
        <v>6.8508721649588036E-3</v>
      </c>
      <c r="N25" s="169"/>
      <c r="P25" s="40"/>
      <c r="Q25" s="40">
        <f t="shared" ref="Q25:X25" si="39">-Q24/Q$128</f>
        <v>1.2510370001257848E-2</v>
      </c>
      <c r="R25" s="40">
        <f t="shared" si="39"/>
        <v>1.2347611901214379E-2</v>
      </c>
      <c r="S25" s="40">
        <f t="shared" si="39"/>
        <v>7.3868068524114263E-3</v>
      </c>
      <c r="T25" s="40">
        <f t="shared" si="39"/>
        <v>8.1218576178265812E-3</v>
      </c>
      <c r="U25" s="40">
        <f t="shared" si="39"/>
        <v>9.4684113848237869E-3</v>
      </c>
      <c r="V25" s="40">
        <f t="shared" si="39"/>
        <v>7.2687552673664424E-3</v>
      </c>
      <c r="W25" s="40">
        <f t="shared" si="39"/>
        <v>1.0182002748507541E-2</v>
      </c>
      <c r="X25" s="40">
        <f t="shared" si="39"/>
        <v>6.8508721649588036E-3</v>
      </c>
      <c r="Y25" s="169"/>
      <c r="AA25" s="40"/>
      <c r="AB25" s="40"/>
      <c r="AC25" s="40"/>
      <c r="AD25" s="40"/>
      <c r="AE25" s="40"/>
      <c r="AF25" s="40"/>
      <c r="AG25" s="40"/>
      <c r="AH25" s="40"/>
      <c r="AI25" s="40"/>
      <c r="AK25" s="40"/>
      <c r="AL25" s="40"/>
      <c r="AM25" s="40"/>
      <c r="AN25" s="40"/>
      <c r="AO25" s="40"/>
      <c r="AP25" s="40"/>
      <c r="AQ25" s="40"/>
      <c r="AR25" s="40"/>
      <c r="AS25" s="40"/>
      <c r="AU25" s="40"/>
      <c r="AV25" s="40"/>
      <c r="AW25" s="40"/>
      <c r="AX25" s="40"/>
      <c r="AY25" s="40"/>
      <c r="AZ25" s="40"/>
      <c r="BA25" s="40"/>
      <c r="BB25" s="40"/>
      <c r="BC25" s="40"/>
      <c r="BD25" s="169"/>
      <c r="BF25" s="40"/>
      <c r="BG25" s="40">
        <f t="shared" ref="BG25:BN25" si="40">-BG24/BG$128</f>
        <v>0</v>
      </c>
      <c r="BH25" s="40">
        <f t="shared" si="40"/>
        <v>0</v>
      </c>
      <c r="BI25" s="40">
        <f t="shared" si="40"/>
        <v>0</v>
      </c>
      <c r="BJ25" s="40">
        <f t="shared" si="40"/>
        <v>0</v>
      </c>
      <c r="BK25" s="40">
        <f t="shared" si="40"/>
        <v>0</v>
      </c>
      <c r="BL25" s="40">
        <f t="shared" si="40"/>
        <v>0</v>
      </c>
      <c r="BM25" s="40">
        <f t="shared" si="40"/>
        <v>0</v>
      </c>
      <c r="BN25" s="40">
        <f t="shared" si="40"/>
        <v>0</v>
      </c>
    </row>
    <row r="26" spans="3:67" x14ac:dyDescent="0.3">
      <c r="C26" s="39" t="s">
        <v>127</v>
      </c>
      <c r="D26" s="109"/>
      <c r="E26" s="40"/>
      <c r="F26" s="40">
        <f t="shared" ref="F26:M26" si="41">-F185/F$128</f>
        <v>1.2002158681195607E-2</v>
      </c>
      <c r="G26" s="40">
        <f t="shared" si="41"/>
        <v>1.0442968574042647E-2</v>
      </c>
      <c r="H26" s="40">
        <f t="shared" si="41"/>
        <v>6.8452966631246184E-3</v>
      </c>
      <c r="I26" s="40">
        <f t="shared" si="41"/>
        <v>6.8400138747756094E-3</v>
      </c>
      <c r="J26" s="40">
        <f t="shared" si="41"/>
        <v>8.6433520753576455E-3</v>
      </c>
      <c r="K26" s="40">
        <f t="shared" si="41"/>
        <v>6.7852255800906931E-3</v>
      </c>
      <c r="L26" s="40">
        <f t="shared" si="41"/>
        <v>9.0717053878107377E-3</v>
      </c>
      <c r="M26" s="40">
        <f t="shared" si="41"/>
        <v>6.6354962636838519E-3</v>
      </c>
      <c r="N26" s="169"/>
      <c r="P26" s="40"/>
      <c r="Q26" s="40">
        <f t="shared" ref="Q26:X26" si="42">-Q185/Q$128</f>
        <v>1.2002158681195607E-2</v>
      </c>
      <c r="R26" s="40">
        <f t="shared" si="42"/>
        <v>1.0442968574042647E-2</v>
      </c>
      <c r="S26" s="40">
        <f t="shared" si="42"/>
        <v>6.8452966631246184E-3</v>
      </c>
      <c r="T26" s="40">
        <f t="shared" si="42"/>
        <v>6.8400138747756094E-3</v>
      </c>
      <c r="U26" s="40">
        <f t="shared" si="42"/>
        <v>8.6433520753576455E-3</v>
      </c>
      <c r="V26" s="40">
        <f t="shared" si="42"/>
        <v>6.7852255800906931E-3</v>
      </c>
      <c r="W26" s="40">
        <f t="shared" si="42"/>
        <v>9.0717053878107377E-3</v>
      </c>
      <c r="X26" s="40">
        <f t="shared" si="42"/>
        <v>6.6354962636838519E-3</v>
      </c>
      <c r="Y26" s="169"/>
      <c r="AA26" s="40"/>
      <c r="AB26" s="40"/>
      <c r="AC26" s="40"/>
      <c r="AD26" s="40"/>
      <c r="AE26" s="40"/>
      <c r="AF26" s="40"/>
      <c r="AG26" s="40"/>
      <c r="AH26" s="40"/>
      <c r="AI26" s="40"/>
      <c r="AK26" s="40"/>
      <c r="AL26" s="40"/>
      <c r="AM26" s="40"/>
      <c r="AN26" s="40"/>
      <c r="AO26" s="40"/>
      <c r="AP26" s="40"/>
      <c r="AQ26" s="40"/>
      <c r="AR26" s="40"/>
      <c r="AS26" s="40"/>
      <c r="AU26" s="40"/>
      <c r="AV26" s="40"/>
      <c r="AW26" s="40"/>
      <c r="AX26" s="40"/>
      <c r="AY26" s="40"/>
      <c r="AZ26" s="40"/>
      <c r="BA26" s="40"/>
      <c r="BB26" s="40"/>
      <c r="BC26" s="40"/>
      <c r="BD26" s="169"/>
      <c r="BF26" s="40"/>
      <c r="BG26" s="40"/>
      <c r="BH26" s="40"/>
      <c r="BI26" s="40"/>
      <c r="BJ26" s="40"/>
      <c r="BK26" s="40"/>
      <c r="BL26" s="40"/>
      <c r="BM26" s="40"/>
      <c r="BN26" s="40"/>
    </row>
    <row r="27" spans="3:67" x14ac:dyDescent="0.3">
      <c r="C27" s="43" t="s">
        <v>17</v>
      </c>
      <c r="D27" s="111"/>
      <c r="E27" s="44"/>
      <c r="F27" s="44">
        <f t="shared" ref="F27:M27" si="43">F21+F24</f>
        <v>10346.196640000013</v>
      </c>
      <c r="G27" s="44">
        <f t="shared" si="43"/>
        <v>23543.751469999967</v>
      </c>
      <c r="H27" s="44">
        <f t="shared" si="43"/>
        <v>33406.220411525486</v>
      </c>
      <c r="I27" s="44">
        <f t="shared" si="43"/>
        <v>40450.23605530549</v>
      </c>
      <c r="J27" s="44">
        <f t="shared" si="43"/>
        <v>20851.370780364396</v>
      </c>
      <c r="K27" s="44">
        <f t="shared" si="43"/>
        <v>29195.016497414679</v>
      </c>
      <c r="L27" s="44">
        <f t="shared" si="43"/>
        <v>35886.958213880192</v>
      </c>
      <c r="M27" s="44">
        <f t="shared" si="43"/>
        <v>29936.843656400084</v>
      </c>
      <c r="N27" s="170">
        <f>M27/I27-1</f>
        <v>-0.25990929656210149</v>
      </c>
      <c r="O27" s="132"/>
      <c r="P27" s="44"/>
      <c r="Q27" s="44">
        <f t="shared" ref="Q27:X27" si="44">Q21+Q24</f>
        <v>6450.495730000006</v>
      </c>
      <c r="R27" s="44">
        <f t="shared" si="44"/>
        <v>19806.265309999966</v>
      </c>
      <c r="S27" s="44">
        <f t="shared" si="44"/>
        <v>29588.832781525478</v>
      </c>
      <c r="T27" s="44">
        <f t="shared" si="44"/>
        <v>37110.645805305481</v>
      </c>
      <c r="U27" s="44">
        <f t="shared" si="44"/>
        <v>18103.825530364393</v>
      </c>
      <c r="V27" s="44">
        <f t="shared" si="44"/>
        <v>26502.145737414681</v>
      </c>
      <c r="W27" s="44">
        <f t="shared" si="44"/>
        <v>33406.774583880193</v>
      </c>
      <c r="X27" s="44">
        <f t="shared" si="44"/>
        <v>27603.864856400087</v>
      </c>
      <c r="Y27" s="170">
        <f>W27/S27-1</f>
        <v>0.12903320082090364</v>
      </c>
      <c r="AA27" s="44"/>
      <c r="AB27" s="44">
        <f t="shared" ref="AB27:AI27" si="45">AB21+AB24</f>
        <v>0</v>
      </c>
      <c r="AC27" s="44">
        <f t="shared" si="45"/>
        <v>0</v>
      </c>
      <c r="AD27" s="44">
        <f t="shared" si="45"/>
        <v>0</v>
      </c>
      <c r="AE27" s="44">
        <f t="shared" si="45"/>
        <v>0</v>
      </c>
      <c r="AF27" s="44">
        <f t="shared" si="45"/>
        <v>0</v>
      </c>
      <c r="AG27" s="44">
        <f t="shared" si="45"/>
        <v>0</v>
      </c>
      <c r="AH27" s="44">
        <f t="shared" si="45"/>
        <v>0</v>
      </c>
      <c r="AI27" s="44">
        <f t="shared" si="45"/>
        <v>0</v>
      </c>
      <c r="AJ27" s="49"/>
      <c r="AK27" s="44"/>
      <c r="AL27" s="44">
        <f t="shared" ref="AL27:AS27" si="46">AL21+AL24</f>
        <v>0</v>
      </c>
      <c r="AM27" s="44">
        <f t="shared" si="46"/>
        <v>0</v>
      </c>
      <c r="AN27" s="44">
        <f t="shared" si="46"/>
        <v>0</v>
      </c>
      <c r="AO27" s="44">
        <f t="shared" si="46"/>
        <v>0</v>
      </c>
      <c r="AP27" s="44">
        <f t="shared" si="46"/>
        <v>0</v>
      </c>
      <c r="AQ27" s="44">
        <f t="shared" si="46"/>
        <v>0</v>
      </c>
      <c r="AR27" s="44">
        <f t="shared" si="46"/>
        <v>0</v>
      </c>
      <c r="AS27" s="44">
        <f t="shared" si="46"/>
        <v>0</v>
      </c>
      <c r="AT27" s="49"/>
      <c r="AU27" s="44"/>
      <c r="AV27" s="44">
        <f t="shared" ref="AV27:BC27" si="47">AV21+AV24</f>
        <v>0</v>
      </c>
      <c r="AW27" s="44">
        <f t="shared" si="47"/>
        <v>0</v>
      </c>
      <c r="AX27" s="44">
        <f t="shared" si="47"/>
        <v>0</v>
      </c>
      <c r="AY27" s="44">
        <f t="shared" si="47"/>
        <v>0</v>
      </c>
      <c r="AZ27" s="44">
        <f t="shared" si="47"/>
        <v>0</v>
      </c>
      <c r="BA27" s="44">
        <f t="shared" si="47"/>
        <v>0</v>
      </c>
      <c r="BB27" s="44">
        <f t="shared" si="47"/>
        <v>0</v>
      </c>
      <c r="BC27" s="44">
        <f t="shared" si="47"/>
        <v>0</v>
      </c>
      <c r="BD27" s="170"/>
      <c r="BE27" s="49"/>
      <c r="BF27" s="44"/>
      <c r="BG27" s="44">
        <f t="shared" ref="BG27:BN27" si="48">BG21+BG24</f>
        <v>3895.70091</v>
      </c>
      <c r="BH27" s="44">
        <f t="shared" si="48"/>
        <v>3737.486159999999</v>
      </c>
      <c r="BI27" s="44">
        <f t="shared" si="48"/>
        <v>3817.3876299999997</v>
      </c>
      <c r="BJ27" s="44">
        <f t="shared" si="48"/>
        <v>3339.5902500000002</v>
      </c>
      <c r="BK27" s="44">
        <f t="shared" si="48"/>
        <v>2747.5452500000001</v>
      </c>
      <c r="BL27" s="44">
        <f t="shared" si="48"/>
        <v>2692.8707599999989</v>
      </c>
      <c r="BM27" s="44">
        <f t="shared" si="48"/>
        <v>2480.1836300000009</v>
      </c>
      <c r="BN27" s="44">
        <f t="shared" si="48"/>
        <v>2332.9787999999999</v>
      </c>
      <c r="BO27" s="49"/>
    </row>
    <row r="28" spans="3:67" x14ac:dyDescent="0.3">
      <c r="C28" s="39" t="s">
        <v>91</v>
      </c>
      <c r="D28" s="109"/>
      <c r="E28" s="40"/>
      <c r="F28" s="40">
        <f t="shared" ref="F28:M28" si="49">F27/F$128</f>
        <v>4.023936937062482E-3</v>
      </c>
      <c r="G28" s="40">
        <f t="shared" si="49"/>
        <v>1.0901854829578008E-2</v>
      </c>
      <c r="H28" s="40">
        <f t="shared" si="49"/>
        <v>9.6042094948824031E-3</v>
      </c>
      <c r="I28" s="40">
        <f t="shared" si="49"/>
        <v>1.2452564011347228E-2</v>
      </c>
      <c r="J28" s="40">
        <f t="shared" si="49"/>
        <v>1.0242918240523756E-2</v>
      </c>
      <c r="K28" s="40">
        <f t="shared" si="49"/>
        <v>9.7214781535618754E-3</v>
      </c>
      <c r="L28" s="40">
        <f t="shared" si="49"/>
        <v>1.0857612107289135E-2</v>
      </c>
      <c r="M28" s="40">
        <f t="shared" si="49"/>
        <v>9.2274602920825993E-3</v>
      </c>
      <c r="N28" s="169"/>
      <c r="P28" s="40"/>
      <c r="Q28" s="40">
        <f t="shared" ref="Q28:X28" si="50">Q27/Q$128</f>
        <v>2.508785492241602E-3</v>
      </c>
      <c r="R28" s="40">
        <f t="shared" si="50"/>
        <v>9.1712244499719386E-3</v>
      </c>
      <c r="S28" s="40">
        <f t="shared" si="50"/>
        <v>8.5067195642632657E-3</v>
      </c>
      <c r="T28" s="40">
        <f t="shared" si="50"/>
        <v>1.1424474550931294E-2</v>
      </c>
      <c r="U28" s="40">
        <f t="shared" si="50"/>
        <v>8.8932284932966149E-3</v>
      </c>
      <c r="V28" s="40">
        <f t="shared" si="50"/>
        <v>8.8247948355023101E-3</v>
      </c>
      <c r="W28" s="40">
        <f t="shared" si="50"/>
        <v>1.010723165852285E-2</v>
      </c>
      <c r="X28" s="40">
        <f t="shared" si="50"/>
        <v>8.5083641346402217E-3</v>
      </c>
      <c r="Y28" s="169"/>
      <c r="AA28" s="40"/>
      <c r="AB28" s="40"/>
      <c r="AC28" s="40"/>
      <c r="AD28" s="40"/>
      <c r="AE28" s="40"/>
      <c r="AF28" s="40"/>
      <c r="AG28" s="40"/>
      <c r="AH28" s="40"/>
      <c r="AI28" s="40"/>
      <c r="AK28" s="40"/>
      <c r="AL28" s="40"/>
      <c r="AM28" s="40"/>
      <c r="AN28" s="40"/>
      <c r="AO28" s="40"/>
      <c r="AP28" s="40"/>
      <c r="AQ28" s="40"/>
      <c r="AR28" s="40"/>
      <c r="AS28" s="40"/>
      <c r="AU28" s="40"/>
      <c r="AV28" s="40"/>
      <c r="AW28" s="40"/>
      <c r="AX28" s="40"/>
      <c r="AY28" s="40"/>
      <c r="AZ28" s="40"/>
      <c r="BA28" s="40"/>
      <c r="BB28" s="40"/>
      <c r="BC28" s="40"/>
      <c r="BD28" s="169"/>
      <c r="BF28" s="40"/>
      <c r="BG28" s="40">
        <f t="shared" ref="BG28:BN28" si="51">BG27/BG$128</f>
        <v>1.5151514448208769E-3</v>
      </c>
      <c r="BH28" s="40">
        <f t="shared" si="51"/>
        <v>1.7306303796060674E-3</v>
      </c>
      <c r="BI28" s="40">
        <f t="shared" si="51"/>
        <v>1.0974899306191348E-3</v>
      </c>
      <c r="BJ28" s="40">
        <f t="shared" si="51"/>
        <v>1.028089460415932E-3</v>
      </c>
      <c r="BK28" s="40">
        <f t="shared" si="51"/>
        <v>1.3496897472271405E-3</v>
      </c>
      <c r="BL28" s="40">
        <f t="shared" si="51"/>
        <v>8.9668331805956556E-4</v>
      </c>
      <c r="BM28" s="40">
        <f t="shared" si="51"/>
        <v>7.5038044876628469E-4</v>
      </c>
      <c r="BN28" s="40">
        <f t="shared" si="51"/>
        <v>7.1909615744237729E-4</v>
      </c>
    </row>
    <row r="29" spans="3:67" x14ac:dyDescent="0.3">
      <c r="E29" s="104"/>
      <c r="F29" s="104"/>
      <c r="G29" s="104"/>
      <c r="H29" s="104"/>
      <c r="I29" s="104"/>
      <c r="J29" s="104"/>
      <c r="K29" s="104"/>
      <c r="L29" s="104"/>
      <c r="M29" s="104"/>
      <c r="P29" s="38"/>
      <c r="Q29" s="38"/>
      <c r="R29" s="38"/>
      <c r="S29" s="38"/>
      <c r="T29" s="38"/>
      <c r="U29" s="38"/>
      <c r="V29" s="38"/>
      <c r="W29" s="38"/>
      <c r="X29" s="38"/>
    </row>
    <row r="30" spans="3:67" x14ac:dyDescent="0.3">
      <c r="C30" s="46" t="s">
        <v>20</v>
      </c>
      <c r="D30" s="113"/>
      <c r="E30" s="47"/>
      <c r="F30" s="47">
        <f>VLOOKUP($C30,'Segment IFRS17'!$I$460:$N$531,6,0)/1000</f>
        <v>-19643.03898792098</v>
      </c>
      <c r="G30" s="47">
        <f>VLOOKUP($C30,'Segment IFRS17'!$P$460:$U$531,6,0)/1000</f>
        <v>-15279.343868188012</v>
      </c>
      <c r="H30" s="47">
        <f>VLOOKUP($C30,'Segment IFRS17'!$AD$460:$AI$531,6,0)/1000</f>
        <v>-2086.7955419196337</v>
      </c>
      <c r="I30" s="47">
        <f>VLOOKUP($C30,'Segment IFRS17'!$AK$460:$AP$531,6,0)/1000</f>
        <v>-2594.3526932588725</v>
      </c>
      <c r="J30" s="47">
        <f>VLOOKUP($C30,'Segment IFRS17'!$I$537:$N$608,6,0)/1000</f>
        <v>-3181.2629627939223</v>
      </c>
      <c r="K30" s="47">
        <f>VLOOKUP($C30,'Segment IFRS17'!$P$539:$U$600,6,0)/1000</f>
        <v>216.04903474189527</v>
      </c>
      <c r="L30" s="47">
        <f>VLOOKUP($C30,'Segment IFRS17'!$AD$539:$AI$600,6,0)/1000</f>
        <v>2815.5442804371937</v>
      </c>
      <c r="M30" s="47">
        <f>VLOOKUP($C30,'Segment IFRS17'!$AK$539:$AP$600,6,0)/1000</f>
        <v>4822.4348497823512</v>
      </c>
      <c r="N30" s="173">
        <f>M30/I30-1</f>
        <v>-2.8588200680319584</v>
      </c>
      <c r="O30" s="132"/>
      <c r="P30" s="47"/>
      <c r="Q30" s="47">
        <f>VLOOKUP($C30,'Segment IFRS17'!$I$460:$N$531,2,0)/1000</f>
        <v>-14365.30831833226</v>
      </c>
      <c r="R30" s="47">
        <f>VLOOKUP($C30,'Segment IFRS17'!$P$460:$U$531,2,0)/1000</f>
        <v>-7482.8871104817599</v>
      </c>
      <c r="S30" s="47">
        <f>VLOOKUP($C30,'Segment IFRS17'!$AD$460:$AI$531,2,0)/1000</f>
        <v>2914.7766106280683</v>
      </c>
      <c r="T30" s="47">
        <f>VLOOKUP($C30,'Segment IFRS17'!$AK$460:$AP$531,2,0)/1000</f>
        <v>4706.7919229107292</v>
      </c>
      <c r="U30" s="47">
        <f>VLOOKUP($C30,'Segment IFRS17'!$I$537:$N$608,2,0)/1000</f>
        <v>3351.7265478378331</v>
      </c>
      <c r="V30" s="47">
        <f>VLOOKUP($C30,'Segment IFRS17'!$P$537:$U$608,2,0)/1000</f>
        <v>6590.8205215374546</v>
      </c>
      <c r="W30" s="47">
        <f>VLOOKUP($C30,'Segment IFRS17'!$AD$537:$AI$608,2,0)/1000</f>
        <v>9129.0360437815034</v>
      </c>
      <c r="X30" s="47">
        <f>VLOOKUP($C30,'Segment IFRS17'!$AK$537:$AP$608,2,0)/1000</f>
        <v>10975.109132133399</v>
      </c>
      <c r="Y30" s="173">
        <f>W30/S30-1</f>
        <v>2.1319848013376239</v>
      </c>
      <c r="AA30" s="47"/>
      <c r="AB30" s="47">
        <f>VLOOKUP($C30,'Segment IFRS17'!$I$460:$N$531,3,0)/1000</f>
        <v>0</v>
      </c>
      <c r="AC30" s="47">
        <f>VLOOKUP($C30,'Segment IFRS17'!$P$460:$U$531,3,0)/1000</f>
        <v>0</v>
      </c>
      <c r="AD30" s="47">
        <f>VLOOKUP($C30,'Segment IFRS17'!$AD$460:$AI$531,3,0)/1000</f>
        <v>0</v>
      </c>
      <c r="AE30" s="47">
        <f>VLOOKUP($C30,'Segment IFRS17'!$AK$460:$AP$531,3,0)/1000</f>
        <v>0</v>
      </c>
      <c r="AF30" s="47">
        <f>VLOOKUP($C30,'Segment IFRS17'!$I$537:$N$608,3,0)/1000</f>
        <v>0</v>
      </c>
      <c r="AG30" s="47">
        <f>VLOOKUP($C30,'Segment IFRS17'!$P$537:$U$608,3,0)/1000</f>
        <v>0</v>
      </c>
      <c r="AH30" s="47">
        <f>VLOOKUP($C30,'Segment IFRS17'!$AD$537:$AI$608,3,0)/1000</f>
        <v>0</v>
      </c>
      <c r="AI30" s="47">
        <f>VLOOKUP($C30,'Segment IFRS17'!$AK$537:$AP$608,3,0)/1000</f>
        <v>0</v>
      </c>
      <c r="AK30" s="47"/>
      <c r="AL30" s="47">
        <f>VLOOKUP($C30,'Segment IFRS17'!$I$460:$N$531,4,0)/1000</f>
        <v>0</v>
      </c>
      <c r="AM30" s="47">
        <f>VLOOKUP($C30,'Segment IFRS17'!$P$460:$U$531,4,0)/1000</f>
        <v>0</v>
      </c>
      <c r="AN30" s="47">
        <f>VLOOKUP($C30,'Segment IFRS17'!$AD$460:$AI$531,4,0)/1000</f>
        <v>0</v>
      </c>
      <c r="AO30" s="47">
        <f>VLOOKUP($C30,'Segment IFRS17'!$AK$460:$AP$531,4,0)/1000</f>
        <v>0</v>
      </c>
      <c r="AP30" s="47">
        <f>VLOOKUP($C30,'Segment IFRS17'!$I$537:$N$608,4,0)/1000</f>
        <v>0</v>
      </c>
      <c r="AQ30" s="47">
        <f>VLOOKUP($C30,'Segment IFRS17'!$P$537:$U$608,4,0)/1000</f>
        <v>0</v>
      </c>
      <c r="AR30" s="47">
        <f>VLOOKUP($C30,'Segment IFRS17'!$AD$537:$AI$608,4,0)/1000</f>
        <v>0</v>
      </c>
      <c r="AS30" s="47">
        <f>VLOOKUP($C30,'Segment IFRS17'!$AK$537:$AP$608,4,0)/1000</f>
        <v>0</v>
      </c>
      <c r="AU30" s="47"/>
      <c r="AV30" s="47">
        <f t="shared" ref="AV30:BA30" si="52">AB30+AL30</f>
        <v>0</v>
      </c>
      <c r="AW30" s="47">
        <f t="shared" si="52"/>
        <v>0</v>
      </c>
      <c r="AX30" s="47">
        <f t="shared" si="52"/>
        <v>0</v>
      </c>
      <c r="AY30" s="47">
        <f t="shared" si="52"/>
        <v>0</v>
      </c>
      <c r="AZ30" s="47">
        <f t="shared" si="52"/>
        <v>0</v>
      </c>
      <c r="BA30" s="47">
        <f t="shared" si="52"/>
        <v>0</v>
      </c>
      <c r="BB30" s="47">
        <f>AH30+AR30</f>
        <v>0</v>
      </c>
      <c r="BC30" s="47">
        <f>AI30+AS30</f>
        <v>0</v>
      </c>
      <c r="BD30" s="173"/>
      <c r="BF30" s="47"/>
      <c r="BG30" s="47">
        <f>VLOOKUP($C30,'Segment IFRS17'!$I$460:$N$531,5,0)/1000</f>
        <v>-5277.73066958872</v>
      </c>
      <c r="BH30" s="47">
        <f>VLOOKUP($C30,'Segment IFRS17'!$P$460:$U$531,5,0)/1000</f>
        <v>-7796.4567577062526</v>
      </c>
      <c r="BI30" s="47">
        <f>VLOOKUP($C30,'Segment IFRS17'!$AD$460:$AI$531,5,0)/1000</f>
        <v>-5001.572152547702</v>
      </c>
      <c r="BJ30" s="47">
        <f>VLOOKUP($C30,'Segment IFRS17'!$AK$460:$AP$531,5,0)/1000</f>
        <v>-7301.1446161696012</v>
      </c>
      <c r="BK30" s="47">
        <f>VLOOKUP($C30,'Segment IFRS17'!$I$537:$N$608,5,0)/1000</f>
        <v>-6532.9895106317554</v>
      </c>
      <c r="BL30" s="47">
        <f>VLOOKUP($C30,'Segment IFRS17'!$P$537:$U$608,5,0)/1000</f>
        <v>-6374.7714867955592</v>
      </c>
      <c r="BM30" s="47">
        <f>VLOOKUP($C30,'Segment IFRS17'!$AD$537:$AI$608,5,0)/1000</f>
        <v>-6313.4917633443101</v>
      </c>
      <c r="BN30" s="47">
        <f>VLOOKUP($C30,'Segment IFRS17'!$AK$537:$AP$608,5,0)/1000</f>
        <v>-6152.6742823510467</v>
      </c>
    </row>
    <row r="32" spans="3:67" x14ac:dyDescent="0.3">
      <c r="C32" s="36" t="s">
        <v>0</v>
      </c>
      <c r="E32" s="203"/>
      <c r="F32" s="203">
        <f>VLOOKUP($C32,'Segment IFRS17'!$I$460:$N$531,6,0)/1000</f>
        <v>0</v>
      </c>
      <c r="G32" s="203">
        <f>VLOOKUP($C32,'Segment IFRS17'!$P$460:$U$531,6,0)/1000</f>
        <v>0</v>
      </c>
      <c r="H32" s="203">
        <f>VLOOKUP($C32,'Segment IFRS17'!$AD$460:$AI$531,6,0)/1000</f>
        <v>0</v>
      </c>
      <c r="I32" s="203">
        <f>VLOOKUP($C32,'Segment IFRS17'!$AK$460:$AP$531,6,0)/1000</f>
        <v>0</v>
      </c>
      <c r="J32" s="203">
        <f>VLOOKUP($C32,'Segment IFRS17'!$I$537:$N$608,6,0)/1000</f>
        <v>0</v>
      </c>
      <c r="K32" s="203">
        <f>VLOOKUP($C32,'Segment IFRS17'!$P$539:$U$600,6,0)/1000</f>
        <v>0</v>
      </c>
      <c r="L32" s="203">
        <f>VLOOKUP($C32,'Segment IFRS17'!$AD$539:$AI$600,6,0)/1000</f>
        <v>0</v>
      </c>
      <c r="M32" s="203">
        <f>VLOOKUP($C32,'Segment IFRS17'!$AK$539:$AP$600,6,0)/1000</f>
        <v>0</v>
      </c>
      <c r="P32" s="38"/>
      <c r="Q32" s="38">
        <f>VLOOKUP($C32,'Segment IFRS17'!$I$460:$N$531,2,0)/1000</f>
        <v>0</v>
      </c>
      <c r="R32" s="38">
        <f>VLOOKUP($C32,'Segment IFRS17'!$P$460:$U$531,2,0)/1000</f>
        <v>0</v>
      </c>
      <c r="S32" s="38">
        <f>VLOOKUP($C32,'Segment IFRS17'!$AD$460:$AI$531,2,0)/1000</f>
        <v>0</v>
      </c>
      <c r="T32" s="38">
        <f>VLOOKUP($C32,'Segment IFRS17'!$AK$460:$AP$531,2,0)/1000</f>
        <v>0</v>
      </c>
      <c r="U32" s="38">
        <f>VLOOKUP($C32,'Segment IFRS17'!$I$537:$N$608,2,0)/1000</f>
        <v>0</v>
      </c>
      <c r="V32" s="38">
        <f>VLOOKUP($C32,'Segment IFRS17'!$P$537:$U$608,2,0)/1000</f>
        <v>0</v>
      </c>
      <c r="W32" s="38">
        <f>VLOOKUP($C32,'Segment IFRS17'!$AD$537:$AI$608,2,0)/1000</f>
        <v>0</v>
      </c>
      <c r="X32" s="38">
        <f>VLOOKUP($C32,'Segment IFRS17'!$AK$537:$AP$608,2,0)/1000</f>
        <v>0</v>
      </c>
      <c r="Y32" s="132" t="e">
        <f>W32/S32-1</f>
        <v>#DIV/0!</v>
      </c>
      <c r="AA32" s="38"/>
      <c r="AB32" s="38">
        <f>VLOOKUP($C32,'Segment IFRS17'!$I$460:$N$531,3,0)/1000</f>
        <v>0</v>
      </c>
      <c r="AC32" s="38">
        <f>VLOOKUP($C32,'Segment IFRS17'!$P$460:$U$531,3,0)/1000</f>
        <v>0</v>
      </c>
      <c r="AD32" s="38">
        <f>VLOOKUP($C32,'Segment IFRS17'!$AD$460:$AI$531,3,0)/1000</f>
        <v>0</v>
      </c>
      <c r="AE32" s="38">
        <f>VLOOKUP($C32,'Segment IFRS17'!$AK$460:$AP$531,3,0)/1000</f>
        <v>0</v>
      </c>
      <c r="AF32" s="38">
        <f>VLOOKUP($C32,'Segment IFRS17'!$I$537:$N$608,3,0)/1000</f>
        <v>0</v>
      </c>
      <c r="AG32" s="38">
        <f>VLOOKUP($C32,'Segment IFRS17'!$P$537:$U$608,3,0)/1000</f>
        <v>0</v>
      </c>
      <c r="AH32" s="38">
        <f>VLOOKUP($C32,'Segment IFRS17'!$AD$537:$AI$608,3,0)/1000</f>
        <v>0</v>
      </c>
      <c r="AI32" s="38">
        <f>VLOOKUP($C32,'Segment IFRS17'!$AK$537:$AP$608,3,0)/1000</f>
        <v>0</v>
      </c>
      <c r="AK32" s="38"/>
      <c r="AL32" s="38">
        <f>VLOOKUP($C32,'Segment IFRS17'!$I$460:$N$531,4,0)/1000</f>
        <v>0</v>
      </c>
      <c r="AM32" s="38">
        <f>VLOOKUP($C32,'Segment IFRS17'!$P$460:$U$531,4,0)/1000</f>
        <v>0</v>
      </c>
      <c r="AN32" s="38">
        <f>VLOOKUP($C32,'Segment IFRS17'!$AD$460:$AI$531,4,0)/1000</f>
        <v>0</v>
      </c>
      <c r="AO32" s="38">
        <f>VLOOKUP($C32,'Segment IFRS17'!$AK$460:$AP$531,4,0)/1000</f>
        <v>0</v>
      </c>
      <c r="AP32" s="38">
        <f>VLOOKUP($C32,'Segment IFRS17'!$I$537:$N$608,4,0)/1000</f>
        <v>0</v>
      </c>
      <c r="AQ32" s="38">
        <f>VLOOKUP($C32,'Segment IFRS17'!$P$537:$U$608,4,0)/1000</f>
        <v>0</v>
      </c>
      <c r="AR32" s="38">
        <f>VLOOKUP($C32,'Segment IFRS17'!$AD$537:$AI$608,4,0)/1000</f>
        <v>0</v>
      </c>
      <c r="AS32" s="38">
        <f>VLOOKUP($C32,'Segment IFRS17'!$AK$537:$AP$608,4,0)/1000</f>
        <v>0</v>
      </c>
      <c r="AU32" s="38"/>
      <c r="AV32" s="38">
        <f t="shared" ref="AV32:BC33" si="53">AB32+AL32</f>
        <v>0</v>
      </c>
      <c r="AW32" s="38">
        <f t="shared" si="53"/>
        <v>0</v>
      </c>
      <c r="AX32" s="38">
        <f t="shared" si="53"/>
        <v>0</v>
      </c>
      <c r="AY32" s="38">
        <f t="shared" si="53"/>
        <v>0</v>
      </c>
      <c r="AZ32" s="38">
        <f t="shared" si="53"/>
        <v>0</v>
      </c>
      <c r="BA32" s="38">
        <f t="shared" si="53"/>
        <v>0</v>
      </c>
      <c r="BB32" s="38">
        <f t="shared" si="53"/>
        <v>0</v>
      </c>
      <c r="BC32" s="38">
        <f t="shared" si="53"/>
        <v>0</v>
      </c>
      <c r="BF32" s="38"/>
      <c r="BG32" s="38">
        <f>VLOOKUP($C32,'Segment IFRS17'!$I$460:$N$531,5,0)/1000</f>
        <v>0</v>
      </c>
      <c r="BH32" s="38">
        <f>VLOOKUP($C32,'Segment IFRS17'!$P$460:$U$531,5,0)/1000</f>
        <v>0</v>
      </c>
      <c r="BI32" s="38">
        <f>VLOOKUP($C32,'Segment IFRS17'!$AD$460:$AI$531,5,0)/1000</f>
        <v>0</v>
      </c>
      <c r="BJ32" s="38">
        <f>VLOOKUP($C32,'Segment IFRS17'!$AK$460:$AP$531,5,0)/1000</f>
        <v>0</v>
      </c>
      <c r="BK32" s="38">
        <f>VLOOKUP($C32,'Segment IFRS17'!$I$537:$N$608,5,0)/1000</f>
        <v>0</v>
      </c>
      <c r="BL32" s="38">
        <f>VLOOKUP($C32,'Segment IFRS17'!$P$537:$U$608,5,0)/1000</f>
        <v>0</v>
      </c>
      <c r="BM32" s="38">
        <f>VLOOKUP($C32,'Segment IFRS17'!$AD$537:$AI$608,5,0)/1000</f>
        <v>0</v>
      </c>
      <c r="BN32" s="38">
        <f>VLOOKUP($C32,'Segment IFRS17'!$AK$537:$AP$608,5,0)/1000</f>
        <v>0</v>
      </c>
    </row>
    <row r="33" spans="3:67" x14ac:dyDescent="0.3">
      <c r="C33" s="36" t="s">
        <v>2</v>
      </c>
      <c r="E33" s="203"/>
      <c r="F33" s="203">
        <f>VLOOKUP($C33,'Segment IFRS17'!$I$460:$N$531,6,0)/1000</f>
        <v>-4.6999999999999999E-4</v>
      </c>
      <c r="G33" s="203">
        <f>VLOOKUP($C33,'Segment IFRS17'!$P$460:$U$531,6,0)/1000</f>
        <v>0</v>
      </c>
      <c r="H33" s="203">
        <f>VLOOKUP($C33,'Segment IFRS17'!$AD$460:$AI$531,6,0)/1000</f>
        <v>0</v>
      </c>
      <c r="I33" s="203">
        <f>VLOOKUP($C33,'Segment IFRS17'!$AK$460:$AP$531,6,0)/1000</f>
        <v>-5.0000000000000043E-5</v>
      </c>
      <c r="J33" s="203">
        <f>VLOOKUP($C33,'Segment IFRS17'!$I$537:$N$608,6,0)/1000</f>
        <v>-4.6999999999999999E-4</v>
      </c>
      <c r="K33" s="203">
        <f>VLOOKUP($C33,'Segment IFRS17'!$P$539:$U$600,6,0)/1000</f>
        <v>0</v>
      </c>
      <c r="L33" s="203">
        <f>VLOOKUP($C33,'Segment IFRS17'!$AD$539:$AI$600,6,0)/1000</f>
        <v>0</v>
      </c>
      <c r="M33" s="203">
        <f>VLOOKUP($C33,'Segment IFRS17'!$AK$539:$AP$600,6,0)/1000</f>
        <v>0</v>
      </c>
      <c r="N33" s="132">
        <f>M33/I33-1</f>
        <v>-1</v>
      </c>
      <c r="P33" s="38"/>
      <c r="Q33" s="38">
        <f>VLOOKUP($C33,'Segment IFRS17'!$I$460:$N$531,2,0)/1000</f>
        <v>-4.6999999999999999E-4</v>
      </c>
      <c r="R33" s="38">
        <f>VLOOKUP($C33,'Segment IFRS17'!$P$460:$U$531,2,0)/1000</f>
        <v>0</v>
      </c>
      <c r="S33" s="38">
        <f>VLOOKUP($C33,'Segment IFRS17'!$AD$460:$AI$531,2,0)/1000</f>
        <v>0</v>
      </c>
      <c r="T33" s="38">
        <f>VLOOKUP($C33,'Segment IFRS17'!$AK$460:$AP$531,2,0)/1000</f>
        <v>-5.0000000000000043E-5</v>
      </c>
      <c r="U33" s="38">
        <f>VLOOKUP($C33,'Segment IFRS17'!$I$537:$N$608,2,0)/1000</f>
        <v>-4.6999999999999999E-4</v>
      </c>
      <c r="V33" s="38">
        <f>VLOOKUP($C33,'Segment IFRS17'!$P$537:$U$608,2,0)/1000</f>
        <v>0</v>
      </c>
      <c r="W33" s="38">
        <f>VLOOKUP($C33,'Segment IFRS17'!$AD$537:$AI$608,2,0)/1000</f>
        <v>0</v>
      </c>
      <c r="X33" s="38">
        <f>VLOOKUP($C33,'Segment IFRS17'!$AK$537:$AP$608,2,0)/1000</f>
        <v>0</v>
      </c>
      <c r="Y33" s="132" t="e">
        <f>W33/S33-1</f>
        <v>#DIV/0!</v>
      </c>
      <c r="AA33" s="38"/>
      <c r="AB33" s="38">
        <f>VLOOKUP($C33,'Segment IFRS17'!$I$460:$N$531,3,0)/1000</f>
        <v>0</v>
      </c>
      <c r="AC33" s="38">
        <f>VLOOKUP($C33,'Segment IFRS17'!$P$460:$U$531,3,0)/1000</f>
        <v>0</v>
      </c>
      <c r="AD33" s="38">
        <f>VLOOKUP($C33,'Segment IFRS17'!$AD$460:$AI$531,3,0)/1000</f>
        <v>0</v>
      </c>
      <c r="AE33" s="38">
        <f>VLOOKUP($C33,'Segment IFRS17'!$AK$460:$AP$531,3,0)/1000</f>
        <v>0</v>
      </c>
      <c r="AF33" s="38">
        <f>VLOOKUP($C33,'Segment IFRS17'!$I$537:$N$608,3,0)/1000</f>
        <v>0</v>
      </c>
      <c r="AG33" s="38">
        <f>VLOOKUP($C33,'Segment IFRS17'!$P$537:$U$608,3,0)/1000</f>
        <v>0</v>
      </c>
      <c r="AH33" s="38">
        <f>VLOOKUP($C33,'Segment IFRS17'!$AD$537:$AI$608,3,0)/1000</f>
        <v>0</v>
      </c>
      <c r="AI33" s="38">
        <f>VLOOKUP($C33,'Segment IFRS17'!$AK$537:$AP$608,3,0)/1000</f>
        <v>0</v>
      </c>
      <c r="AK33" s="38"/>
      <c r="AL33" s="38">
        <f>VLOOKUP($C33,'Segment IFRS17'!$I$460:$N$531,4,0)/1000</f>
        <v>0</v>
      </c>
      <c r="AM33" s="38">
        <f>VLOOKUP($C33,'Segment IFRS17'!$P$460:$U$531,4,0)/1000</f>
        <v>0</v>
      </c>
      <c r="AN33" s="38">
        <f>VLOOKUP($C33,'Segment IFRS17'!$AD$460:$AI$531,4,0)/1000</f>
        <v>0</v>
      </c>
      <c r="AO33" s="38">
        <f>VLOOKUP($C33,'Segment IFRS17'!$AK$460:$AP$531,4,0)/1000</f>
        <v>0</v>
      </c>
      <c r="AP33" s="38">
        <f>VLOOKUP($C33,'Segment IFRS17'!$I$537:$N$608,4,0)/1000</f>
        <v>0</v>
      </c>
      <c r="AQ33" s="38">
        <f>VLOOKUP($C33,'Segment IFRS17'!$P$537:$U$608,4,0)/1000</f>
        <v>0</v>
      </c>
      <c r="AR33" s="38">
        <f>VLOOKUP($C33,'Segment IFRS17'!$AD$537:$AI$608,4,0)/1000</f>
        <v>0</v>
      </c>
      <c r="AS33" s="38">
        <f>VLOOKUP($C33,'Segment IFRS17'!$AK$537:$AP$608,4,0)/1000</f>
        <v>0</v>
      </c>
      <c r="AU33" s="38"/>
      <c r="AV33" s="38">
        <f t="shared" si="53"/>
        <v>0</v>
      </c>
      <c r="AW33" s="38">
        <f t="shared" si="53"/>
        <v>0</v>
      </c>
      <c r="AX33" s="38">
        <f t="shared" si="53"/>
        <v>0</v>
      </c>
      <c r="AY33" s="38">
        <f t="shared" si="53"/>
        <v>0</v>
      </c>
      <c r="AZ33" s="38">
        <f t="shared" si="53"/>
        <v>0</v>
      </c>
      <c r="BA33" s="38">
        <f t="shared" si="53"/>
        <v>0</v>
      </c>
      <c r="BB33" s="38">
        <f t="shared" si="53"/>
        <v>0</v>
      </c>
      <c r="BC33" s="38">
        <f t="shared" si="53"/>
        <v>0</v>
      </c>
      <c r="BF33" s="38"/>
      <c r="BG33" s="38">
        <f>VLOOKUP($C33,'Segment IFRS17'!$I$460:$N$531,5,0)/1000</f>
        <v>0</v>
      </c>
      <c r="BH33" s="38">
        <f>VLOOKUP($C33,'Segment IFRS17'!$P$460:$U$531,5,0)/1000</f>
        <v>0</v>
      </c>
      <c r="BI33" s="38">
        <f>VLOOKUP($C33,'Segment IFRS17'!$AD$460:$AI$531,5,0)/1000</f>
        <v>0</v>
      </c>
      <c r="BJ33" s="38">
        <f>VLOOKUP($C33,'Segment IFRS17'!$AK$460:$AP$531,5,0)/1000</f>
        <v>0</v>
      </c>
      <c r="BK33" s="38">
        <f>VLOOKUP($C33,'Segment IFRS17'!$I$537:$N$608,5,0)/1000</f>
        <v>0</v>
      </c>
      <c r="BL33" s="38">
        <f>VLOOKUP($C33,'Segment IFRS17'!$P$537:$U$608,5,0)/1000</f>
        <v>0</v>
      </c>
      <c r="BM33" s="38">
        <f>VLOOKUP($C33,'Segment IFRS17'!$AD$537:$AI$608,5,0)/1000</f>
        <v>0</v>
      </c>
      <c r="BN33" s="38">
        <f>VLOOKUP($C33,'Segment IFRS17'!$AK$537:$AP$608,5,0)/1000</f>
        <v>0</v>
      </c>
    </row>
    <row r="34" spans="3:67" x14ac:dyDescent="0.3">
      <c r="C34" s="43" t="s">
        <v>21</v>
      </c>
      <c r="D34" s="111"/>
      <c r="E34" s="44"/>
      <c r="F34" s="44">
        <f t="shared" ref="F34:M34" si="54">SUM(F32:F33)</f>
        <v>-4.6999999999999999E-4</v>
      </c>
      <c r="G34" s="44">
        <f t="shared" si="54"/>
        <v>0</v>
      </c>
      <c r="H34" s="44">
        <f t="shared" si="54"/>
        <v>0</v>
      </c>
      <c r="I34" s="44">
        <f t="shared" si="54"/>
        <v>-5.0000000000000043E-5</v>
      </c>
      <c r="J34" s="44">
        <f t="shared" si="54"/>
        <v>-4.6999999999999999E-4</v>
      </c>
      <c r="K34" s="44">
        <f t="shared" si="54"/>
        <v>0</v>
      </c>
      <c r="L34" s="44">
        <f t="shared" si="54"/>
        <v>0</v>
      </c>
      <c r="M34" s="44">
        <f t="shared" si="54"/>
        <v>0</v>
      </c>
      <c r="N34" s="170"/>
      <c r="P34" s="44"/>
      <c r="Q34" s="44">
        <f t="shared" ref="Q34:X34" si="55">SUM(Q32:Q33)</f>
        <v>-4.6999999999999999E-4</v>
      </c>
      <c r="R34" s="44">
        <f t="shared" si="55"/>
        <v>0</v>
      </c>
      <c r="S34" s="44">
        <f t="shared" si="55"/>
        <v>0</v>
      </c>
      <c r="T34" s="44">
        <f t="shared" si="55"/>
        <v>-5.0000000000000043E-5</v>
      </c>
      <c r="U34" s="44">
        <f t="shared" si="55"/>
        <v>-4.6999999999999999E-4</v>
      </c>
      <c r="V34" s="44">
        <f t="shared" si="55"/>
        <v>0</v>
      </c>
      <c r="W34" s="44">
        <f t="shared" si="55"/>
        <v>0</v>
      </c>
      <c r="X34" s="44">
        <f t="shared" si="55"/>
        <v>0</v>
      </c>
      <c r="Y34" s="170"/>
      <c r="Z34" s="49"/>
      <c r="AA34" s="44"/>
      <c r="AB34" s="44">
        <f t="shared" ref="AB34:AI34" si="56">SUM(AB32:AB33)</f>
        <v>0</v>
      </c>
      <c r="AC34" s="44">
        <f t="shared" si="56"/>
        <v>0</v>
      </c>
      <c r="AD34" s="44">
        <f t="shared" si="56"/>
        <v>0</v>
      </c>
      <c r="AE34" s="44">
        <f t="shared" si="56"/>
        <v>0</v>
      </c>
      <c r="AF34" s="44">
        <f t="shared" si="56"/>
        <v>0</v>
      </c>
      <c r="AG34" s="44">
        <f t="shared" si="56"/>
        <v>0</v>
      </c>
      <c r="AH34" s="44">
        <f t="shared" si="56"/>
        <v>0</v>
      </c>
      <c r="AI34" s="44">
        <f t="shared" si="56"/>
        <v>0</v>
      </c>
      <c r="AJ34" s="49"/>
      <c r="AK34" s="44"/>
      <c r="AL34" s="44">
        <f t="shared" ref="AL34:AS34" si="57">SUM(AL32:AL33)</f>
        <v>0</v>
      </c>
      <c r="AM34" s="44">
        <f t="shared" si="57"/>
        <v>0</v>
      </c>
      <c r="AN34" s="44">
        <f t="shared" si="57"/>
        <v>0</v>
      </c>
      <c r="AO34" s="44">
        <f t="shared" si="57"/>
        <v>0</v>
      </c>
      <c r="AP34" s="44">
        <f t="shared" si="57"/>
        <v>0</v>
      </c>
      <c r="AQ34" s="44">
        <f t="shared" si="57"/>
        <v>0</v>
      </c>
      <c r="AR34" s="44">
        <f t="shared" si="57"/>
        <v>0</v>
      </c>
      <c r="AS34" s="44">
        <f t="shared" si="57"/>
        <v>0</v>
      </c>
      <c r="AT34" s="49"/>
      <c r="AU34" s="44"/>
      <c r="AV34" s="44">
        <f t="shared" ref="AV34:BC34" si="58">SUM(AV32:AV33)</f>
        <v>0</v>
      </c>
      <c r="AW34" s="44">
        <f t="shared" si="58"/>
        <v>0</v>
      </c>
      <c r="AX34" s="44">
        <f t="shared" si="58"/>
        <v>0</v>
      </c>
      <c r="AY34" s="44">
        <f t="shared" si="58"/>
        <v>0</v>
      </c>
      <c r="AZ34" s="44">
        <f t="shared" si="58"/>
        <v>0</v>
      </c>
      <c r="BA34" s="44">
        <f t="shared" si="58"/>
        <v>0</v>
      </c>
      <c r="BB34" s="44">
        <f t="shared" si="58"/>
        <v>0</v>
      </c>
      <c r="BC34" s="44">
        <f t="shared" si="58"/>
        <v>0</v>
      </c>
      <c r="BD34" s="170"/>
      <c r="BE34" s="49"/>
      <c r="BF34" s="44"/>
      <c r="BG34" s="44">
        <f t="shared" ref="BG34:BN34" si="59">SUM(BG32:BG33)</f>
        <v>0</v>
      </c>
      <c r="BH34" s="44">
        <f t="shared" si="59"/>
        <v>0</v>
      </c>
      <c r="BI34" s="44">
        <f t="shared" si="59"/>
        <v>0</v>
      </c>
      <c r="BJ34" s="44">
        <f t="shared" si="59"/>
        <v>0</v>
      </c>
      <c r="BK34" s="44">
        <f t="shared" si="59"/>
        <v>0</v>
      </c>
      <c r="BL34" s="44">
        <f t="shared" si="59"/>
        <v>0</v>
      </c>
      <c r="BM34" s="44">
        <f t="shared" si="59"/>
        <v>0</v>
      </c>
      <c r="BN34" s="44">
        <f t="shared" si="59"/>
        <v>0</v>
      </c>
      <c r="BO34" s="49"/>
    </row>
    <row r="35" spans="3:67" ht="13.5" thickBot="1" x14ac:dyDescent="0.35">
      <c r="C35" s="50" t="s">
        <v>22</v>
      </c>
      <c r="D35" s="114"/>
      <c r="E35" s="52"/>
      <c r="F35" s="52">
        <f t="shared" ref="F35:M35" si="60">F18+F27+F11+F30+F34</f>
        <v>323688.67206599872</v>
      </c>
      <c r="G35" s="52">
        <f t="shared" si="60"/>
        <v>421841.1109630125</v>
      </c>
      <c r="H35" s="52">
        <f t="shared" si="60"/>
        <v>589265.64336082886</v>
      </c>
      <c r="I35" s="52">
        <f t="shared" si="60"/>
        <v>644482.93711314967</v>
      </c>
      <c r="J35" s="52">
        <f t="shared" si="60"/>
        <v>369616.13854108</v>
      </c>
      <c r="K35" s="52">
        <f t="shared" si="60"/>
        <v>609041.7346465122</v>
      </c>
      <c r="L35" s="52">
        <f t="shared" si="60"/>
        <v>644241.05595424341</v>
      </c>
      <c r="M35" s="52">
        <f t="shared" si="60"/>
        <v>583686.22843155731</v>
      </c>
      <c r="N35" s="174">
        <f>M35/I35-1</f>
        <v>-9.4334085792745381E-2</v>
      </c>
      <c r="O35" s="132">
        <f>K35/J35-1</f>
        <v>0.64776824153424206</v>
      </c>
      <c r="P35" s="51"/>
      <c r="Q35" s="51">
        <f t="shared" ref="Q35:X35" si="61">Q18+Q27+Q11+Q30+Q34</f>
        <v>325078.78242558753</v>
      </c>
      <c r="R35" s="51">
        <f t="shared" si="61"/>
        <v>425382.30976071878</v>
      </c>
      <c r="S35" s="51">
        <f t="shared" si="61"/>
        <v>589411.9955533765</v>
      </c>
      <c r="T35" s="51">
        <f t="shared" si="61"/>
        <v>646937.03025931935</v>
      </c>
      <c r="U35" s="51">
        <f t="shared" si="61"/>
        <v>371919.99328171177</v>
      </c>
      <c r="V35" s="51">
        <f t="shared" si="61"/>
        <v>611045.42782330769</v>
      </c>
      <c r="W35" s="51">
        <f t="shared" si="61"/>
        <v>646751.44270758773</v>
      </c>
      <c r="X35" s="51">
        <f t="shared" si="61"/>
        <v>585624.98882390838</v>
      </c>
      <c r="Y35" s="174">
        <f>W35/S35-1</f>
        <v>9.7282457070418715E-2</v>
      </c>
      <c r="Z35" s="204"/>
      <c r="AA35" s="51"/>
      <c r="AB35" s="51">
        <f t="shared" ref="AB35:AI35" si="62">AB18+AB27+AB11+AB30+AB34</f>
        <v>0</v>
      </c>
      <c r="AC35" s="51">
        <f t="shared" si="62"/>
        <v>0</v>
      </c>
      <c r="AD35" s="51">
        <f t="shared" si="62"/>
        <v>0</v>
      </c>
      <c r="AE35" s="51">
        <f t="shared" si="62"/>
        <v>0</v>
      </c>
      <c r="AF35" s="51">
        <f t="shared" si="62"/>
        <v>0</v>
      </c>
      <c r="AG35" s="51">
        <f t="shared" si="62"/>
        <v>0</v>
      </c>
      <c r="AH35" s="51">
        <f t="shared" si="62"/>
        <v>0</v>
      </c>
      <c r="AI35" s="51">
        <f t="shared" si="62"/>
        <v>0</v>
      </c>
      <c r="AJ35" s="53"/>
      <c r="AK35" s="51"/>
      <c r="AL35" s="51">
        <f t="shared" ref="AL35:AS35" si="63">AL18+AL27+AL11+AL30+AL34</f>
        <v>0</v>
      </c>
      <c r="AM35" s="51">
        <f t="shared" si="63"/>
        <v>0</v>
      </c>
      <c r="AN35" s="51">
        <f t="shared" si="63"/>
        <v>0</v>
      </c>
      <c r="AO35" s="51">
        <f t="shared" si="63"/>
        <v>0</v>
      </c>
      <c r="AP35" s="51">
        <f t="shared" si="63"/>
        <v>0</v>
      </c>
      <c r="AQ35" s="51">
        <f t="shared" si="63"/>
        <v>0</v>
      </c>
      <c r="AR35" s="51">
        <f t="shared" si="63"/>
        <v>0</v>
      </c>
      <c r="AS35" s="51">
        <f t="shared" si="63"/>
        <v>0</v>
      </c>
      <c r="AT35" s="53"/>
      <c r="AU35" s="51"/>
      <c r="AV35" s="51">
        <f t="shared" ref="AV35:BC35" si="64">AV18+AV27+AV11+AV30+AV34</f>
        <v>0</v>
      </c>
      <c r="AW35" s="51">
        <f t="shared" si="64"/>
        <v>0</v>
      </c>
      <c r="AX35" s="51">
        <f t="shared" si="64"/>
        <v>0</v>
      </c>
      <c r="AY35" s="51">
        <f t="shared" si="64"/>
        <v>0</v>
      </c>
      <c r="AZ35" s="51">
        <f t="shared" si="64"/>
        <v>0</v>
      </c>
      <c r="BA35" s="51">
        <f t="shared" si="64"/>
        <v>0</v>
      </c>
      <c r="BB35" s="51">
        <f t="shared" si="64"/>
        <v>0</v>
      </c>
      <c r="BC35" s="51">
        <f t="shared" si="64"/>
        <v>0</v>
      </c>
      <c r="BD35" s="174"/>
      <c r="BE35" s="53"/>
      <c r="BF35" s="51"/>
      <c r="BG35" s="51">
        <f t="shared" ref="BG35:BN35" si="65">BG18+BG27+BG11+BG30+BG34</f>
        <v>-1390.1103595887198</v>
      </c>
      <c r="BH35" s="51">
        <f t="shared" si="65"/>
        <v>-3541.1987977062536</v>
      </c>
      <c r="BI35" s="51">
        <f t="shared" si="65"/>
        <v>-146.35219254770254</v>
      </c>
      <c r="BJ35" s="51">
        <f t="shared" si="65"/>
        <v>-2454.0931461696009</v>
      </c>
      <c r="BK35" s="51">
        <f t="shared" si="65"/>
        <v>-2303.8547406317548</v>
      </c>
      <c r="BL35" s="51">
        <f t="shared" si="65"/>
        <v>-2003.6931767955602</v>
      </c>
      <c r="BM35" s="51">
        <f t="shared" si="65"/>
        <v>-2510.3867533443099</v>
      </c>
      <c r="BN35" s="51">
        <f t="shared" si="65"/>
        <v>-1938.760392351046</v>
      </c>
      <c r="BO35" s="53"/>
    </row>
    <row r="36" spans="3:67" ht="13.5" thickTop="1" x14ac:dyDescent="0.3">
      <c r="C36" s="39" t="s">
        <v>58</v>
      </c>
      <c r="D36" s="109"/>
      <c r="E36" s="41"/>
      <c r="F36" s="41">
        <f t="shared" ref="F36:M36" si="66">(F35-F24-F17-F15-F10)/1000</f>
        <v>794.21801318599864</v>
      </c>
      <c r="G36" s="41">
        <f t="shared" si="66"/>
        <v>834.21645480301243</v>
      </c>
      <c r="H36" s="41">
        <f t="shared" si="66"/>
        <v>1040.1023661317422</v>
      </c>
      <c r="I36" s="41">
        <f t="shared" si="66"/>
        <v>1189.546626974686</v>
      </c>
      <c r="J36" s="41">
        <f t="shared" si="66"/>
        <v>908.06530200567909</v>
      </c>
      <c r="K36" s="41">
        <f t="shared" si="66"/>
        <v>1161.6000941133054</v>
      </c>
      <c r="L36" s="41">
        <f t="shared" si="66"/>
        <v>1199.0172156623362</v>
      </c>
      <c r="M36" s="41">
        <f t="shared" si="66"/>
        <v>1115.1535681257808</v>
      </c>
      <c r="N36" s="169">
        <f>M36/I36-1</f>
        <v>-6.2539001970948638E-2</v>
      </c>
      <c r="P36" s="41"/>
      <c r="Q36" s="41">
        <f t="shared" ref="Q36:X36" si="67">(Q35-Q24-Q17-Q15-Q10)/1000</f>
        <v>795.59534125558741</v>
      </c>
      <c r="R36" s="41">
        <f t="shared" si="67"/>
        <v>837.74308131071871</v>
      </c>
      <c r="S36" s="41">
        <f t="shared" si="67"/>
        <v>1040.2275771742898</v>
      </c>
      <c r="T36" s="41">
        <f t="shared" si="67"/>
        <v>1191.9696105608559</v>
      </c>
      <c r="U36" s="41">
        <f t="shared" si="67"/>
        <v>910.34099585631088</v>
      </c>
      <c r="V36" s="41">
        <f t="shared" si="67"/>
        <v>1163.579633860101</v>
      </c>
      <c r="W36" s="41">
        <f t="shared" si="67"/>
        <v>1201.4949976356804</v>
      </c>
      <c r="X36" s="41">
        <f t="shared" si="67"/>
        <v>1117.0498969681319</v>
      </c>
      <c r="Y36" s="169">
        <f>W36/S36-1</f>
        <v>0.1550309028524921</v>
      </c>
      <c r="AA36" s="41"/>
      <c r="AB36" s="41"/>
      <c r="AC36" s="41"/>
      <c r="AD36" s="41"/>
      <c r="AE36" s="41"/>
      <c r="AF36" s="41"/>
      <c r="AG36" s="41"/>
      <c r="AH36" s="41"/>
      <c r="AI36" s="41"/>
      <c r="AK36" s="41"/>
      <c r="AL36" s="41"/>
      <c r="AM36" s="41"/>
      <c r="AN36" s="41"/>
      <c r="AO36" s="41"/>
      <c r="AP36" s="41"/>
      <c r="AQ36" s="41"/>
      <c r="AR36" s="41"/>
      <c r="AS36" s="41"/>
      <c r="AU36" s="41"/>
      <c r="AV36" s="41"/>
      <c r="AW36" s="41"/>
      <c r="AX36" s="41"/>
      <c r="AY36" s="41"/>
      <c r="AZ36" s="41"/>
      <c r="BA36" s="41"/>
      <c r="BB36" s="41"/>
      <c r="BC36" s="41"/>
      <c r="BD36" s="169"/>
      <c r="BF36" s="41"/>
      <c r="BG36" s="41">
        <f t="shared" ref="BG36:BN36" si="68">(BG35-BG24-BG17-BG15-BG10)/1000</f>
        <v>-1.3773280695887198</v>
      </c>
      <c r="BH36" s="41">
        <f t="shared" si="68"/>
        <v>-3.5266265077062533</v>
      </c>
      <c r="BI36" s="41">
        <f t="shared" si="68"/>
        <v>-0.12521104254770254</v>
      </c>
      <c r="BJ36" s="41">
        <f t="shared" si="68"/>
        <v>-2.4229835861696012</v>
      </c>
      <c r="BK36" s="41">
        <f t="shared" si="68"/>
        <v>-2.2756938506317548</v>
      </c>
      <c r="BL36" s="41">
        <f t="shared" si="68"/>
        <v>-1.9795397467955602</v>
      </c>
      <c r="BM36" s="41">
        <f t="shared" si="68"/>
        <v>-2.4777819733443098</v>
      </c>
      <c r="BN36" s="41">
        <f t="shared" si="68"/>
        <v>-1.896328842351046</v>
      </c>
    </row>
    <row r="37" spans="3:67" x14ac:dyDescent="0.3">
      <c r="C37" s="39" t="s">
        <v>59</v>
      </c>
      <c r="D37" s="109"/>
      <c r="E37" s="40"/>
      <c r="F37" s="40">
        <f t="shared" ref="F37:M37" si="69">(F36*1000)/F139</f>
        <v>0.30695510686723732</v>
      </c>
      <c r="G37" s="40">
        <f t="shared" si="69"/>
        <v>0.38248287454488794</v>
      </c>
      <c r="H37" s="40">
        <f t="shared" si="69"/>
        <v>0.29264612868356193</v>
      </c>
      <c r="I37" s="40">
        <f t="shared" si="69"/>
        <v>0.3596209132604945</v>
      </c>
      <c r="J37" s="40">
        <f t="shared" si="69"/>
        <v>0.43994036278015841</v>
      </c>
      <c r="K37" s="40">
        <f t="shared" si="69"/>
        <v>0.38056256088411627</v>
      </c>
      <c r="L37" s="40">
        <f t="shared" si="69"/>
        <v>0.35301460682352387</v>
      </c>
      <c r="M37" s="40">
        <f t="shared" si="69"/>
        <v>0.33859784865917891</v>
      </c>
      <c r="N37" s="169"/>
      <c r="P37" s="40"/>
      <c r="Q37" s="40">
        <f t="shared" ref="Q37:X37" si="70">(Q36*1000)/Q139</f>
        <v>0.30748742655499645</v>
      </c>
      <c r="R37" s="40">
        <f t="shared" si="70"/>
        <v>0.38409981009722272</v>
      </c>
      <c r="S37" s="40">
        <f t="shared" si="70"/>
        <v>0.2926813584148491</v>
      </c>
      <c r="T37" s="40">
        <f t="shared" si="70"/>
        <v>0.36035342390809277</v>
      </c>
      <c r="U37" s="40">
        <f t="shared" si="70"/>
        <v>0.44104289315546535</v>
      </c>
      <c r="V37" s="40">
        <f t="shared" si="70"/>
        <v>0.38121109622707133</v>
      </c>
      <c r="W37" s="40">
        <f t="shared" si="70"/>
        <v>0.35374411530571137</v>
      </c>
      <c r="X37" s="40">
        <f t="shared" si="70"/>
        <v>0.33917363739780937</v>
      </c>
      <c r="Y37" s="169"/>
      <c r="AA37" s="40"/>
      <c r="AB37" s="40"/>
      <c r="AC37" s="40"/>
      <c r="AD37" s="40"/>
      <c r="AE37" s="40"/>
      <c r="AF37" s="40"/>
      <c r="AG37" s="40"/>
      <c r="AH37" s="40"/>
      <c r="AI37" s="40"/>
      <c r="AK37" s="40"/>
      <c r="AL37" s="40"/>
      <c r="AM37" s="40"/>
      <c r="AN37" s="40"/>
      <c r="AO37" s="40"/>
      <c r="AP37" s="40"/>
      <c r="AQ37" s="40"/>
      <c r="AR37" s="40"/>
      <c r="AS37" s="40"/>
      <c r="AU37" s="40"/>
      <c r="AV37" s="40"/>
      <c r="AW37" s="40"/>
      <c r="AX37" s="40"/>
      <c r="AY37" s="40"/>
      <c r="AZ37" s="40"/>
      <c r="BA37" s="40"/>
      <c r="BB37" s="40"/>
      <c r="BC37" s="40"/>
      <c r="BD37" s="169"/>
      <c r="BF37" s="40"/>
      <c r="BG37" s="40">
        <f t="shared" ref="BG37:BN37" si="71">(BG36*1000)/BG139</f>
        <v>-5.3231968775913465E-4</v>
      </c>
      <c r="BH37" s="40">
        <f t="shared" si="71"/>
        <v>-1.6169355523347995E-3</v>
      </c>
      <c r="BI37" s="40">
        <f t="shared" si="71"/>
        <v>-3.5229731287215114E-5</v>
      </c>
      <c r="BJ37" s="40">
        <f t="shared" si="71"/>
        <v>-7.3251064759821541E-4</v>
      </c>
      <c r="BK37" s="40">
        <f t="shared" si="71"/>
        <v>-1.1025303753069164E-3</v>
      </c>
      <c r="BL37" s="40">
        <f t="shared" si="71"/>
        <v>-6.485353429550694E-4</v>
      </c>
      <c r="BM37" s="40">
        <f t="shared" si="71"/>
        <v>-7.2950848218753612E-4</v>
      </c>
      <c r="BN37" s="40">
        <f t="shared" si="71"/>
        <v>-5.7578873863047366E-4</v>
      </c>
    </row>
    <row r="38" spans="3:67" x14ac:dyDescent="0.3">
      <c r="C38" s="39" t="s">
        <v>60</v>
      </c>
      <c r="D38" s="109"/>
      <c r="E38" s="40"/>
      <c r="F38" s="40">
        <f t="shared" ref="F38:M38" si="72">(F36*1000)/AVERAGE(E123:F123)*4</f>
        <v>0.15125734927934611</v>
      </c>
      <c r="G38" s="40">
        <f t="shared" si="72"/>
        <v>0.16193157724114482</v>
      </c>
      <c r="H38" s="40">
        <f t="shared" si="72"/>
        <v>0.20205236618075512</v>
      </c>
      <c r="I38" s="40">
        <f t="shared" si="72"/>
        <v>0.22690843658133625</v>
      </c>
      <c r="J38" s="40">
        <f t="shared" si="72"/>
        <v>0.17555540232912323</v>
      </c>
      <c r="K38" s="40">
        <f t="shared" si="72"/>
        <v>0.22932622678578532</v>
      </c>
      <c r="L38" s="40">
        <f t="shared" si="72"/>
        <v>0.23870629651975253</v>
      </c>
      <c r="M38" s="40">
        <f t="shared" si="72"/>
        <v>0.22504582322388439</v>
      </c>
      <c r="N38" s="169"/>
      <c r="P38" s="40"/>
      <c r="Q38" s="40">
        <f t="shared" ref="Q38:X38" si="73">(Q36*1000)/AVERAGE(P123:Q123)*4</f>
        <v>0.1515196588586244</v>
      </c>
      <c r="R38" s="40">
        <f t="shared" si="73"/>
        <v>0.16261613841162442</v>
      </c>
      <c r="S38" s="40">
        <f t="shared" si="73"/>
        <v>0.20207668992834235</v>
      </c>
      <c r="T38" s="40">
        <f t="shared" si="73"/>
        <v>0.2273706256245672</v>
      </c>
      <c r="U38" s="40">
        <f t="shared" si="73"/>
        <v>0.17599536005974367</v>
      </c>
      <c r="V38" s="40">
        <f t="shared" si="73"/>
        <v>0.22971703286716019</v>
      </c>
      <c r="W38" s="40">
        <f t="shared" si="73"/>
        <v>0.23919958564914481</v>
      </c>
      <c r="X38" s="40">
        <f t="shared" si="73"/>
        <v>0.22542851570465844</v>
      </c>
      <c r="Y38" s="169"/>
      <c r="AA38" s="40"/>
      <c r="AB38" s="40"/>
      <c r="AC38" s="40"/>
      <c r="AD38" s="40"/>
      <c r="AE38" s="40"/>
      <c r="AF38" s="40"/>
      <c r="AG38" s="40"/>
      <c r="AH38" s="40"/>
      <c r="AI38" s="40"/>
      <c r="AK38" s="40"/>
      <c r="AL38" s="40"/>
      <c r="AM38" s="40"/>
      <c r="AN38" s="40"/>
      <c r="AO38" s="40"/>
      <c r="AP38" s="40"/>
      <c r="AQ38" s="40"/>
      <c r="AR38" s="40"/>
      <c r="AS38" s="40"/>
      <c r="AU38" s="40"/>
      <c r="AV38" s="40"/>
      <c r="AW38" s="40"/>
      <c r="AX38" s="40"/>
      <c r="AY38" s="40"/>
      <c r="AZ38" s="40"/>
      <c r="BA38" s="40"/>
      <c r="BB38" s="40"/>
      <c r="BC38" s="40"/>
      <c r="BD38" s="169"/>
      <c r="BF38" s="40"/>
      <c r="BG38" s="40">
        <f t="shared" ref="BG38:BN38" si="74">(BG36*1000)/AVERAGE(BF123:BG123)*4</f>
        <v>-2.6230957927825201E-4</v>
      </c>
      <c r="BH38" s="40">
        <f t="shared" si="74"/>
        <v>-6.845611704796137E-4</v>
      </c>
      <c r="BI38" s="40">
        <f t="shared" si="74"/>
        <v>-2.4323747587281269E-5</v>
      </c>
      <c r="BJ38" s="40">
        <f t="shared" si="74"/>
        <v>-4.6218904323090768E-4</v>
      </c>
      <c r="BK38" s="40">
        <f t="shared" si="74"/>
        <v>-4.3995773062042488E-4</v>
      </c>
      <c r="BL38" s="40">
        <f t="shared" si="74"/>
        <v>-3.9080608137488171E-4</v>
      </c>
      <c r="BM38" s="40">
        <f t="shared" si="74"/>
        <v>-4.9328912939227581E-4</v>
      </c>
      <c r="BN38" s="40">
        <f t="shared" si="74"/>
        <v>-3.8269248077404835E-4</v>
      </c>
    </row>
    <row r="39" spans="3:67" x14ac:dyDescent="0.3">
      <c r="C39" s="45"/>
      <c r="D39" s="112"/>
      <c r="E39" s="172"/>
      <c r="F39" s="145"/>
      <c r="G39" s="145"/>
      <c r="H39" s="145"/>
      <c r="I39" s="145"/>
      <c r="J39" s="145"/>
      <c r="K39" s="145"/>
      <c r="L39" s="145"/>
      <c r="M39" s="145"/>
      <c r="N39" s="172"/>
      <c r="P39" s="45"/>
      <c r="Q39" s="45"/>
      <c r="R39" s="45"/>
      <c r="S39" s="45"/>
      <c r="T39" s="45"/>
      <c r="U39" s="45"/>
      <c r="V39" s="45"/>
      <c r="W39" s="45"/>
      <c r="X39" s="45"/>
      <c r="Y39" s="172"/>
      <c r="AA39" s="45"/>
      <c r="AB39" s="45"/>
      <c r="AC39" s="45"/>
      <c r="AD39" s="45"/>
      <c r="AE39" s="45"/>
      <c r="AF39" s="45"/>
      <c r="AG39" s="45"/>
      <c r="AH39" s="45"/>
      <c r="AI39" s="45"/>
      <c r="AK39" s="45"/>
      <c r="AL39" s="45"/>
      <c r="AM39" s="45"/>
      <c r="AN39" s="45"/>
      <c r="AO39" s="45"/>
      <c r="AP39" s="45"/>
      <c r="AQ39" s="45"/>
      <c r="AR39" s="45"/>
      <c r="AS39" s="45"/>
      <c r="AU39" s="45"/>
      <c r="AV39" s="45"/>
      <c r="AW39" s="45"/>
      <c r="AX39" s="45"/>
      <c r="AY39" s="45"/>
      <c r="AZ39" s="45"/>
      <c r="BA39" s="45"/>
      <c r="BB39" s="45"/>
      <c r="BC39" s="45"/>
      <c r="BD39" s="172"/>
      <c r="BF39" s="45"/>
      <c r="BG39" s="45"/>
      <c r="BH39" s="45"/>
      <c r="BI39" s="45"/>
      <c r="BJ39" s="45"/>
      <c r="BK39" s="45"/>
      <c r="BL39" s="45"/>
      <c r="BM39" s="45"/>
      <c r="BN39" s="45"/>
    </row>
    <row r="40" spans="3:67" x14ac:dyDescent="0.3">
      <c r="C40" s="37" t="s">
        <v>23</v>
      </c>
      <c r="D40" s="107"/>
      <c r="E40" s="221"/>
      <c r="F40" s="232"/>
      <c r="G40" s="232"/>
      <c r="H40" s="232"/>
      <c r="I40" s="232"/>
      <c r="J40" s="232"/>
      <c r="K40" s="232"/>
      <c r="L40" s="232"/>
      <c r="M40" s="232"/>
      <c r="N40" s="171"/>
      <c r="P40" s="37"/>
      <c r="Q40" s="37"/>
      <c r="R40" s="37"/>
      <c r="S40" s="37"/>
      <c r="T40" s="37"/>
      <c r="U40" s="37"/>
      <c r="V40" s="37"/>
      <c r="W40" s="37"/>
      <c r="X40" s="37"/>
      <c r="Y40" s="171"/>
      <c r="AA40" s="37"/>
      <c r="AB40" s="37"/>
      <c r="AC40" s="37"/>
      <c r="AD40" s="37"/>
      <c r="AE40" s="37"/>
      <c r="AF40" s="37"/>
      <c r="AG40" s="37"/>
      <c r="AH40" s="37"/>
      <c r="AI40" s="37"/>
      <c r="AK40" s="37"/>
      <c r="AL40" s="37"/>
      <c r="AM40" s="37"/>
      <c r="AN40" s="37"/>
      <c r="AO40" s="37"/>
      <c r="AP40" s="37"/>
      <c r="AQ40" s="37"/>
      <c r="AR40" s="37"/>
      <c r="AS40" s="37"/>
      <c r="AU40" s="37"/>
      <c r="AV40" s="37"/>
      <c r="AW40" s="37"/>
      <c r="AX40" s="37"/>
      <c r="AY40" s="37"/>
      <c r="AZ40" s="37"/>
      <c r="BA40" s="37"/>
      <c r="BB40" s="37"/>
      <c r="BC40" s="37"/>
      <c r="BD40" s="171"/>
      <c r="BF40" s="37"/>
      <c r="BG40" s="37"/>
      <c r="BH40" s="37"/>
      <c r="BI40" s="37"/>
      <c r="BJ40" s="37"/>
      <c r="BK40" s="37"/>
      <c r="BL40" s="37"/>
      <c r="BM40" s="37"/>
      <c r="BN40" s="37"/>
    </row>
    <row r="41" spans="3:67" ht="14.5" x14ac:dyDescent="0.35">
      <c r="C41" t="s">
        <v>241</v>
      </c>
      <c r="E41" s="203"/>
      <c r="F41" s="203">
        <f>VLOOKUP($C41,'Segment IFRS17'!$I$460:$N$531,6,0)/1000</f>
        <v>357236.0957727721</v>
      </c>
      <c r="G41" s="203">
        <f>VLOOKUP($C41,'Segment IFRS17'!$P$460:$U$531,6,0)/1000</f>
        <v>464663.61819711974</v>
      </c>
      <c r="H41" s="203">
        <f>VLOOKUP($C41,'Segment IFRS17'!$AD$460:$AI$531,6,0)/1000</f>
        <v>499350.51375177072</v>
      </c>
      <c r="I41" s="203">
        <f>VLOOKUP($C41,'Segment IFRS17'!$AK$460:$AP$531,6,0)/1000</f>
        <v>506448.05620285723</v>
      </c>
      <c r="J41" s="203">
        <f>VLOOKUP($C41,'Segment IFRS17'!$I$537:$N$608,6,0)/1000</f>
        <v>618696.20664017205</v>
      </c>
      <c r="K41" s="203">
        <f>VLOOKUP($C41,'Segment IFRS17'!$P$539:$U$600,6,0)/1000</f>
        <v>708004.14130857796</v>
      </c>
      <c r="L41" s="203">
        <f>VLOOKUP($C41,'Segment IFRS17'!$AD$539:$AI$600,6,0)/1000</f>
        <v>796101.43193811749</v>
      </c>
      <c r="M41" s="203">
        <f>VLOOKUP($C41,'Segment IFRS17'!$AK$539:$AP$600,6,0)/1000</f>
        <v>764918.3261808824</v>
      </c>
      <c r="N41" s="132">
        <f>M41/I41-1</f>
        <v>0.51035889428805548</v>
      </c>
      <c r="O41" s="132"/>
      <c r="P41" s="38"/>
      <c r="Q41" s="38">
        <f>VLOOKUP($C41,'Segment IFRS17'!$I$460:$N$531,2,0)/1000</f>
        <v>0</v>
      </c>
      <c r="R41" s="38">
        <f>VLOOKUP($C41,'Segment IFRS17'!$P$460:$U$531,2,0)/1000</f>
        <v>0</v>
      </c>
      <c r="S41" s="38">
        <f>VLOOKUP($C41,'Segment IFRS17'!$AD$460:$AI$531,2,0)/1000</f>
        <v>0</v>
      </c>
      <c r="T41" s="38">
        <f>VLOOKUP($C41,'Segment IFRS17'!$AK$460:$AP$531,2,0)/1000</f>
        <v>0</v>
      </c>
      <c r="U41" s="38">
        <f>VLOOKUP($C41,'Segment IFRS17'!$I$537:$N$608,2,0)/1000</f>
        <v>0</v>
      </c>
      <c r="V41" s="38">
        <f>VLOOKUP($C41,'Segment IFRS17'!$P$537:$U$608,2,0)/1000</f>
        <v>0</v>
      </c>
      <c r="W41" s="38">
        <f>VLOOKUP($C41,'Segment IFRS17'!$AD$537:$AI$608,2,0)/1000</f>
        <v>0</v>
      </c>
      <c r="X41" s="38">
        <f>VLOOKUP($C41,'Segment IFRS17'!$AK$537:$AP$608,2,0)/1000</f>
        <v>0</v>
      </c>
      <c r="Y41" s="132" t="e">
        <f>W41/S41-1</f>
        <v>#DIV/0!</v>
      </c>
      <c r="AA41" s="38"/>
      <c r="AB41" s="38">
        <f>VLOOKUP($C41,'Segment IFRS17'!$I$460:$N$531,3,0)/1000</f>
        <v>357236.0957727721</v>
      </c>
      <c r="AC41" s="38">
        <f>VLOOKUP($C41,'Segment IFRS17'!$P$460:$U$531,3,0)/1000</f>
        <v>464663.61819711974</v>
      </c>
      <c r="AD41" s="38">
        <f>VLOOKUP($C41,'Segment IFRS17'!$AD$460:$AI$531,3,0)/1000</f>
        <v>499350.51375177072</v>
      </c>
      <c r="AE41" s="38">
        <f>VLOOKUP($C41,'Segment IFRS17'!$AK$460:$AP$531,3,0)/1000</f>
        <v>506448.05620285723</v>
      </c>
      <c r="AF41" s="38">
        <f>VLOOKUP($C41,'Segment IFRS17'!$I$537:$N$608,3,0)/1000</f>
        <v>618696.20664017205</v>
      </c>
      <c r="AG41" s="38">
        <f>VLOOKUP($C41,'Segment IFRS17'!$P$537:$U$608,3,0)/1000</f>
        <v>708004.14130857796</v>
      </c>
      <c r="AH41" s="38">
        <f>VLOOKUP($C41,'Segment IFRS17'!$AD$537:$AI$608,3,0)/1000</f>
        <v>796101.43193811749</v>
      </c>
      <c r="AI41" s="38">
        <f>VLOOKUP($C41,'Segment IFRS17'!$AK$537:$AP$608,3,0)/1000</f>
        <v>764918.3261808824</v>
      </c>
      <c r="AJ41" s="204"/>
      <c r="AK41" s="38"/>
      <c r="AL41" s="38">
        <f>VLOOKUP($C41,'Segment IFRS17'!$I$460:$N$531,4,0)/1000</f>
        <v>0</v>
      </c>
      <c r="AM41" s="38">
        <f>VLOOKUP($C41,'Segment IFRS17'!$P$460:$U$531,4,0)/1000</f>
        <v>0</v>
      </c>
      <c r="AN41" s="38">
        <f>VLOOKUP($C41,'Segment IFRS17'!$AD$460:$AI$531,4,0)/1000</f>
        <v>0</v>
      </c>
      <c r="AO41" s="38">
        <f>VLOOKUP($C41,'Segment IFRS17'!$AK$460:$AP$531,4,0)/1000</f>
        <v>0</v>
      </c>
      <c r="AP41" s="38">
        <f>VLOOKUP($C41,'Segment IFRS17'!$I$537:$N$608,4,0)/1000</f>
        <v>0</v>
      </c>
      <c r="AQ41" s="38">
        <f>VLOOKUP($C41,'Segment IFRS17'!$P$537:$U$608,4,0)/1000</f>
        <v>0</v>
      </c>
      <c r="AR41" s="38">
        <f>VLOOKUP($C41,'Segment IFRS17'!$AD$537:$AI$608,4,0)/1000</f>
        <v>0</v>
      </c>
      <c r="AS41" s="38">
        <f>VLOOKUP($C41,'Segment IFRS17'!$AK$537:$AP$608,4,0)/1000</f>
        <v>0</v>
      </c>
      <c r="AU41" s="38"/>
      <c r="AV41" s="38">
        <f t="shared" ref="AV41:BC42" si="75">AB41+AL41</f>
        <v>357236.0957727721</v>
      </c>
      <c r="AW41" s="38">
        <f t="shared" si="75"/>
        <v>464663.61819711974</v>
      </c>
      <c r="AX41" s="38">
        <f t="shared" si="75"/>
        <v>499350.51375177072</v>
      </c>
      <c r="AY41" s="38">
        <f t="shared" si="75"/>
        <v>506448.05620285723</v>
      </c>
      <c r="AZ41" s="38">
        <f t="shared" si="75"/>
        <v>618696.20664017205</v>
      </c>
      <c r="BA41" s="38">
        <f t="shared" si="75"/>
        <v>708004.14130857796</v>
      </c>
      <c r="BB41" s="38">
        <f t="shared" si="75"/>
        <v>796101.43193811749</v>
      </c>
      <c r="BC41" s="38">
        <f t="shared" si="75"/>
        <v>764918.3261808824</v>
      </c>
      <c r="BE41" s="204"/>
      <c r="BF41" s="38"/>
      <c r="BG41" s="38">
        <f>VLOOKUP($C41,'Segment IFRS17'!$I$460:$N$531,5,0)/1000</f>
        <v>0</v>
      </c>
      <c r="BH41" s="38">
        <f>VLOOKUP($C41,'Segment IFRS17'!$P$460:$U$531,5,0)/1000</f>
        <v>0</v>
      </c>
      <c r="BI41" s="38">
        <f>VLOOKUP($C41,'Segment IFRS17'!$AD$460:$AI$531,5,0)/1000</f>
        <v>0</v>
      </c>
      <c r="BJ41" s="38">
        <f>VLOOKUP($C41,'Segment IFRS17'!$AK$460:$AP$531,5,0)/1000</f>
        <v>0</v>
      </c>
      <c r="BK41" s="38">
        <f>VLOOKUP($C41,'Segment IFRS17'!$I$537:$N$608,5,0)/1000</f>
        <v>0</v>
      </c>
      <c r="BL41" s="38">
        <f>VLOOKUP($C41,'Segment IFRS17'!$P$537:$U$608,5,0)/1000</f>
        <v>0</v>
      </c>
      <c r="BM41" s="38">
        <f>VLOOKUP($C41,'Segment IFRS17'!$AD$537:$AI$608,5,0)/1000</f>
        <v>0</v>
      </c>
      <c r="BN41" s="38">
        <f>VLOOKUP($C41,'Segment IFRS17'!$AK$537:$AP$608,5,0)/1000</f>
        <v>0</v>
      </c>
    </row>
    <row r="42" spans="3:67" ht="14.5" x14ac:dyDescent="0.35">
      <c r="C42" t="s">
        <v>231</v>
      </c>
      <c r="E42" s="203"/>
      <c r="F42" s="203">
        <f>VLOOKUP($C42,'Segment IFRS17'!$I$460:$N$531,6,0)/1000</f>
        <v>-405100.29093377211</v>
      </c>
      <c r="G42" s="203">
        <f>VLOOKUP($C42,'Segment IFRS17'!$P$460:$U$531,6,0)/1000</f>
        <v>-379363.29720658611</v>
      </c>
      <c r="H42" s="203">
        <f>VLOOKUP($C42,'Segment IFRS17'!$AD$460:$AI$531,6,0)/1000</f>
        <v>-431096.9127462852</v>
      </c>
      <c r="I42" s="203">
        <f>VLOOKUP($C42,'Segment IFRS17'!$AK$460:$AP$531,6,0)/1000</f>
        <v>-380224.60110572889</v>
      </c>
      <c r="J42" s="203">
        <f>VLOOKUP($C42,'Segment IFRS17'!$I$537:$N$608,6,0)/1000</f>
        <v>-694300.48635986634</v>
      </c>
      <c r="K42" s="203">
        <f>VLOOKUP($C42,'Segment IFRS17'!$P$539:$U$600,6,0)/1000</f>
        <v>-508332.24997888849</v>
      </c>
      <c r="L42" s="203">
        <f>VLOOKUP($C42,'Segment IFRS17'!$AD$539:$AI$600,6,0)/1000</f>
        <v>-699759.9279158545</v>
      </c>
      <c r="M42" s="203">
        <f>VLOOKUP($C42,'Segment IFRS17'!$AK$539:$AP$600,6,0)/1000</f>
        <v>-650488.0029210865</v>
      </c>
      <c r="N42" s="132">
        <f>M42/I42-1</f>
        <v>0.71079935656295312</v>
      </c>
      <c r="O42" s="132"/>
      <c r="P42" s="38"/>
      <c r="Q42" s="38">
        <f>VLOOKUP($C42,'Segment IFRS17'!$I$460:$N$531,2,0)/1000</f>
        <v>0</v>
      </c>
      <c r="R42" s="38">
        <f>VLOOKUP($C42,'Segment IFRS17'!$P$460:$U$531,2,0)/1000</f>
        <v>0</v>
      </c>
      <c r="S42" s="38">
        <f>VLOOKUP($C42,'Segment IFRS17'!$AD$460:$AI$531,2,0)/1000</f>
        <v>0</v>
      </c>
      <c r="T42" s="38">
        <f>VLOOKUP($C42,'Segment IFRS17'!$AK$460:$AP$531,2,0)/1000</f>
        <v>0</v>
      </c>
      <c r="U42" s="38">
        <f>VLOOKUP($C42,'Segment IFRS17'!$I$537:$N$608,2,0)/1000</f>
        <v>0</v>
      </c>
      <c r="V42" s="38">
        <f>VLOOKUP($C42,'Segment IFRS17'!$P$537:$U$608,2,0)/1000</f>
        <v>0</v>
      </c>
      <c r="W42" s="38">
        <f>VLOOKUP($C42,'Segment IFRS17'!$AD$537:$AI$608,2,0)/1000</f>
        <v>0</v>
      </c>
      <c r="X42" s="38">
        <f>VLOOKUP($C42,'Segment IFRS17'!$AK$537:$AP$608,2,0)/1000</f>
        <v>0</v>
      </c>
      <c r="Y42" s="132" t="e">
        <f>W42/S42-1</f>
        <v>#DIV/0!</v>
      </c>
      <c r="AA42" s="38"/>
      <c r="AB42" s="38">
        <f>VLOOKUP($C42,'Segment IFRS17'!$I$460:$N$531,3,0)/1000</f>
        <v>-405100.29093377211</v>
      </c>
      <c r="AC42" s="38">
        <f>VLOOKUP($C42,'Segment IFRS17'!$P$460:$U$531,3,0)/1000</f>
        <v>-379363.29720658611</v>
      </c>
      <c r="AD42" s="38">
        <f>VLOOKUP($C42,'Segment IFRS17'!$AD$460:$AI$531,3,0)/1000</f>
        <v>-431096.9127462852</v>
      </c>
      <c r="AE42" s="38">
        <f>VLOOKUP($C42,'Segment IFRS17'!$AK$460:$AP$531,3,0)/1000</f>
        <v>-380224.60110572889</v>
      </c>
      <c r="AF42" s="38">
        <f>VLOOKUP($C42,'Segment IFRS17'!$I$537:$N$608,3,0)/1000</f>
        <v>-694300.48635986634</v>
      </c>
      <c r="AG42" s="38">
        <f>VLOOKUP($C42,'Segment IFRS17'!$P$537:$U$608,3,0)/1000</f>
        <v>-508332.24997888849</v>
      </c>
      <c r="AH42" s="38">
        <f>VLOOKUP($C42,'Segment IFRS17'!$AD$537:$AI$608,3,0)/1000</f>
        <v>-699759.9279158545</v>
      </c>
      <c r="AI42" s="38">
        <f>VLOOKUP($C42,'Segment IFRS17'!$AK$537:$AP$608,3,0)/1000</f>
        <v>-650488.0029210865</v>
      </c>
      <c r="AK42" s="38"/>
      <c r="AL42" s="38">
        <f>VLOOKUP($C42,'Segment IFRS17'!$I$460:$N$531,4,0)/1000</f>
        <v>0</v>
      </c>
      <c r="AM42" s="38">
        <f>VLOOKUP($C42,'Segment IFRS17'!$P$460:$U$531,4,0)/1000</f>
        <v>0</v>
      </c>
      <c r="AN42" s="38">
        <f>VLOOKUP($C42,'Segment IFRS17'!$AD$460:$AI$531,4,0)/1000</f>
        <v>0</v>
      </c>
      <c r="AO42" s="38">
        <f>VLOOKUP($C42,'Segment IFRS17'!$AK$460:$AP$531,4,0)/1000</f>
        <v>0</v>
      </c>
      <c r="AP42" s="38">
        <f>VLOOKUP($C42,'Segment IFRS17'!$I$537:$N$608,4,0)/1000</f>
        <v>0</v>
      </c>
      <c r="AQ42" s="38">
        <f>VLOOKUP($C42,'Segment IFRS17'!$P$537:$U$608,4,0)/1000</f>
        <v>0</v>
      </c>
      <c r="AR42" s="38">
        <f>VLOOKUP($C42,'Segment IFRS17'!$AD$537:$AI$608,4,0)/1000</f>
        <v>0</v>
      </c>
      <c r="AS42" s="38">
        <f>VLOOKUP($C42,'Segment IFRS17'!$AK$537:$AP$608,4,0)/1000</f>
        <v>0</v>
      </c>
      <c r="AU42" s="38"/>
      <c r="AV42" s="38">
        <f t="shared" si="75"/>
        <v>-405100.29093377211</v>
      </c>
      <c r="AW42" s="38">
        <f t="shared" si="75"/>
        <v>-379363.29720658611</v>
      </c>
      <c r="AX42" s="38">
        <f t="shared" si="75"/>
        <v>-431096.9127462852</v>
      </c>
      <c r="AY42" s="38">
        <f t="shared" si="75"/>
        <v>-380224.60110572889</v>
      </c>
      <c r="AZ42" s="38">
        <f t="shared" si="75"/>
        <v>-694300.48635986634</v>
      </c>
      <c r="BA42" s="38">
        <f t="shared" si="75"/>
        <v>-508332.24997888849</v>
      </c>
      <c r="BB42" s="38">
        <f t="shared" si="75"/>
        <v>-699759.9279158545</v>
      </c>
      <c r="BC42" s="38">
        <f t="shared" si="75"/>
        <v>-650488.0029210865</v>
      </c>
      <c r="BF42" s="38"/>
      <c r="BG42" s="38">
        <f>VLOOKUP($C42,'Segment IFRS17'!$I$460:$N$531,5,0)/1000</f>
        <v>0</v>
      </c>
      <c r="BH42" s="38">
        <f>VLOOKUP($C42,'Segment IFRS17'!$P$460:$U$531,5,0)/1000</f>
        <v>0</v>
      </c>
      <c r="BI42" s="38">
        <f>VLOOKUP($C42,'Segment IFRS17'!$AD$460:$AI$531,5,0)/1000</f>
        <v>0</v>
      </c>
      <c r="BJ42" s="38">
        <f>VLOOKUP($C42,'Segment IFRS17'!$AK$460:$AP$531,5,0)/1000</f>
        <v>0</v>
      </c>
      <c r="BK42" s="38">
        <f>VLOOKUP($C42,'Segment IFRS17'!$I$537:$N$608,5,0)/1000</f>
        <v>0</v>
      </c>
      <c r="BL42" s="38">
        <f>VLOOKUP($C42,'Segment IFRS17'!$P$537:$U$608,5,0)/1000</f>
        <v>0</v>
      </c>
      <c r="BM42" s="38">
        <f>VLOOKUP($C42,'Segment IFRS17'!$AD$537:$AI$608,5,0)/1000</f>
        <v>0</v>
      </c>
      <c r="BN42" s="38">
        <f>VLOOKUP($C42,'Segment IFRS17'!$AK$537:$AP$608,5,0)/1000</f>
        <v>0</v>
      </c>
    </row>
    <row r="43" spans="3:67" ht="13.5" thickBot="1" x14ac:dyDescent="0.35">
      <c r="C43" s="54" t="s">
        <v>238</v>
      </c>
      <c r="D43" s="115"/>
      <c r="E43" s="55"/>
      <c r="F43" s="55">
        <f t="shared" ref="F43:M43" si="76">SUM(F41:F42)</f>
        <v>-47864.195161000011</v>
      </c>
      <c r="G43" s="55">
        <f t="shared" si="76"/>
        <v>85300.320990533626</v>
      </c>
      <c r="H43" s="55">
        <f t="shared" si="76"/>
        <v>68253.601005485514</v>
      </c>
      <c r="I43" s="55">
        <f t="shared" si="76"/>
        <v>126223.45509712835</v>
      </c>
      <c r="J43" s="55">
        <f t="shared" si="76"/>
        <v>-75604.279719694285</v>
      </c>
      <c r="K43" s="55">
        <f t="shared" si="76"/>
        <v>199671.89132968948</v>
      </c>
      <c r="L43" s="55">
        <f t="shared" si="76"/>
        <v>96341.50402226299</v>
      </c>
      <c r="M43" s="55">
        <f t="shared" si="76"/>
        <v>114430.3232597959</v>
      </c>
      <c r="N43" s="175">
        <f>M43/I43-1</f>
        <v>-9.3430589649583617E-2</v>
      </c>
      <c r="O43" s="132"/>
      <c r="P43" s="55"/>
      <c r="Q43" s="55">
        <f t="shared" ref="Q43:X43" si="77">SUM(Q41:Q42)</f>
        <v>0</v>
      </c>
      <c r="R43" s="55">
        <f t="shared" si="77"/>
        <v>0</v>
      </c>
      <c r="S43" s="55">
        <f t="shared" si="77"/>
        <v>0</v>
      </c>
      <c r="T43" s="55">
        <f t="shared" si="77"/>
        <v>0</v>
      </c>
      <c r="U43" s="55">
        <f t="shared" si="77"/>
        <v>0</v>
      </c>
      <c r="V43" s="55">
        <f t="shared" si="77"/>
        <v>0</v>
      </c>
      <c r="W43" s="55">
        <f t="shared" si="77"/>
        <v>0</v>
      </c>
      <c r="X43" s="55">
        <f t="shared" si="77"/>
        <v>0</v>
      </c>
      <c r="Y43" s="175"/>
      <c r="Z43" s="42"/>
      <c r="AA43" s="55"/>
      <c r="AB43" s="55">
        <f t="shared" ref="AB43:AI43" si="78">SUM(AB41:AB42)</f>
        <v>-47864.195161000011</v>
      </c>
      <c r="AC43" s="55">
        <f t="shared" si="78"/>
        <v>85300.320990533626</v>
      </c>
      <c r="AD43" s="55">
        <f t="shared" si="78"/>
        <v>68253.601005485514</v>
      </c>
      <c r="AE43" s="55">
        <f t="shared" si="78"/>
        <v>126223.45509712835</v>
      </c>
      <c r="AF43" s="55">
        <f t="shared" si="78"/>
        <v>-75604.279719694285</v>
      </c>
      <c r="AG43" s="55">
        <f t="shared" si="78"/>
        <v>199671.89132968948</v>
      </c>
      <c r="AH43" s="55">
        <f t="shared" si="78"/>
        <v>96341.50402226299</v>
      </c>
      <c r="AI43" s="55">
        <f t="shared" si="78"/>
        <v>114430.3232597959</v>
      </c>
      <c r="AJ43" s="42"/>
      <c r="AK43" s="55"/>
      <c r="AL43" s="55">
        <f t="shared" ref="AL43:AS43" si="79">SUM(AL41:AL42)</f>
        <v>0</v>
      </c>
      <c r="AM43" s="55">
        <f t="shared" si="79"/>
        <v>0</v>
      </c>
      <c r="AN43" s="55">
        <f t="shared" si="79"/>
        <v>0</v>
      </c>
      <c r="AO43" s="55">
        <f t="shared" si="79"/>
        <v>0</v>
      </c>
      <c r="AP43" s="55">
        <f t="shared" si="79"/>
        <v>0</v>
      </c>
      <c r="AQ43" s="55">
        <f t="shared" si="79"/>
        <v>0</v>
      </c>
      <c r="AR43" s="55">
        <f t="shared" si="79"/>
        <v>0</v>
      </c>
      <c r="AS43" s="55">
        <f t="shared" si="79"/>
        <v>0</v>
      </c>
      <c r="AT43" s="42"/>
      <c r="AU43" s="55"/>
      <c r="AV43" s="55">
        <f t="shared" ref="AV43:BC43" si="80">SUM(AV41:AV42)</f>
        <v>-47864.195161000011</v>
      </c>
      <c r="AW43" s="55">
        <f t="shared" si="80"/>
        <v>85300.320990533626</v>
      </c>
      <c r="AX43" s="55">
        <f t="shared" si="80"/>
        <v>68253.601005485514</v>
      </c>
      <c r="AY43" s="55">
        <f t="shared" si="80"/>
        <v>126223.45509712835</v>
      </c>
      <c r="AZ43" s="55">
        <f t="shared" si="80"/>
        <v>-75604.279719694285</v>
      </c>
      <c r="BA43" s="55">
        <f t="shared" si="80"/>
        <v>199671.89132968948</v>
      </c>
      <c r="BB43" s="55">
        <f t="shared" si="80"/>
        <v>96341.50402226299</v>
      </c>
      <c r="BC43" s="55">
        <f t="shared" si="80"/>
        <v>114430.3232597959</v>
      </c>
      <c r="BD43" s="175">
        <f>BA43/AW43-1</f>
        <v>1.340810550429798</v>
      </c>
      <c r="BE43" s="42"/>
      <c r="BF43" s="55"/>
      <c r="BG43" s="55">
        <f t="shared" ref="BG43:BN43" si="81">SUM(BG41:BG42)</f>
        <v>0</v>
      </c>
      <c r="BH43" s="55">
        <f t="shared" si="81"/>
        <v>0</v>
      </c>
      <c r="BI43" s="55">
        <f t="shared" si="81"/>
        <v>0</v>
      </c>
      <c r="BJ43" s="55">
        <f t="shared" si="81"/>
        <v>0</v>
      </c>
      <c r="BK43" s="55">
        <f t="shared" si="81"/>
        <v>0</v>
      </c>
      <c r="BL43" s="55">
        <f t="shared" si="81"/>
        <v>0</v>
      </c>
      <c r="BM43" s="55">
        <f t="shared" si="81"/>
        <v>0</v>
      </c>
      <c r="BN43" s="55">
        <f t="shared" si="81"/>
        <v>0</v>
      </c>
      <c r="BO43" s="42"/>
    </row>
    <row r="44" spans="3:67" ht="15" thickTop="1" x14ac:dyDescent="0.35">
      <c r="C44" t="s">
        <v>233</v>
      </c>
      <c r="E44" s="203"/>
      <c r="F44" s="203">
        <f>VLOOKUP($C44,'Segment IFRS17'!$I$460:$N$531,6,0)/1000</f>
        <v>-89063.298684031121</v>
      </c>
      <c r="G44" s="203">
        <f>VLOOKUP($C44,'Segment IFRS17'!$P$460:$U$531,6,0)/1000</f>
        <v>-137272.71615860713</v>
      </c>
      <c r="H44" s="203">
        <f>VLOOKUP($C44,'Segment IFRS17'!$AD$460:$AI$531,6,0)/1000</f>
        <v>-131070.77190214074</v>
      </c>
      <c r="I44" s="203">
        <f>VLOOKUP($C44,'Segment IFRS17'!$AK$460:$AP$531,6,0)/1000</f>
        <v>-146621.04828201933</v>
      </c>
      <c r="J44" s="203">
        <f>VLOOKUP($C44,'Segment IFRS17'!$I$537:$N$608,6,0)/1000</f>
        <v>-207103.38655503574</v>
      </c>
      <c r="K44" s="203">
        <f>VLOOKUP($C44,'Segment IFRS17'!$P$539:$U$600,6,0)/1000</f>
        <v>-219658.19491049109</v>
      </c>
      <c r="L44" s="203">
        <f>VLOOKUP($C44,'Segment IFRS17'!$AD$539:$AI$600,6,0)/1000</f>
        <v>-209103.33261145759</v>
      </c>
      <c r="M44" s="203">
        <f>VLOOKUP($C44,'Segment IFRS17'!$AK$539:$AP$600,6,0)/1000</f>
        <v>-175921.01294375159</v>
      </c>
      <c r="N44" s="132">
        <f>M44/I44-1</f>
        <v>0.19983464178604859</v>
      </c>
      <c r="O44" s="132"/>
      <c r="P44" s="38"/>
      <c r="Q44" s="38">
        <f>VLOOKUP($C44,'Segment IFRS17'!$I$460:$N$531,2,0)/1000</f>
        <v>0</v>
      </c>
      <c r="R44" s="38">
        <f>VLOOKUP($C44,'Segment IFRS17'!$P$460:$U$531,2,0)/1000</f>
        <v>0</v>
      </c>
      <c r="S44" s="38">
        <f>VLOOKUP($C44,'Segment IFRS17'!$AD$460:$AI$531,2,0)/1000</f>
        <v>0</v>
      </c>
      <c r="T44" s="38">
        <f>VLOOKUP($C44,'Segment IFRS17'!$AK$460:$AP$531,2,0)/1000</f>
        <v>0</v>
      </c>
      <c r="U44" s="38">
        <f>VLOOKUP($C44,'Segment IFRS17'!$I$537:$N$608,2,0)/1000</f>
        <v>0</v>
      </c>
      <c r="V44" s="38">
        <f>VLOOKUP($C44,'Segment IFRS17'!$P$537:$U$608,2,0)/1000</f>
        <v>0</v>
      </c>
      <c r="W44" s="38">
        <f>VLOOKUP($C44,'Segment IFRS17'!$AD$537:$AI$608,2,0)/1000</f>
        <v>0</v>
      </c>
      <c r="X44" s="38">
        <f>VLOOKUP($C44,'Segment IFRS17'!$AK$537:$AP$608,2,0)/1000</f>
        <v>0</v>
      </c>
      <c r="Y44" s="132" t="e">
        <f>W44/S44-1</f>
        <v>#DIV/0!</v>
      </c>
      <c r="AA44" s="38"/>
      <c r="AB44" s="38">
        <f>VLOOKUP($C44,'Segment IFRS17'!$I$460:$N$531,3,0)/1000</f>
        <v>-89063.298684031121</v>
      </c>
      <c r="AC44" s="38">
        <f>VLOOKUP($C44,'Segment IFRS17'!$P$460:$U$531,3,0)/1000</f>
        <v>-137272.71615860713</v>
      </c>
      <c r="AD44" s="38">
        <f>VLOOKUP($C44,'Segment IFRS17'!$AD$460:$AI$531,3,0)/1000</f>
        <v>-131070.77190214074</v>
      </c>
      <c r="AE44" s="38">
        <f>VLOOKUP($C44,'Segment IFRS17'!$AK$460:$AP$531,3,0)/1000</f>
        <v>-146621.04828201933</v>
      </c>
      <c r="AF44" s="38">
        <f>VLOOKUP($C44,'Segment IFRS17'!$I$537:$N$608,3,0)/1000</f>
        <v>-207103.38655503574</v>
      </c>
      <c r="AG44" s="38">
        <f>VLOOKUP($C44,'Segment IFRS17'!$P$537:$U$608,3,0)/1000</f>
        <v>-219658.19491049109</v>
      </c>
      <c r="AH44" s="38">
        <f>VLOOKUP($C44,'Segment IFRS17'!$AD$537:$AI$608,3,0)/1000</f>
        <v>-209103.33261145759</v>
      </c>
      <c r="AI44" s="38">
        <f>VLOOKUP($C44,'Segment IFRS17'!$AK$537:$AP$608,3,0)/1000</f>
        <v>-175921.01294375159</v>
      </c>
      <c r="AK44" s="38"/>
      <c r="AL44" s="38">
        <f>VLOOKUP($C44,'Segment IFRS17'!$I$460:$N$531,4,0)/1000</f>
        <v>0</v>
      </c>
      <c r="AM44" s="38">
        <f>VLOOKUP($C44,'Segment IFRS17'!$P$460:$U$531,4,0)/1000</f>
        <v>0</v>
      </c>
      <c r="AN44" s="38">
        <f>VLOOKUP($C44,'Segment IFRS17'!$AD$460:$AI$531,4,0)/1000</f>
        <v>0</v>
      </c>
      <c r="AO44" s="38">
        <f>VLOOKUP($C44,'Segment IFRS17'!$AK$460:$AP$531,4,0)/1000</f>
        <v>0</v>
      </c>
      <c r="AP44" s="38">
        <f>VLOOKUP($C44,'Segment IFRS17'!$I$537:$N$608,4,0)/1000</f>
        <v>0</v>
      </c>
      <c r="AQ44" s="38">
        <f>VLOOKUP($C44,'Segment IFRS17'!$P$537:$U$608,4,0)/1000</f>
        <v>0</v>
      </c>
      <c r="AR44" s="38">
        <f>VLOOKUP($C44,'Segment IFRS17'!$AD$537:$AI$608,4,0)/1000</f>
        <v>0</v>
      </c>
      <c r="AS44" s="38">
        <f>VLOOKUP($C44,'Segment IFRS17'!$AK$537:$AP$608,4,0)/1000</f>
        <v>0</v>
      </c>
      <c r="AU44" s="38"/>
      <c r="AV44" s="38">
        <f t="shared" ref="AV44:BA44" si="82">AB44+AL44</f>
        <v>-89063.298684031121</v>
      </c>
      <c r="AW44" s="38">
        <f t="shared" si="82"/>
        <v>-137272.71615860713</v>
      </c>
      <c r="AX44" s="38">
        <f t="shared" si="82"/>
        <v>-131070.77190214074</v>
      </c>
      <c r="AY44" s="38">
        <f t="shared" si="82"/>
        <v>-146621.04828201933</v>
      </c>
      <c r="AZ44" s="38">
        <f t="shared" si="82"/>
        <v>-207103.38655503574</v>
      </c>
      <c r="BA44" s="38">
        <f t="shared" si="82"/>
        <v>-219658.19491049109</v>
      </c>
      <c r="BB44" s="38">
        <f>AH44+AR44</f>
        <v>-209103.33261145759</v>
      </c>
      <c r="BC44" s="38">
        <f>AI44+AS44</f>
        <v>-175921.01294375159</v>
      </c>
      <c r="BF44" s="38"/>
      <c r="BG44" s="38">
        <f>VLOOKUP($C44,'Segment IFRS17'!$I$460:$N$531,5,0)/1000</f>
        <v>0</v>
      </c>
      <c r="BH44" s="38">
        <f>VLOOKUP($C44,'Segment IFRS17'!$P$460:$U$531,5,0)/1000</f>
        <v>0</v>
      </c>
      <c r="BI44" s="38">
        <f>VLOOKUP($C44,'Segment IFRS17'!$AD$460:$AI$531,5,0)/1000</f>
        <v>0</v>
      </c>
      <c r="BJ44" s="38">
        <f>VLOOKUP($C44,'Segment IFRS17'!$AK$460:$AP$531,5,0)/1000</f>
        <v>0</v>
      </c>
      <c r="BK44" s="38">
        <f>VLOOKUP($C44,'Segment IFRS17'!$I$537:$N$608,5,0)/1000</f>
        <v>0</v>
      </c>
      <c r="BL44" s="38">
        <f>VLOOKUP($C44,'Segment IFRS17'!$P$537:$U$608,5,0)/1000</f>
        <v>0</v>
      </c>
      <c r="BM44" s="38">
        <f>VLOOKUP($C44,'Segment IFRS17'!$AD$537:$AI$608,5,0)/1000</f>
        <v>0</v>
      </c>
      <c r="BN44" s="38">
        <f>VLOOKUP($C44,'Segment IFRS17'!$AK$537:$AP$608,5,0)/1000</f>
        <v>0</v>
      </c>
    </row>
    <row r="45" spans="3:67" ht="14.5" x14ac:dyDescent="0.35">
      <c r="C45" t="s">
        <v>234</v>
      </c>
      <c r="E45" s="203"/>
      <c r="F45" s="203">
        <f>VLOOKUP($C45,'Segment IFRS17'!$I$460:$N$531,6,0)/1000</f>
        <v>145581.0536145365</v>
      </c>
      <c r="G45" s="203">
        <f>VLOOKUP($C45,'Segment IFRS17'!$P$460:$U$531,6,0)/1000</f>
        <v>118648.00621448984</v>
      </c>
      <c r="H45" s="203">
        <f>VLOOKUP($C45,'Segment IFRS17'!$AD$460:$AI$531,6,0)/1000</f>
        <v>141815.76073909379</v>
      </c>
      <c r="I45" s="203">
        <f>VLOOKUP($C45,'Segment IFRS17'!$AK$460:$AP$531,6,0)/1000</f>
        <v>91472.458828954041</v>
      </c>
      <c r="J45" s="203">
        <f>VLOOKUP($C45,'Segment IFRS17'!$I$537:$N$608,6,0)/1000</f>
        <v>351842.81124626315</v>
      </c>
      <c r="K45" s="203">
        <f>VLOOKUP($C45,'Segment IFRS17'!$P$539:$U$600,6,0)/1000</f>
        <v>45291.628706895353</v>
      </c>
      <c r="L45" s="203">
        <f>VLOOKUP($C45,'Segment IFRS17'!$AD$539:$AI$600,6,0)/1000</f>
        <v>177539.11463822747</v>
      </c>
      <c r="M45" s="203">
        <f>VLOOKUP($C45,'Segment IFRS17'!$AK$539:$AP$600,6,0)/1000</f>
        <v>181519.10491840137</v>
      </c>
      <c r="N45" s="132">
        <f>M45/I45-1</f>
        <v>0.98441265537452249</v>
      </c>
      <c r="O45" s="132"/>
      <c r="P45" s="38"/>
      <c r="Q45" s="38">
        <f>VLOOKUP($C45,'Segment IFRS17'!$I$460:$N$531,2,0)/1000</f>
        <v>0</v>
      </c>
      <c r="R45" s="38">
        <f>VLOOKUP($C45,'Segment IFRS17'!$P$460:$U$531,2,0)/1000</f>
        <v>0</v>
      </c>
      <c r="S45" s="38">
        <f>VLOOKUP($C45,'Segment IFRS17'!$AD$460:$AI$531,2,0)/1000</f>
        <v>0</v>
      </c>
      <c r="T45" s="38">
        <f>VLOOKUP($C45,'Segment IFRS17'!$AK$460:$AP$531,2,0)/1000</f>
        <v>0</v>
      </c>
      <c r="U45" s="38">
        <f>VLOOKUP($C45,'Segment IFRS17'!$I$537:$N$608,2,0)/1000</f>
        <v>0</v>
      </c>
      <c r="V45" s="38">
        <f>VLOOKUP($C45,'Segment IFRS17'!$P$537:$U$608,2,0)/1000</f>
        <v>0</v>
      </c>
      <c r="W45" s="38">
        <f>VLOOKUP($C45,'Segment IFRS17'!$AD$537:$AI$608,2,0)/1000</f>
        <v>0</v>
      </c>
      <c r="X45" s="38">
        <f>VLOOKUP($C45,'Segment IFRS17'!$AK$537:$AP$608,2,0)/1000</f>
        <v>0</v>
      </c>
      <c r="Y45" s="132" t="e">
        <f>W45/S45-1</f>
        <v>#DIV/0!</v>
      </c>
      <c r="AA45" s="38"/>
      <c r="AB45" s="38">
        <f>VLOOKUP($C45,'Segment IFRS17'!$I$460:$N$531,3,0)/1000</f>
        <v>145581.0536145365</v>
      </c>
      <c r="AC45" s="38">
        <f>VLOOKUP($C45,'Segment IFRS17'!$P$460:$U$531,3,0)/1000</f>
        <v>118648.00621448984</v>
      </c>
      <c r="AD45" s="38">
        <f>VLOOKUP($C45,'Segment IFRS17'!$AD$460:$AI$531,3,0)/1000</f>
        <v>141815.76073909379</v>
      </c>
      <c r="AE45" s="38">
        <f>VLOOKUP($C45,'Segment IFRS17'!$AK$460:$AP$531,3,0)/1000</f>
        <v>91472.458828954041</v>
      </c>
      <c r="AF45" s="38">
        <f>VLOOKUP($C45,'Segment IFRS17'!$I$537:$N$608,3,0)/1000</f>
        <v>351842.81124626315</v>
      </c>
      <c r="AG45" s="38">
        <f>VLOOKUP($C45,'Segment IFRS17'!$P$537:$U$608,3,0)/1000</f>
        <v>45291.628706895353</v>
      </c>
      <c r="AH45" s="38">
        <f>VLOOKUP($C45,'Segment IFRS17'!$AD$537:$AI$608,3,0)/1000</f>
        <v>177539.11463822747</v>
      </c>
      <c r="AI45" s="38">
        <f>VLOOKUP($C45,'Segment IFRS17'!$AK$537:$AP$608,3,0)/1000</f>
        <v>181519.10491840137</v>
      </c>
      <c r="AK45" s="38"/>
      <c r="AL45" s="38">
        <f>VLOOKUP($C45,'Segment IFRS17'!$I$460:$N$531,4,0)/1000</f>
        <v>0</v>
      </c>
      <c r="AM45" s="38">
        <f>VLOOKUP($C45,'Segment IFRS17'!$P$460:$U$531,4,0)/1000</f>
        <v>0</v>
      </c>
      <c r="AN45" s="38">
        <f>VLOOKUP($C45,'Segment IFRS17'!$AD$460:$AI$531,4,0)/1000</f>
        <v>0</v>
      </c>
      <c r="AO45" s="38">
        <f>VLOOKUP($C45,'Segment IFRS17'!$AK$460:$AP$531,4,0)/1000</f>
        <v>0</v>
      </c>
      <c r="AP45" s="38">
        <f>VLOOKUP($C45,'Segment IFRS17'!$I$537:$N$608,4,0)/1000</f>
        <v>0</v>
      </c>
      <c r="AQ45" s="38">
        <f>VLOOKUP($C45,'Segment IFRS17'!$P$537:$U$608,4,0)/1000</f>
        <v>0</v>
      </c>
      <c r="AR45" s="38">
        <f>VLOOKUP($C45,'Segment IFRS17'!$AD$537:$AI$608,4,0)/1000</f>
        <v>0</v>
      </c>
      <c r="AS45" s="38">
        <f>VLOOKUP($C45,'Segment IFRS17'!$AK$537:$AP$608,4,0)/1000</f>
        <v>0</v>
      </c>
      <c r="AU45" s="38"/>
      <c r="AV45" s="38">
        <f t="shared" ref="AV45:BA45" si="83">AB45+AL45</f>
        <v>145581.0536145365</v>
      </c>
      <c r="AW45" s="38">
        <f t="shared" si="83"/>
        <v>118648.00621448984</v>
      </c>
      <c r="AX45" s="38">
        <f t="shared" si="83"/>
        <v>141815.76073909379</v>
      </c>
      <c r="AY45" s="38">
        <f t="shared" si="83"/>
        <v>91472.458828954041</v>
      </c>
      <c r="AZ45" s="38">
        <f t="shared" si="83"/>
        <v>351842.81124626315</v>
      </c>
      <c r="BA45" s="38">
        <f t="shared" si="83"/>
        <v>45291.628706895353</v>
      </c>
      <c r="BB45" s="38">
        <f>AH45+AR45</f>
        <v>177539.11463822747</v>
      </c>
      <c r="BC45" s="38">
        <f>AI45+AS45</f>
        <v>181519.10491840137</v>
      </c>
      <c r="BF45" s="38"/>
      <c r="BG45" s="38">
        <f>VLOOKUP($C45,'Segment IFRS17'!$I$460:$N$531,5,0)/1000</f>
        <v>0</v>
      </c>
      <c r="BH45" s="38">
        <f>VLOOKUP($C45,'Segment IFRS17'!$P$460:$U$531,5,0)/1000</f>
        <v>0</v>
      </c>
      <c r="BI45" s="38">
        <f>VLOOKUP($C45,'Segment IFRS17'!$AD$460:$AI$531,5,0)/1000</f>
        <v>0</v>
      </c>
      <c r="BJ45" s="38">
        <f>VLOOKUP($C45,'Segment IFRS17'!$AK$460:$AP$531,5,0)/1000</f>
        <v>0</v>
      </c>
      <c r="BK45" s="38">
        <f>VLOOKUP($C45,'Segment IFRS17'!$I$537:$N$608,5,0)/1000</f>
        <v>0</v>
      </c>
      <c r="BL45" s="38">
        <f>VLOOKUP($C45,'Segment IFRS17'!$P$537:$U$608,5,0)/1000</f>
        <v>0</v>
      </c>
      <c r="BM45" s="38">
        <f>VLOOKUP($C45,'Segment IFRS17'!$AD$537:$AI$608,5,0)/1000</f>
        <v>0</v>
      </c>
      <c r="BN45" s="38">
        <f>VLOOKUP($C45,'Segment IFRS17'!$AK$537:$AP$608,5,0)/1000</f>
        <v>0</v>
      </c>
    </row>
    <row r="46" spans="3:67" ht="13.5" thickBot="1" x14ac:dyDescent="0.35">
      <c r="C46" s="54" t="s">
        <v>239</v>
      </c>
      <c r="D46" s="115"/>
      <c r="E46" s="252"/>
      <c r="F46" s="252">
        <f t="shared" ref="F46:M46" si="84">F44+F45</f>
        <v>56517.754930505384</v>
      </c>
      <c r="G46" s="252">
        <f t="shared" si="84"/>
        <v>-18624.70994411729</v>
      </c>
      <c r="H46" s="252">
        <f t="shared" si="84"/>
        <v>10744.988836953053</v>
      </c>
      <c r="I46" s="252">
        <f t="shared" si="84"/>
        <v>-55148.589453065288</v>
      </c>
      <c r="J46" s="252">
        <f t="shared" si="84"/>
        <v>144739.42469122741</v>
      </c>
      <c r="K46" s="252">
        <f t="shared" si="84"/>
        <v>-174366.56620359572</v>
      </c>
      <c r="L46" s="252">
        <f t="shared" si="84"/>
        <v>-31564.217973230116</v>
      </c>
      <c r="M46" s="252">
        <f t="shared" si="84"/>
        <v>5598.0919746497821</v>
      </c>
      <c r="N46" s="175"/>
      <c r="O46" s="132"/>
      <c r="P46" s="252"/>
      <c r="Q46" s="252">
        <f t="shared" ref="Q46:X46" si="85">Q44+Q45</f>
        <v>0</v>
      </c>
      <c r="R46" s="252">
        <f t="shared" si="85"/>
        <v>0</v>
      </c>
      <c r="S46" s="252">
        <f t="shared" si="85"/>
        <v>0</v>
      </c>
      <c r="T46" s="252">
        <f t="shared" si="85"/>
        <v>0</v>
      </c>
      <c r="U46" s="252">
        <f t="shared" si="85"/>
        <v>0</v>
      </c>
      <c r="V46" s="252">
        <f t="shared" si="85"/>
        <v>0</v>
      </c>
      <c r="W46" s="252">
        <f t="shared" si="85"/>
        <v>0</v>
      </c>
      <c r="X46" s="252">
        <f t="shared" si="85"/>
        <v>0</v>
      </c>
      <c r="Y46" s="253"/>
      <c r="AA46" s="252"/>
      <c r="AB46" s="252">
        <f t="shared" ref="AB46:AI46" si="86">AB44+AB45</f>
        <v>56517.754930505384</v>
      </c>
      <c r="AC46" s="252">
        <f t="shared" si="86"/>
        <v>-18624.70994411729</v>
      </c>
      <c r="AD46" s="252">
        <f t="shared" si="86"/>
        <v>10744.988836953053</v>
      </c>
      <c r="AE46" s="252">
        <f t="shared" si="86"/>
        <v>-55148.589453065288</v>
      </c>
      <c r="AF46" s="252">
        <f t="shared" si="86"/>
        <v>144739.42469122741</v>
      </c>
      <c r="AG46" s="252">
        <f t="shared" si="86"/>
        <v>-174366.56620359572</v>
      </c>
      <c r="AH46" s="252">
        <f t="shared" si="86"/>
        <v>-31564.217973230116</v>
      </c>
      <c r="AI46" s="252">
        <f t="shared" si="86"/>
        <v>5598.0919746497821</v>
      </c>
      <c r="AK46" s="252"/>
      <c r="AL46" s="252">
        <f t="shared" ref="AL46:AS46" si="87">AL44+AL45</f>
        <v>0</v>
      </c>
      <c r="AM46" s="252">
        <f t="shared" si="87"/>
        <v>0</v>
      </c>
      <c r="AN46" s="252">
        <f t="shared" si="87"/>
        <v>0</v>
      </c>
      <c r="AO46" s="252">
        <f t="shared" si="87"/>
        <v>0</v>
      </c>
      <c r="AP46" s="252">
        <f t="shared" si="87"/>
        <v>0</v>
      </c>
      <c r="AQ46" s="252">
        <f t="shared" si="87"/>
        <v>0</v>
      </c>
      <c r="AR46" s="252">
        <f t="shared" si="87"/>
        <v>0</v>
      </c>
      <c r="AS46" s="252">
        <f t="shared" si="87"/>
        <v>0</v>
      </c>
      <c r="AU46" s="252"/>
      <c r="AV46" s="252">
        <f t="shared" ref="AV46:BC46" si="88">AV44+AV45</f>
        <v>56517.754930505384</v>
      </c>
      <c r="AW46" s="252">
        <f t="shared" si="88"/>
        <v>-18624.70994411729</v>
      </c>
      <c r="AX46" s="252">
        <f t="shared" si="88"/>
        <v>10744.988836953053</v>
      </c>
      <c r="AY46" s="252">
        <f t="shared" si="88"/>
        <v>-55148.589453065288</v>
      </c>
      <c r="AZ46" s="252">
        <f t="shared" si="88"/>
        <v>144739.42469122741</v>
      </c>
      <c r="BA46" s="252">
        <f t="shared" si="88"/>
        <v>-174366.56620359572</v>
      </c>
      <c r="BB46" s="252">
        <f t="shared" si="88"/>
        <v>-31564.217973230116</v>
      </c>
      <c r="BC46" s="252">
        <f t="shared" si="88"/>
        <v>5598.0919746497821</v>
      </c>
      <c r="BD46" s="175">
        <f>BA46/AW46-1</f>
        <v>8.3621090866260861</v>
      </c>
      <c r="BF46" s="252"/>
      <c r="BG46" s="252">
        <f t="shared" ref="BG46:BN46" si="89">BG44+BG45</f>
        <v>0</v>
      </c>
      <c r="BH46" s="252">
        <f t="shared" si="89"/>
        <v>0</v>
      </c>
      <c r="BI46" s="252">
        <f t="shared" si="89"/>
        <v>0</v>
      </c>
      <c r="BJ46" s="252">
        <f t="shared" si="89"/>
        <v>0</v>
      </c>
      <c r="BK46" s="252">
        <f t="shared" si="89"/>
        <v>0</v>
      </c>
      <c r="BL46" s="252">
        <f t="shared" si="89"/>
        <v>0</v>
      </c>
      <c r="BM46" s="252">
        <f t="shared" si="89"/>
        <v>0</v>
      </c>
      <c r="BN46" s="252">
        <f t="shared" si="89"/>
        <v>0</v>
      </c>
    </row>
    <row r="47" spans="3:67" ht="13.5" thickTop="1" x14ac:dyDescent="0.3">
      <c r="C47" s="36" t="s">
        <v>236</v>
      </c>
      <c r="E47" s="73"/>
      <c r="F47" s="73">
        <f>VLOOKUP($C47,'Segment IFRS17'!$I$460:$N$531,6,0)/1000</f>
        <v>-12864.179308372848</v>
      </c>
      <c r="G47" s="73">
        <f>VLOOKUP($C47,'Segment IFRS17'!$P$460:$U$531,6,0)/1000</f>
        <v>-10184.863839771804</v>
      </c>
      <c r="H47" s="73">
        <f>VLOOKUP($C47,'Segment IFRS17'!$AD$460:$AI$531,6,0)/1000</f>
        <v>-12765.964486915973</v>
      </c>
      <c r="I47" s="73">
        <f>VLOOKUP($C47,'Segment IFRS17'!$AK$460:$AP$531,6,0)/1000</f>
        <v>-8196.8271794823777</v>
      </c>
      <c r="J47" s="73">
        <f>VLOOKUP($C47,'Segment IFRS17'!$I$537:$N$608,6,0)/1000</f>
        <v>-17803.788062117172</v>
      </c>
      <c r="K47" s="73">
        <f>VLOOKUP($C47,'Segment IFRS17'!$P$539:$U$600,6,0)/1000</f>
        <v>-17183.315558545146</v>
      </c>
      <c r="L47" s="73">
        <f>VLOOKUP($C47,'Segment IFRS17'!$AD$539:$AI$600,6,0)/1000</f>
        <v>-19299.633031591376</v>
      </c>
      <c r="M47" s="73">
        <f>VLOOKUP($C47,'Segment IFRS17'!$AK$539:$AP$600,6,0)/1000</f>
        <v>-13467.616016181641</v>
      </c>
      <c r="N47" s="204">
        <f>M47/I47-1</f>
        <v>0.64302793279485848</v>
      </c>
      <c r="O47" s="132"/>
      <c r="P47" s="38"/>
      <c r="Q47" s="38">
        <f>VLOOKUP($C47,'Segment IFRS17'!$I$460:$N$531,2,0)/1000</f>
        <v>0</v>
      </c>
      <c r="R47" s="38">
        <f>VLOOKUP($C47,'Segment IFRS17'!$P$460:$U$531,2,0)/1000</f>
        <v>0</v>
      </c>
      <c r="S47" s="38">
        <f>VLOOKUP($C47,'Segment IFRS17'!$AD$460:$AI$531,2,0)/1000</f>
        <v>0</v>
      </c>
      <c r="T47" s="38">
        <f>VLOOKUP($C47,'Segment IFRS17'!$AK$460:$AP$531,2,0)/1000</f>
        <v>0</v>
      </c>
      <c r="U47" s="38">
        <f>VLOOKUP($C47,'Segment IFRS17'!$I$537:$N$608,2,0)/1000</f>
        <v>0</v>
      </c>
      <c r="V47" s="38">
        <f>VLOOKUP($C47,'Segment IFRS17'!$P$537:$U$608,2,0)/1000</f>
        <v>0</v>
      </c>
      <c r="W47" s="38">
        <f>VLOOKUP($C47,'Segment IFRS17'!$AD$537:$AI$608,2,0)/1000</f>
        <v>0</v>
      </c>
      <c r="X47" s="38">
        <f>VLOOKUP($C47,'Segment IFRS17'!$AK$537:$AP$608,2,0)/1000</f>
        <v>0</v>
      </c>
      <c r="Y47" s="132" t="e">
        <f>W47/S47-1</f>
        <v>#DIV/0!</v>
      </c>
      <c r="AA47" s="38"/>
      <c r="AB47" s="38">
        <f>VLOOKUP($C47,'Segment IFRS17'!$I$460:$N$531,3,0)/1000</f>
        <v>-12864.179308372848</v>
      </c>
      <c r="AC47" s="38">
        <f>VLOOKUP($C47,'Segment IFRS17'!$P$460:$U$531,3,0)/1000</f>
        <v>-10184.863839771804</v>
      </c>
      <c r="AD47" s="38">
        <f>VLOOKUP($C47,'Segment IFRS17'!$AD$460:$AI$531,3,0)/1000</f>
        <v>-12765.964486915973</v>
      </c>
      <c r="AE47" s="38">
        <f>VLOOKUP($C47,'Segment IFRS17'!$AK$460:$AP$531,3,0)/1000</f>
        <v>-8196.8271794823777</v>
      </c>
      <c r="AF47" s="38">
        <f>VLOOKUP($C47,'Segment IFRS17'!$I$537:$N$608,3,0)/1000</f>
        <v>-17803.788062117172</v>
      </c>
      <c r="AG47" s="38">
        <f>VLOOKUP($C47,'Segment IFRS17'!$P$537:$U$608,3,0)/1000</f>
        <v>-17183.315558545146</v>
      </c>
      <c r="AH47" s="38">
        <f>VLOOKUP($C47,'Segment IFRS17'!$AD$537:$AI$608,3,0)/1000</f>
        <v>-19299.633031591376</v>
      </c>
      <c r="AI47" s="38">
        <f>VLOOKUP($C47,'Segment IFRS17'!$AK$537:$AP$608,3,0)/1000</f>
        <v>-13467.616016181641</v>
      </c>
      <c r="AK47" s="38"/>
      <c r="AL47" s="38">
        <f>VLOOKUP($C47,'Segment IFRS17'!$I$460:$N$531,4,0)/1000</f>
        <v>0</v>
      </c>
      <c r="AM47" s="38">
        <f>VLOOKUP($C47,'Segment IFRS17'!$P$460:$U$531,4,0)/1000</f>
        <v>0</v>
      </c>
      <c r="AN47" s="38">
        <f>VLOOKUP($C47,'Segment IFRS17'!$AD$460:$AI$531,4,0)/1000</f>
        <v>0</v>
      </c>
      <c r="AO47" s="38">
        <f>VLOOKUP($C47,'Segment IFRS17'!$AK$460:$AP$531,4,0)/1000</f>
        <v>0</v>
      </c>
      <c r="AP47" s="38">
        <f>VLOOKUP($C47,'Segment IFRS17'!$I$537:$N$608,4,0)/1000</f>
        <v>0</v>
      </c>
      <c r="AQ47" s="38">
        <f>VLOOKUP($C47,'Segment IFRS17'!$P$537:$U$608,4,0)/1000</f>
        <v>0</v>
      </c>
      <c r="AR47" s="38">
        <f>VLOOKUP($C47,'Segment IFRS17'!$AD$537:$AI$608,4,0)/1000</f>
        <v>0</v>
      </c>
      <c r="AS47" s="38">
        <f>VLOOKUP($C47,'Segment IFRS17'!$AK$537:$AP$608,4,0)/1000</f>
        <v>0</v>
      </c>
      <c r="AU47" s="38"/>
      <c r="AV47" s="38">
        <f t="shared" ref="AV47:BC48" si="90">AB47+AL47</f>
        <v>-12864.179308372848</v>
      </c>
      <c r="AW47" s="38">
        <f t="shared" si="90"/>
        <v>-10184.863839771804</v>
      </c>
      <c r="AX47" s="38">
        <f t="shared" si="90"/>
        <v>-12765.964486915973</v>
      </c>
      <c r="AY47" s="38">
        <f t="shared" si="90"/>
        <v>-8196.8271794823777</v>
      </c>
      <c r="AZ47" s="38">
        <f t="shared" si="90"/>
        <v>-17803.788062117172</v>
      </c>
      <c r="BA47" s="38">
        <f t="shared" si="90"/>
        <v>-17183.315558545146</v>
      </c>
      <c r="BB47" s="38">
        <f t="shared" si="90"/>
        <v>-19299.633031591376</v>
      </c>
      <c r="BC47" s="38">
        <f t="shared" si="90"/>
        <v>-13467.616016181641</v>
      </c>
      <c r="BF47" s="38"/>
      <c r="BG47" s="38">
        <f>VLOOKUP($C47,'Segment IFRS17'!$I$460:$N$531,5,0)/1000</f>
        <v>0</v>
      </c>
      <c r="BH47" s="38">
        <f>VLOOKUP($C47,'Segment IFRS17'!$P$460:$U$531,5,0)/1000</f>
        <v>0</v>
      </c>
      <c r="BI47" s="38">
        <f>VLOOKUP($C47,'Segment IFRS17'!$AD$460:$AI$531,5,0)/1000</f>
        <v>0</v>
      </c>
      <c r="BJ47" s="38">
        <f>VLOOKUP($C47,'Segment IFRS17'!$AK$460:$AP$531,5,0)/1000</f>
        <v>0</v>
      </c>
      <c r="BK47" s="38">
        <f>VLOOKUP($C47,'Segment IFRS17'!$I$537:$N$608,5,0)/1000</f>
        <v>0</v>
      </c>
      <c r="BL47" s="38">
        <f>VLOOKUP($C47,'Segment IFRS17'!$P$537:$U$608,5,0)/1000</f>
        <v>0</v>
      </c>
      <c r="BM47" s="38">
        <f>VLOOKUP($C47,'Segment IFRS17'!$AD$537:$AI$608,5,0)/1000</f>
        <v>0</v>
      </c>
      <c r="BN47" s="38">
        <f>VLOOKUP($C47,'Segment IFRS17'!$AK$537:$AP$608,5,0)/1000</f>
        <v>0</v>
      </c>
    </row>
    <row r="48" spans="3:67" x14ac:dyDescent="0.3">
      <c r="C48" s="36" t="s">
        <v>237</v>
      </c>
      <c r="E48" s="73"/>
      <c r="F48" s="73">
        <f>VLOOKUP($C48,'Segment IFRS17'!$I$460:$N$531,6,0)/1000</f>
        <v>7421.0602136769576</v>
      </c>
      <c r="G48" s="73">
        <f>VLOOKUP($C48,'Segment IFRS17'!$P$460:$U$531,6,0)/1000</f>
        <v>6400.1023554837238</v>
      </c>
      <c r="H48" s="73">
        <f>VLOOKUP($C48,'Segment IFRS17'!$AD$460:$AI$531,6,0)/1000</f>
        <v>6428.195956592288</v>
      </c>
      <c r="I48" s="73">
        <f>VLOOKUP($C48,'Segment IFRS17'!$AK$460:$AP$531,6,0)/1000</f>
        <v>4003.1491522590295</v>
      </c>
      <c r="J48" s="73">
        <f>VLOOKUP($C48,'Segment IFRS17'!$I$537:$N$608,6,0)/1000</f>
        <v>10718.153265448787</v>
      </c>
      <c r="K48" s="73">
        <f>VLOOKUP($C48,'Segment IFRS17'!$P$539:$U$600,6,0)/1000</f>
        <v>9347.2699039653635</v>
      </c>
      <c r="L48" s="73">
        <f>VLOOKUP($C48,'Segment IFRS17'!$AD$539:$AI$600,6,0)/1000</f>
        <v>9534.1096474372935</v>
      </c>
      <c r="M48" s="73">
        <f>VLOOKUP($C48,'Segment IFRS17'!$AK$539:$AP$600,6,0)/1000</f>
        <v>5180.1548009783701</v>
      </c>
      <c r="N48" s="204">
        <f>M48/I48-1</f>
        <v>0.29401993379515745</v>
      </c>
      <c r="O48" s="132"/>
      <c r="P48" s="38"/>
      <c r="Q48" s="38">
        <f>VLOOKUP($C48,'Segment IFRS17'!$I$460:$N$531,2,0)/1000</f>
        <v>0</v>
      </c>
      <c r="R48" s="38">
        <f>VLOOKUP($C48,'Segment IFRS17'!$P$460:$U$531,2,0)/1000</f>
        <v>0</v>
      </c>
      <c r="S48" s="38">
        <f>VLOOKUP($C48,'Segment IFRS17'!$AD$460:$AI$531,2,0)/1000</f>
        <v>0</v>
      </c>
      <c r="T48" s="38">
        <f>VLOOKUP($C48,'Segment IFRS17'!$AK$460:$AP$531,2,0)/1000</f>
        <v>0</v>
      </c>
      <c r="U48" s="38">
        <f>VLOOKUP($C48,'Segment IFRS17'!$I$537:$N$608,2,0)/1000</f>
        <v>0</v>
      </c>
      <c r="V48" s="38">
        <f>VLOOKUP($C48,'Segment IFRS17'!$P$537:$U$608,2,0)/1000</f>
        <v>0</v>
      </c>
      <c r="W48" s="38">
        <f>VLOOKUP($C48,'Segment IFRS17'!$AD$537:$AI$608,2,0)/1000</f>
        <v>0</v>
      </c>
      <c r="X48" s="38">
        <f>VLOOKUP($C48,'Segment IFRS17'!$AK$537:$AP$608,2,0)/1000</f>
        <v>0</v>
      </c>
      <c r="Y48" s="132" t="e">
        <f>W48/S48-1</f>
        <v>#DIV/0!</v>
      </c>
      <c r="AA48" s="38"/>
      <c r="AB48" s="38">
        <f>VLOOKUP($C48,'Segment IFRS17'!$I$460:$N$531,3,0)/1000</f>
        <v>7421.0602136769576</v>
      </c>
      <c r="AC48" s="38">
        <f>VLOOKUP($C48,'Segment IFRS17'!$P$460:$U$531,3,0)/1000</f>
        <v>6400.1023554837238</v>
      </c>
      <c r="AD48" s="38">
        <f>VLOOKUP($C48,'Segment IFRS17'!$AD$460:$AI$531,3,0)/1000</f>
        <v>6428.195956592288</v>
      </c>
      <c r="AE48" s="38">
        <f>VLOOKUP($C48,'Segment IFRS17'!$AK$460:$AP$531,3,0)/1000</f>
        <v>4003.1491522590295</v>
      </c>
      <c r="AF48" s="38">
        <f>VLOOKUP($C48,'Segment IFRS17'!$I$537:$N$608,3,0)/1000</f>
        <v>10718.153265448787</v>
      </c>
      <c r="AG48" s="38">
        <f>VLOOKUP($C48,'Segment IFRS17'!$P$537:$U$608,3,0)/1000</f>
        <v>9347.2699039653635</v>
      </c>
      <c r="AH48" s="38">
        <f>VLOOKUP($C48,'Segment IFRS17'!$AD$537:$AI$608,3,0)/1000</f>
        <v>9534.1096474372935</v>
      </c>
      <c r="AI48" s="38">
        <f>VLOOKUP($C48,'Segment IFRS17'!$AK$537:$AP$608,3,0)/1000</f>
        <v>5180.1548009783701</v>
      </c>
      <c r="AK48" s="38"/>
      <c r="AL48" s="38">
        <f>VLOOKUP($C48,'Segment IFRS17'!$I$460:$N$531,4,0)/1000</f>
        <v>0</v>
      </c>
      <c r="AM48" s="38">
        <f>VLOOKUP($C48,'Segment IFRS17'!$P$460:$U$531,4,0)/1000</f>
        <v>0</v>
      </c>
      <c r="AN48" s="38">
        <f>VLOOKUP($C48,'Segment IFRS17'!$AD$460:$AI$531,4,0)/1000</f>
        <v>0</v>
      </c>
      <c r="AO48" s="38">
        <f>VLOOKUP($C48,'Segment IFRS17'!$AK$460:$AP$531,4,0)/1000</f>
        <v>0</v>
      </c>
      <c r="AP48" s="38">
        <f>VLOOKUP($C48,'Segment IFRS17'!$I$537:$N$608,4,0)/1000</f>
        <v>0</v>
      </c>
      <c r="AQ48" s="38">
        <f>VLOOKUP($C48,'Segment IFRS17'!$P$537:$U$608,4,0)/1000</f>
        <v>0</v>
      </c>
      <c r="AR48" s="38">
        <f>VLOOKUP($C48,'Segment IFRS17'!$AD$537:$AI$608,4,0)/1000</f>
        <v>0</v>
      </c>
      <c r="AS48" s="38">
        <f>VLOOKUP($C48,'Segment IFRS17'!$AK$537:$AP$608,4,0)/1000</f>
        <v>0</v>
      </c>
      <c r="AU48" s="38"/>
      <c r="AV48" s="38">
        <f t="shared" si="90"/>
        <v>7421.0602136769576</v>
      </c>
      <c r="AW48" s="38">
        <f t="shared" si="90"/>
        <v>6400.1023554837238</v>
      </c>
      <c r="AX48" s="38">
        <f t="shared" si="90"/>
        <v>6428.195956592288</v>
      </c>
      <c r="AY48" s="38">
        <f t="shared" si="90"/>
        <v>4003.1491522590295</v>
      </c>
      <c r="AZ48" s="38">
        <f t="shared" si="90"/>
        <v>10718.153265448787</v>
      </c>
      <c r="BA48" s="38">
        <f t="shared" si="90"/>
        <v>9347.2699039653635</v>
      </c>
      <c r="BB48" s="38">
        <f t="shared" si="90"/>
        <v>9534.1096474372935</v>
      </c>
      <c r="BC48" s="38">
        <f t="shared" si="90"/>
        <v>5180.1548009783701</v>
      </c>
      <c r="BF48" s="38"/>
      <c r="BG48" s="38">
        <f>VLOOKUP($C48,'Segment IFRS17'!$I$460:$N$531,5,0)/1000</f>
        <v>0</v>
      </c>
      <c r="BH48" s="38">
        <f>VLOOKUP($C48,'Segment IFRS17'!$P$460:$U$531,5,0)/1000</f>
        <v>0</v>
      </c>
      <c r="BI48" s="38">
        <f>VLOOKUP($C48,'Segment IFRS17'!$AD$460:$AI$531,5,0)/1000</f>
        <v>0</v>
      </c>
      <c r="BJ48" s="38">
        <f>VLOOKUP($C48,'Segment IFRS17'!$AK$460:$AP$531,5,0)/1000</f>
        <v>0</v>
      </c>
      <c r="BK48" s="38">
        <f>VLOOKUP($C48,'Segment IFRS17'!$I$537:$N$608,5,0)/1000</f>
        <v>0</v>
      </c>
      <c r="BL48" s="38">
        <f>VLOOKUP($C48,'Segment IFRS17'!$P$537:$U$608,5,0)/1000</f>
        <v>0</v>
      </c>
      <c r="BM48" s="38">
        <f>VLOOKUP($C48,'Segment IFRS17'!$AD$537:$AI$608,5,0)/1000</f>
        <v>0</v>
      </c>
      <c r="BN48" s="38">
        <f>VLOOKUP($C48,'Segment IFRS17'!$AK$537:$AP$608,5,0)/1000</f>
        <v>0</v>
      </c>
    </row>
    <row r="49" spans="3:67" x14ac:dyDescent="0.3">
      <c r="C49" s="43" t="s">
        <v>90</v>
      </c>
      <c r="D49" s="111"/>
      <c r="E49" s="44"/>
      <c r="F49" s="44">
        <f t="shared" ref="F49:M49" si="91">F43+F46+F47+F48</f>
        <v>3210.4406748094825</v>
      </c>
      <c r="G49" s="44">
        <f t="shared" si="91"/>
        <v>62890.849562128256</v>
      </c>
      <c r="H49" s="44">
        <f t="shared" si="91"/>
        <v>72660.821312114887</v>
      </c>
      <c r="I49" s="44">
        <f t="shared" si="91"/>
        <v>66881.187616839714</v>
      </c>
      <c r="J49" s="44">
        <f t="shared" si="91"/>
        <v>62049.510174864743</v>
      </c>
      <c r="K49" s="44">
        <f t="shared" si="91"/>
        <v>17469.279471513972</v>
      </c>
      <c r="L49" s="44">
        <f t="shared" si="91"/>
        <v>55011.762664878785</v>
      </c>
      <c r="M49" s="44">
        <f t="shared" si="91"/>
        <v>111740.95401924242</v>
      </c>
      <c r="N49" s="170">
        <f>M49/I49-1</f>
        <v>0.67073818514412364</v>
      </c>
      <c r="O49" s="132"/>
      <c r="P49" s="44"/>
      <c r="Q49" s="44">
        <f t="shared" ref="Q49:X49" si="92">Q43+Q46+Q47+Q48</f>
        <v>0</v>
      </c>
      <c r="R49" s="44">
        <f t="shared" si="92"/>
        <v>0</v>
      </c>
      <c r="S49" s="44">
        <f t="shared" si="92"/>
        <v>0</v>
      </c>
      <c r="T49" s="44">
        <f t="shared" si="92"/>
        <v>0</v>
      </c>
      <c r="U49" s="44">
        <f t="shared" si="92"/>
        <v>0</v>
      </c>
      <c r="V49" s="44">
        <f t="shared" si="92"/>
        <v>0</v>
      </c>
      <c r="W49" s="44">
        <f t="shared" si="92"/>
        <v>0</v>
      </c>
      <c r="X49" s="44">
        <f t="shared" si="92"/>
        <v>0</v>
      </c>
      <c r="Y49" s="170"/>
      <c r="Z49" s="49"/>
      <c r="AA49" s="44"/>
      <c r="AB49" s="44">
        <f t="shared" ref="AB49:AI49" si="93">AB43+AB46+AB47+AB48</f>
        <v>3210.4406748094825</v>
      </c>
      <c r="AC49" s="44">
        <f t="shared" si="93"/>
        <v>62890.849562128256</v>
      </c>
      <c r="AD49" s="44">
        <f t="shared" si="93"/>
        <v>72660.821312114887</v>
      </c>
      <c r="AE49" s="44">
        <f t="shared" si="93"/>
        <v>66881.187616839714</v>
      </c>
      <c r="AF49" s="44">
        <f t="shared" si="93"/>
        <v>62049.510174864743</v>
      </c>
      <c r="AG49" s="44">
        <f t="shared" si="93"/>
        <v>17469.279471513972</v>
      </c>
      <c r="AH49" s="44">
        <f t="shared" si="93"/>
        <v>55011.762664878785</v>
      </c>
      <c r="AI49" s="44">
        <f t="shared" si="93"/>
        <v>111740.95401924242</v>
      </c>
      <c r="AJ49" s="49"/>
      <c r="AK49" s="44"/>
      <c r="AL49" s="44">
        <f t="shared" ref="AL49:AS49" si="94">AL43+AL46+AL47+AL48</f>
        <v>0</v>
      </c>
      <c r="AM49" s="44">
        <f t="shared" si="94"/>
        <v>0</v>
      </c>
      <c r="AN49" s="44">
        <f t="shared" si="94"/>
        <v>0</v>
      </c>
      <c r="AO49" s="44">
        <f t="shared" si="94"/>
        <v>0</v>
      </c>
      <c r="AP49" s="44">
        <f t="shared" si="94"/>
        <v>0</v>
      </c>
      <c r="AQ49" s="44">
        <f t="shared" si="94"/>
        <v>0</v>
      </c>
      <c r="AR49" s="44">
        <f t="shared" si="94"/>
        <v>0</v>
      </c>
      <c r="AS49" s="44">
        <f t="shared" si="94"/>
        <v>0</v>
      </c>
      <c r="AT49" s="49"/>
      <c r="AU49" s="44"/>
      <c r="AV49" s="44">
        <f t="shared" ref="AV49:BC49" si="95">AV43+AV46+AV47+AV48</f>
        <v>3210.4406748094825</v>
      </c>
      <c r="AW49" s="44">
        <f t="shared" si="95"/>
        <v>62890.849562128256</v>
      </c>
      <c r="AX49" s="44">
        <f t="shared" si="95"/>
        <v>72660.821312114887</v>
      </c>
      <c r="AY49" s="44">
        <f t="shared" si="95"/>
        <v>66881.187616839714</v>
      </c>
      <c r="AZ49" s="44">
        <f t="shared" si="95"/>
        <v>62049.510174864743</v>
      </c>
      <c r="BA49" s="44">
        <f t="shared" si="95"/>
        <v>17469.279471513972</v>
      </c>
      <c r="BB49" s="44">
        <f t="shared" si="95"/>
        <v>55011.762664878785</v>
      </c>
      <c r="BC49" s="44">
        <f t="shared" si="95"/>
        <v>111740.95401924242</v>
      </c>
      <c r="BD49" s="170">
        <f>BA49/AW49-1</f>
        <v>-0.72222859775082981</v>
      </c>
      <c r="BE49" s="258"/>
      <c r="BF49" s="44"/>
      <c r="BG49" s="44">
        <f t="shared" ref="BG49:BN49" si="96">BG43+BG46+BG47+BG48</f>
        <v>0</v>
      </c>
      <c r="BH49" s="44">
        <f t="shared" si="96"/>
        <v>0</v>
      </c>
      <c r="BI49" s="44">
        <f t="shared" si="96"/>
        <v>0</v>
      </c>
      <c r="BJ49" s="44">
        <f t="shared" si="96"/>
        <v>0</v>
      </c>
      <c r="BK49" s="44">
        <f t="shared" si="96"/>
        <v>0</v>
      </c>
      <c r="BL49" s="44">
        <f t="shared" si="96"/>
        <v>0</v>
      </c>
      <c r="BM49" s="44">
        <f t="shared" si="96"/>
        <v>0</v>
      </c>
      <c r="BN49" s="44">
        <f t="shared" si="96"/>
        <v>0</v>
      </c>
      <c r="BO49" s="49"/>
    </row>
    <row r="50" spans="3:67" x14ac:dyDescent="0.3">
      <c r="C50" s="45"/>
      <c r="D50" s="112"/>
      <c r="E50" s="172"/>
      <c r="F50" s="231"/>
      <c r="G50" s="231"/>
      <c r="H50" s="231"/>
      <c r="I50" s="231"/>
      <c r="J50" s="231"/>
      <c r="K50" s="231"/>
      <c r="L50" s="231"/>
      <c r="M50" s="231"/>
      <c r="N50" s="172"/>
      <c r="P50" s="45"/>
      <c r="Q50" s="45"/>
      <c r="R50" s="45"/>
      <c r="S50" s="45"/>
      <c r="T50" s="45"/>
      <c r="U50" s="45"/>
      <c r="V50" s="45"/>
      <c r="W50" s="45"/>
      <c r="X50" s="45"/>
      <c r="Y50" s="172"/>
      <c r="AA50" s="45"/>
      <c r="AB50" s="45"/>
      <c r="AC50" s="45"/>
      <c r="AD50" s="45"/>
      <c r="AE50" s="45"/>
      <c r="AF50" s="45"/>
      <c r="AG50" s="45"/>
      <c r="AH50" s="45"/>
      <c r="AI50" s="45"/>
      <c r="AK50" s="45"/>
      <c r="AL50" s="45"/>
      <c r="AM50" s="45"/>
      <c r="AN50" s="45"/>
      <c r="AO50" s="45"/>
      <c r="AP50" s="45"/>
      <c r="AQ50" s="45"/>
      <c r="AR50" s="45"/>
      <c r="AS50" s="45"/>
      <c r="AU50" s="45"/>
      <c r="AV50" s="45"/>
      <c r="AW50" s="45"/>
      <c r="AX50" s="45"/>
      <c r="AY50" s="45"/>
      <c r="AZ50" s="45"/>
      <c r="BA50" s="45"/>
      <c r="BB50" s="45"/>
      <c r="BC50" s="45"/>
      <c r="BD50" s="172"/>
      <c r="BF50" s="45"/>
      <c r="BG50" s="45"/>
      <c r="BH50" s="45"/>
      <c r="BI50" s="45"/>
      <c r="BJ50" s="45"/>
      <c r="BK50" s="45"/>
      <c r="BL50" s="45"/>
      <c r="BM50" s="45"/>
      <c r="BN50" s="45"/>
    </row>
    <row r="51" spans="3:67" x14ac:dyDescent="0.3">
      <c r="C51" s="46" t="s">
        <v>89</v>
      </c>
      <c r="D51" s="113"/>
      <c r="E51" s="47"/>
      <c r="F51" s="47">
        <f>VLOOKUP($C51,'Segment IFRS17'!$I$460:$N$531,6,0)/1000</f>
        <v>50840.075700000001</v>
      </c>
      <c r="G51" s="47">
        <f>VLOOKUP($C51,'Segment IFRS17'!$P$460:$U$531,6,0)/1000</f>
        <v>53534.019462403943</v>
      </c>
      <c r="H51" s="47">
        <f>VLOOKUP($C51,'Segment IFRS17'!$AD$460:$AI$531,6,0)/1000</f>
        <v>56093.693037596051</v>
      </c>
      <c r="I51" s="47">
        <f>VLOOKUP($C51,'Segment IFRS17'!$AK$460:$AP$531,6,0)/1000</f>
        <v>54234.251250000001</v>
      </c>
      <c r="J51" s="47">
        <f>VLOOKUP($C51,'Segment IFRS17'!$I$537:$N$608,6,0)/1000</f>
        <v>59494.215549999994</v>
      </c>
      <c r="K51" s="47">
        <f>VLOOKUP($C51,'Segment IFRS17'!$P$539:$U$600,6,0)/1000</f>
        <v>58069.401240067898</v>
      </c>
      <c r="L51" s="47">
        <f>VLOOKUP($C51,'Segment IFRS17'!$AD$539:$AI$600,6,0)/1000</f>
        <v>66189.26071979932</v>
      </c>
      <c r="M51" s="47">
        <f>VLOOKUP($C51,'Segment IFRS17'!$AK$539:$AP$600,6,0)/1000</f>
        <v>74865.293450132769</v>
      </c>
      <c r="N51" s="173">
        <f>M51/I51-1</f>
        <v>0.38040614048548815</v>
      </c>
      <c r="O51" s="132"/>
      <c r="P51" s="47"/>
      <c r="Q51" s="47">
        <f>VLOOKUP($C51,'Segment IFRS17'!$I$460:$N$531,2,0)/1000</f>
        <v>0</v>
      </c>
      <c r="R51" s="47">
        <f>VLOOKUP($C51,'Segment IFRS17'!$P$460:$U$531,2,0)/1000</f>
        <v>0</v>
      </c>
      <c r="S51" s="47">
        <f>VLOOKUP($C51,'Segment IFRS17'!$AD$460:$AI$531,2,0)/1000</f>
        <v>0</v>
      </c>
      <c r="T51" s="47">
        <f>VLOOKUP($C51,'Segment IFRS17'!$AK$460:$AP$531,2,0)/1000</f>
        <v>0</v>
      </c>
      <c r="U51" s="47">
        <f>VLOOKUP($C51,'Segment IFRS17'!$I$537:$N$608,2,0)/1000</f>
        <v>0</v>
      </c>
      <c r="V51" s="47">
        <f>VLOOKUP($C51,'Segment IFRS17'!$P$537:$U$608,2,0)/1000</f>
        <v>0</v>
      </c>
      <c r="W51" s="47">
        <f>VLOOKUP($C51,'Segment IFRS17'!$AD$537:$AI$608,2,0)/1000</f>
        <v>0</v>
      </c>
      <c r="X51" s="47">
        <f>VLOOKUP($C51,'Segment IFRS17'!$AK$537:$AP$608,2,0)/1000</f>
        <v>0</v>
      </c>
      <c r="Y51" s="173" t="e">
        <f>W51/S51-1</f>
        <v>#DIV/0!</v>
      </c>
      <c r="AA51" s="47"/>
      <c r="AB51" s="47">
        <f>VLOOKUP($C51,'Segment IFRS17'!$I$460:$N$531,3,0)/1000</f>
        <v>50043.173999999999</v>
      </c>
      <c r="AC51" s="47">
        <f>VLOOKUP($C51,'Segment IFRS17'!$P$460:$U$531,3,0)/1000</f>
        <v>52501.263312403949</v>
      </c>
      <c r="AD51" s="47">
        <f>VLOOKUP($C51,'Segment IFRS17'!$AD$460:$AI$531,3,0)/1000</f>
        <v>54156.138687596052</v>
      </c>
      <c r="AE51" s="47">
        <f>VLOOKUP($C51,'Segment IFRS17'!$AK$460:$AP$531,3,0)/1000</f>
        <v>55654.512000000002</v>
      </c>
      <c r="AF51" s="47">
        <f>VLOOKUP($C51,'Segment IFRS17'!$I$537:$N$608,3,0)/1000</f>
        <v>58938.413999999997</v>
      </c>
      <c r="AG51" s="47">
        <f>VLOOKUP($C51,'Segment IFRS17'!$P$537:$U$608,3,0)/1000</f>
        <v>57809.908650067897</v>
      </c>
      <c r="AH51" s="47">
        <f>VLOOKUP($C51,'Segment IFRS17'!$AD$537:$AI$608,3,0)/1000</f>
        <v>66027.27988979932</v>
      </c>
      <c r="AI51" s="47">
        <f>VLOOKUP($C51,'Segment IFRS17'!$AK$537:$AP$608,3,0)/1000</f>
        <v>74623.394460132782</v>
      </c>
      <c r="AK51" s="47"/>
      <c r="AL51" s="47">
        <f>VLOOKUP($C51,'Segment IFRS17'!$I$460:$N$531,4,0)/1000</f>
        <v>796.90170000000001</v>
      </c>
      <c r="AM51" s="47">
        <f>VLOOKUP($C51,'Segment IFRS17'!$P$460:$U$531,4,0)/1000</f>
        <v>1032.7561500000002</v>
      </c>
      <c r="AN51" s="47">
        <f>VLOOKUP($C51,'Segment IFRS17'!$AD$460:$AI$531,4,0)/1000</f>
        <v>1937.5543500000001</v>
      </c>
      <c r="AO51" s="47">
        <f>VLOOKUP($C51,'Segment IFRS17'!$AK$460:$AP$531,4,0)/1000</f>
        <v>-1420.2607499999999</v>
      </c>
      <c r="AP51" s="47">
        <f>VLOOKUP($C51,'Segment IFRS17'!$I$537:$N$608,4,0)/1000</f>
        <v>555.80155000000002</v>
      </c>
      <c r="AQ51" s="47">
        <f>VLOOKUP($C51,'Segment IFRS17'!$P$537:$U$608,4,0)/1000</f>
        <v>259.49258999999995</v>
      </c>
      <c r="AR51" s="47">
        <f>VLOOKUP($C51,'Segment IFRS17'!$AD$537:$AI$608,4,0)/1000</f>
        <v>161.98082999999997</v>
      </c>
      <c r="AS51" s="47">
        <f>VLOOKUP($C51,'Segment IFRS17'!$AK$537:$AP$608,4,0)/1000</f>
        <v>241.89899</v>
      </c>
      <c r="AU51" s="47"/>
      <c r="AV51" s="47">
        <f t="shared" ref="AV51:BA51" si="97">AB51+AL51</f>
        <v>50840.075700000001</v>
      </c>
      <c r="AW51" s="47">
        <f t="shared" si="97"/>
        <v>53534.01946240395</v>
      </c>
      <c r="AX51" s="47">
        <f t="shared" si="97"/>
        <v>56093.693037596051</v>
      </c>
      <c r="AY51" s="47">
        <f t="shared" si="97"/>
        <v>54234.251250000001</v>
      </c>
      <c r="AZ51" s="47">
        <f t="shared" si="97"/>
        <v>59494.215549999994</v>
      </c>
      <c r="BA51" s="47">
        <f t="shared" si="97"/>
        <v>58069.401240067898</v>
      </c>
      <c r="BB51" s="47">
        <f>AH51+AR51</f>
        <v>66189.26071979932</v>
      </c>
      <c r="BC51" s="47">
        <f>AI51+AS51</f>
        <v>74865.293450132784</v>
      </c>
      <c r="BD51" s="173"/>
      <c r="BF51" s="47"/>
      <c r="BG51" s="47">
        <f>VLOOKUP($C51,'Segment IFRS17'!$I$460:$N$531,5,0)/1000</f>
        <v>0</v>
      </c>
      <c r="BH51" s="47">
        <f>VLOOKUP($C51,'Segment IFRS17'!$P$460:$U$531,5,0)/1000</f>
        <v>0</v>
      </c>
      <c r="BI51" s="47">
        <f>VLOOKUP($C51,'Segment IFRS17'!$AD$460:$AI$531,5,0)/1000</f>
        <v>0</v>
      </c>
      <c r="BJ51" s="47">
        <f>VLOOKUP($C51,'Segment IFRS17'!$AK$460:$AP$531,5,0)/1000</f>
        <v>0</v>
      </c>
      <c r="BK51" s="47">
        <f>VLOOKUP($C51,'Segment IFRS17'!$I$537:$N$608,5,0)/1000</f>
        <v>0</v>
      </c>
      <c r="BL51" s="47">
        <f>VLOOKUP($C51,'Segment IFRS17'!$P$537:$U$608,5,0)/1000</f>
        <v>0</v>
      </c>
      <c r="BM51" s="47">
        <f>VLOOKUP($C51,'Segment IFRS17'!$AD$537:$AI$608,5,0)/1000</f>
        <v>0</v>
      </c>
      <c r="BN51" s="47">
        <f>VLOOKUP($C51,'Segment IFRS17'!$AK$537:$AP$608,5,0)/1000</f>
        <v>0</v>
      </c>
    </row>
    <row r="52" spans="3:67" x14ac:dyDescent="0.3">
      <c r="F52" s="133"/>
      <c r="G52" s="133"/>
      <c r="H52" s="133"/>
      <c r="I52" s="133"/>
      <c r="J52" s="133"/>
      <c r="K52" s="133"/>
      <c r="L52" s="133"/>
      <c r="M52" s="133"/>
      <c r="AL52" s="133"/>
      <c r="AM52" s="133"/>
      <c r="AN52" s="133"/>
      <c r="AO52" s="133"/>
      <c r="AP52" s="133"/>
      <c r="AQ52" s="133"/>
      <c r="AR52" s="133"/>
    </row>
    <row r="53" spans="3:67" x14ac:dyDescent="0.3">
      <c r="C53" s="36" t="s">
        <v>31</v>
      </c>
      <c r="E53" s="203"/>
      <c r="F53" s="203">
        <f>VLOOKUP($C53,'Segment IFRS17'!$I$460:$N$531,6,0)/1000</f>
        <v>26703.196239999994</v>
      </c>
      <c r="G53" s="203">
        <f>VLOOKUP($C53,'Segment IFRS17'!$P$460:$U$531,6,0)/1000</f>
        <v>26906.36385999999</v>
      </c>
      <c r="H53" s="203">
        <f>VLOOKUP($C53,'Segment IFRS17'!$AD$460:$AI$531,6,0)/1000</f>
        <v>32130.08757</v>
      </c>
      <c r="I53" s="203">
        <f>VLOOKUP($C53,'Segment IFRS17'!$AK$460:$AP$531,6,0)/1000</f>
        <v>42316.148500000025</v>
      </c>
      <c r="J53" s="203">
        <f>VLOOKUP($C53,'Segment IFRS17'!$I$537:$N$608,6,0)/1000</f>
        <v>34605.99173999999</v>
      </c>
      <c r="K53" s="203">
        <f>VLOOKUP($C53,'Segment IFRS17'!$P$539:$U$600,6,0)/1000</f>
        <v>34254.001710000019</v>
      </c>
      <c r="L53" s="203">
        <f>VLOOKUP($C53,'Segment IFRS17'!$AD$539:$AI$600,6,0)/1000</f>
        <v>38624.107069999991</v>
      </c>
      <c r="M53" s="203">
        <f>VLOOKUP($C53,'Segment IFRS17'!$AK$539:$AP$600,6,0)/1000</f>
        <v>45578.381429999994</v>
      </c>
      <c r="N53" s="132">
        <f>M53/I53-1</f>
        <v>7.7091915158582269E-2</v>
      </c>
      <c r="P53" s="38"/>
      <c r="Q53" s="38">
        <f>VLOOKUP($C53,'Segment IFRS17'!$I$460:$N$531,2,0)/1000</f>
        <v>0</v>
      </c>
      <c r="R53" s="38">
        <f>VLOOKUP($C53,'Segment IFRS17'!$P$460:$U$531,2,0)/1000</f>
        <v>0</v>
      </c>
      <c r="S53" s="38">
        <f>VLOOKUP($C53,'Segment IFRS17'!$AD$460:$AI$531,2,0)/1000</f>
        <v>0</v>
      </c>
      <c r="T53" s="38">
        <f>VLOOKUP($C53,'Segment IFRS17'!$AK$460:$AP$531,2,0)/1000</f>
        <v>0</v>
      </c>
      <c r="U53" s="38">
        <f>VLOOKUP($C53,'Segment IFRS17'!$I$537:$N$608,2,0)/1000</f>
        <v>0</v>
      </c>
      <c r="V53" s="38">
        <f>VLOOKUP($C53,'Segment IFRS17'!$P$537:$U$608,2,0)/1000</f>
        <v>0</v>
      </c>
      <c r="W53" s="38">
        <f>VLOOKUP($C53,'Segment IFRS17'!$AD$537:$AI$608,2,0)/1000</f>
        <v>0</v>
      </c>
      <c r="X53" s="38">
        <f>VLOOKUP($C53,'Segment IFRS17'!$AK$537:$AP$608,2,0)/1000</f>
        <v>0</v>
      </c>
      <c r="Y53" s="132" t="e">
        <f>W53/S53-1</f>
        <v>#DIV/0!</v>
      </c>
      <c r="AA53" s="38"/>
      <c r="AB53" s="38">
        <f>VLOOKUP($C53,'Segment IFRS17'!$I$460:$N$531,3,0)/1000</f>
        <v>5.7460000000000004</v>
      </c>
      <c r="AC53" s="38">
        <f>VLOOKUP($C53,'Segment IFRS17'!$P$460:$U$531,3,0)/1000</f>
        <v>-5.7460000000000004</v>
      </c>
      <c r="AD53" s="38">
        <f>VLOOKUP($C53,'Segment IFRS17'!$AD$460:$AI$531,3,0)/1000</f>
        <v>0</v>
      </c>
      <c r="AE53" s="38">
        <f>VLOOKUP($C53,'Segment IFRS17'!$AK$460:$AP$531,3,0)/1000</f>
        <v>0</v>
      </c>
      <c r="AF53" s="38">
        <f>VLOOKUP($C53,'Segment IFRS17'!$I$537:$N$608,3,0)/1000</f>
        <v>0</v>
      </c>
      <c r="AG53" s="38">
        <f>VLOOKUP($C53,'Segment IFRS17'!$P$537:$U$608,3,0)/1000</f>
        <v>0</v>
      </c>
      <c r="AH53" s="38">
        <f>VLOOKUP($C53,'Segment IFRS17'!$AD$537:$AI$608,3,0)/1000</f>
        <v>0</v>
      </c>
      <c r="AI53" s="38">
        <f>VLOOKUP($C53,'Segment IFRS17'!$AK$537:$AP$608,3,0)/1000</f>
        <v>0</v>
      </c>
      <c r="AK53" s="38"/>
      <c r="AL53" s="38">
        <f>VLOOKUP($C53,'Segment IFRS17'!$I$460:$N$531,4,0)/1000</f>
        <v>26697.450239999995</v>
      </c>
      <c r="AM53" s="38">
        <f>VLOOKUP($C53,'Segment IFRS17'!$P$460:$U$531,4,0)/1000</f>
        <v>26912.109859999993</v>
      </c>
      <c r="AN53" s="38">
        <f>VLOOKUP($C53,'Segment IFRS17'!$AD$460:$AI$531,4,0)/1000</f>
        <v>32130.08757</v>
      </c>
      <c r="AO53" s="38">
        <f>VLOOKUP($C53,'Segment IFRS17'!$AK$460:$AP$531,4,0)/1000</f>
        <v>42316.148500000025</v>
      </c>
      <c r="AP53" s="38">
        <f>VLOOKUP($C53,'Segment IFRS17'!$I$537:$N$608,4,0)/1000</f>
        <v>34605.99173999999</v>
      </c>
      <c r="AQ53" s="38">
        <f>VLOOKUP($C53,'Segment IFRS17'!$P$537:$U$608,4,0)/1000</f>
        <v>34254.001710000019</v>
      </c>
      <c r="AR53" s="38">
        <f>VLOOKUP($C53,'Segment IFRS17'!$AD$537:$AI$608,4,0)/1000</f>
        <v>38624.107069999991</v>
      </c>
      <c r="AS53" s="38">
        <f>VLOOKUP($C53,'Segment IFRS17'!$AK$537:$AP$608,4,0)/1000</f>
        <v>45578.381429999994</v>
      </c>
      <c r="AU53" s="38"/>
      <c r="AV53" s="38">
        <f t="shared" ref="AV53:BC54" si="98">AB53+AL53</f>
        <v>26703.196239999994</v>
      </c>
      <c r="AW53" s="38">
        <f t="shared" si="98"/>
        <v>26906.363859999994</v>
      </c>
      <c r="AX53" s="38">
        <f t="shared" si="98"/>
        <v>32130.08757</v>
      </c>
      <c r="AY53" s="38">
        <f t="shared" si="98"/>
        <v>42316.148500000025</v>
      </c>
      <c r="AZ53" s="38">
        <f t="shared" si="98"/>
        <v>34605.99173999999</v>
      </c>
      <c r="BA53" s="38">
        <f t="shared" si="98"/>
        <v>34254.001710000019</v>
      </c>
      <c r="BB53" s="38">
        <f t="shared" si="98"/>
        <v>38624.107069999991</v>
      </c>
      <c r="BC53" s="38">
        <f t="shared" si="98"/>
        <v>45578.381429999994</v>
      </c>
      <c r="BF53" s="38"/>
      <c r="BG53" s="38">
        <f>VLOOKUP($C53,'Segment IFRS17'!$I$460:$N$531,5,0)/1000</f>
        <v>0</v>
      </c>
      <c r="BH53" s="38">
        <f>VLOOKUP($C53,'Segment IFRS17'!$P$460:$U$531,5,0)/1000</f>
        <v>0</v>
      </c>
      <c r="BI53" s="38">
        <f>VLOOKUP($C53,'Segment IFRS17'!$AD$460:$AI$531,5,0)/1000</f>
        <v>0</v>
      </c>
      <c r="BJ53" s="38">
        <f>VLOOKUP($C53,'Segment IFRS17'!$AK$460:$AP$531,5,0)/1000</f>
        <v>0</v>
      </c>
      <c r="BK53" s="38">
        <f>VLOOKUP($C53,'Segment IFRS17'!$I$537:$N$608,5,0)/1000</f>
        <v>0</v>
      </c>
      <c r="BL53" s="38">
        <f>VLOOKUP($C53,'Segment IFRS17'!$P$537:$U$608,5,0)/1000</f>
        <v>0</v>
      </c>
      <c r="BM53" s="38">
        <f>VLOOKUP($C53,'Segment IFRS17'!$AD$537:$AI$608,5,0)/1000</f>
        <v>0</v>
      </c>
      <c r="BN53" s="38">
        <f>VLOOKUP($C53,'Segment IFRS17'!$AK$537:$AP$608,5,0)/1000</f>
        <v>0</v>
      </c>
    </row>
    <row r="54" spans="3:67" x14ac:dyDescent="0.3">
      <c r="C54" s="36" t="s">
        <v>32</v>
      </c>
      <c r="E54" s="203"/>
      <c r="F54" s="203">
        <f>VLOOKUP($C54,'Segment IFRS17'!$I$460:$N$531,6,0)/1000</f>
        <v>-10025.804930000002</v>
      </c>
      <c r="G54" s="203">
        <f>VLOOKUP($C54,'Segment IFRS17'!$P$460:$U$531,6,0)/1000</f>
        <v>-10046.916109999998</v>
      </c>
      <c r="H54" s="203">
        <f>VLOOKUP($C54,'Segment IFRS17'!$AD$460:$AI$531,6,0)/1000</f>
        <v>-11913.31798</v>
      </c>
      <c r="I54" s="203">
        <f>VLOOKUP($C54,'Segment IFRS17'!$AK$460:$AP$531,6,0)/1000</f>
        <v>-26085.998760000002</v>
      </c>
      <c r="J54" s="203">
        <f>VLOOKUP($C54,'Segment IFRS17'!$I$537:$N$608,6,0)/1000</f>
        <v>-16242.74869</v>
      </c>
      <c r="K54" s="203">
        <f>VLOOKUP($C54,'Segment IFRS17'!$P$539:$U$600,6,0)/1000</f>
        <v>-36884.278790000004</v>
      </c>
      <c r="L54" s="203">
        <f>VLOOKUP($C54,'Segment IFRS17'!$AD$539:$AI$600,6,0)/1000</f>
        <v>-18646.404740000009</v>
      </c>
      <c r="M54" s="203">
        <f>VLOOKUP($C54,'Segment IFRS17'!$AK$539:$AP$600,6,0)/1000</f>
        <v>-24010.571229999976</v>
      </c>
      <c r="N54" s="132">
        <f>M54/I54-1</f>
        <v>-7.9560976334264955E-2</v>
      </c>
      <c r="P54" s="38"/>
      <c r="Q54" s="38">
        <f>VLOOKUP($C54,'Segment IFRS17'!$I$460:$N$531,2,0)/1000</f>
        <v>0</v>
      </c>
      <c r="R54" s="38">
        <f>VLOOKUP($C54,'Segment IFRS17'!$P$460:$U$531,2,0)/1000</f>
        <v>0</v>
      </c>
      <c r="S54" s="38">
        <f>VLOOKUP($C54,'Segment IFRS17'!$AD$460:$AI$531,2,0)/1000</f>
        <v>0</v>
      </c>
      <c r="T54" s="38">
        <f>VLOOKUP($C54,'Segment IFRS17'!$AK$460:$AP$531,2,0)/1000</f>
        <v>0</v>
      </c>
      <c r="U54" s="38">
        <f>VLOOKUP($C54,'Segment IFRS17'!$I$537:$N$608,2,0)/1000</f>
        <v>0</v>
      </c>
      <c r="V54" s="38">
        <f>VLOOKUP($C54,'Segment IFRS17'!$P$537:$U$608,2,0)/1000</f>
        <v>0</v>
      </c>
      <c r="W54" s="38">
        <f>VLOOKUP($C54,'Segment IFRS17'!$AD$537:$AI$608,2,0)/1000</f>
        <v>0</v>
      </c>
      <c r="X54" s="38">
        <f>VLOOKUP($C54,'Segment IFRS17'!$AK$537:$AP$608,2,0)/1000</f>
        <v>0</v>
      </c>
      <c r="Y54" s="132" t="e">
        <f>W54/S54-1</f>
        <v>#DIV/0!</v>
      </c>
      <c r="AA54" s="38"/>
      <c r="AB54" s="38">
        <f>VLOOKUP($C54,'Segment IFRS17'!$I$460:$N$531,3,0)/1000</f>
        <v>0</v>
      </c>
      <c r="AC54" s="38">
        <f>VLOOKUP($C54,'Segment IFRS17'!$P$460:$U$531,3,0)/1000</f>
        <v>0</v>
      </c>
      <c r="AD54" s="38">
        <f>VLOOKUP($C54,'Segment IFRS17'!$AD$460:$AI$531,3,0)/1000</f>
        <v>0</v>
      </c>
      <c r="AE54" s="38">
        <f>VLOOKUP($C54,'Segment IFRS17'!$AK$460:$AP$531,3,0)/1000</f>
        <v>0</v>
      </c>
      <c r="AF54" s="38">
        <f>VLOOKUP($C54,'Segment IFRS17'!$I$537:$N$608,3,0)/1000</f>
        <v>0</v>
      </c>
      <c r="AG54" s="38">
        <f>VLOOKUP($C54,'Segment IFRS17'!$P$537:$U$608,3,0)/1000</f>
        <v>0</v>
      </c>
      <c r="AH54" s="38">
        <f>VLOOKUP($C54,'Segment IFRS17'!$AD$537:$AI$608,3,0)/1000</f>
        <v>0</v>
      </c>
      <c r="AI54" s="38">
        <f>VLOOKUP($C54,'Segment IFRS17'!$AK$537:$AP$608,3,0)/1000</f>
        <v>0</v>
      </c>
      <c r="AK54" s="203"/>
      <c r="AL54" s="203">
        <f>VLOOKUP($C54,'Segment IFRS17'!$I$460:$N$531,4,0)/1000</f>
        <v>-10025.804930000002</v>
      </c>
      <c r="AM54" s="203">
        <f>VLOOKUP($C54,'Segment IFRS17'!$P$460:$U$531,4,0)/1000</f>
        <v>-10046.916109999998</v>
      </c>
      <c r="AN54" s="203">
        <f>VLOOKUP($C54,'Segment IFRS17'!$AD$460:$AI$531,4,0)/1000</f>
        <v>-11913.31798</v>
      </c>
      <c r="AO54" s="203">
        <f>VLOOKUP($C54,'Segment IFRS17'!$AK$460:$AP$531,4,0)/1000</f>
        <v>-26085.998760000002</v>
      </c>
      <c r="AP54" s="203">
        <f>VLOOKUP($C54,'Segment IFRS17'!$I$537:$N$608,4,0)/1000</f>
        <v>-16242.74869</v>
      </c>
      <c r="AQ54" s="203">
        <f>VLOOKUP($C54,'Segment IFRS17'!$P$537:$U$608,4,0)/1000</f>
        <v>-36884.278790000004</v>
      </c>
      <c r="AR54" s="203">
        <f>VLOOKUP($C54,'Segment IFRS17'!$AD$537:$AI$608,4,0)/1000</f>
        <v>-18646.404740000009</v>
      </c>
      <c r="AS54" s="203">
        <f>VLOOKUP($C54,'Segment IFRS17'!$AK$537:$AP$608,4,0)/1000</f>
        <v>-24010.571229999976</v>
      </c>
      <c r="AU54" s="38"/>
      <c r="AV54" s="38">
        <f t="shared" si="98"/>
        <v>-10025.804930000002</v>
      </c>
      <c r="AW54" s="38">
        <f t="shared" si="98"/>
        <v>-10046.916109999998</v>
      </c>
      <c r="AX54" s="38">
        <f t="shared" si="98"/>
        <v>-11913.31798</v>
      </c>
      <c r="AY54" s="38">
        <f t="shared" si="98"/>
        <v>-26085.998760000002</v>
      </c>
      <c r="AZ54" s="38">
        <f t="shared" si="98"/>
        <v>-16242.74869</v>
      </c>
      <c r="BA54" s="38">
        <f t="shared" si="98"/>
        <v>-36884.278790000004</v>
      </c>
      <c r="BB54" s="38">
        <f t="shared" si="98"/>
        <v>-18646.404740000009</v>
      </c>
      <c r="BC54" s="38">
        <f t="shared" si="98"/>
        <v>-24010.571229999976</v>
      </c>
      <c r="BF54" s="38"/>
      <c r="BG54" s="38">
        <f>VLOOKUP($C54,'Segment IFRS17'!$I$460:$N$531,5,0)/1000</f>
        <v>0</v>
      </c>
      <c r="BH54" s="38">
        <f>VLOOKUP($C54,'Segment IFRS17'!$P$460:$U$531,5,0)/1000</f>
        <v>0</v>
      </c>
      <c r="BI54" s="38">
        <f>VLOOKUP($C54,'Segment IFRS17'!$AD$460:$AI$531,5,0)/1000</f>
        <v>0</v>
      </c>
      <c r="BJ54" s="38">
        <f>VLOOKUP($C54,'Segment IFRS17'!$AK$460:$AP$531,5,0)/1000</f>
        <v>0</v>
      </c>
      <c r="BK54" s="38">
        <f>VLOOKUP($C54,'Segment IFRS17'!$I$537:$N$608,5,0)/1000</f>
        <v>0</v>
      </c>
      <c r="BL54" s="38">
        <f>VLOOKUP($C54,'Segment IFRS17'!$P$537:$U$608,5,0)/1000</f>
        <v>0</v>
      </c>
      <c r="BM54" s="38">
        <f>VLOOKUP($C54,'Segment IFRS17'!$AD$537:$AI$608,5,0)/1000</f>
        <v>0</v>
      </c>
      <c r="BN54" s="38">
        <f>VLOOKUP($C54,'Segment IFRS17'!$AK$537:$AP$608,5,0)/1000</f>
        <v>0</v>
      </c>
    </row>
    <row r="55" spans="3:67" x14ac:dyDescent="0.3">
      <c r="C55" s="56" t="s">
        <v>33</v>
      </c>
      <c r="D55" s="116"/>
      <c r="E55" s="57"/>
      <c r="F55" s="57">
        <f t="shared" ref="F55:M55" si="99">SUM(F53:F54)</f>
        <v>16677.391309999992</v>
      </c>
      <c r="G55" s="57">
        <f t="shared" si="99"/>
        <v>16859.447749999992</v>
      </c>
      <c r="H55" s="57">
        <f t="shared" si="99"/>
        <v>20216.76959</v>
      </c>
      <c r="I55" s="57">
        <f t="shared" si="99"/>
        <v>16230.149740000023</v>
      </c>
      <c r="J55" s="57">
        <f t="shared" si="99"/>
        <v>18363.24304999999</v>
      </c>
      <c r="K55" s="57">
        <f t="shared" si="99"/>
        <v>-2630.2770799999853</v>
      </c>
      <c r="L55" s="57">
        <f t="shared" si="99"/>
        <v>19977.702329999982</v>
      </c>
      <c r="M55" s="57">
        <f t="shared" si="99"/>
        <v>21567.810200000018</v>
      </c>
      <c r="N55" s="176">
        <f>M55/I55-1</f>
        <v>0.32887314938598888</v>
      </c>
      <c r="P55" s="57"/>
      <c r="Q55" s="57">
        <f t="shared" ref="Q55:X55" si="100">SUM(Q53:Q54)</f>
        <v>0</v>
      </c>
      <c r="R55" s="57">
        <f t="shared" si="100"/>
        <v>0</v>
      </c>
      <c r="S55" s="57">
        <f t="shared" si="100"/>
        <v>0</v>
      </c>
      <c r="T55" s="57">
        <f t="shared" si="100"/>
        <v>0</v>
      </c>
      <c r="U55" s="57">
        <f t="shared" si="100"/>
        <v>0</v>
      </c>
      <c r="V55" s="57">
        <f t="shared" si="100"/>
        <v>0</v>
      </c>
      <c r="W55" s="57">
        <f t="shared" si="100"/>
        <v>0</v>
      </c>
      <c r="X55" s="57">
        <f t="shared" si="100"/>
        <v>0</v>
      </c>
      <c r="Y55" s="176"/>
      <c r="Z55" s="42"/>
      <c r="AA55" s="57"/>
      <c r="AB55" s="57">
        <f t="shared" ref="AB55:AI55" si="101">SUM(AB53:AB54)</f>
        <v>5.7460000000000004</v>
      </c>
      <c r="AC55" s="57">
        <f t="shared" si="101"/>
        <v>-5.7460000000000004</v>
      </c>
      <c r="AD55" s="57">
        <f t="shared" si="101"/>
        <v>0</v>
      </c>
      <c r="AE55" s="57">
        <f t="shared" si="101"/>
        <v>0</v>
      </c>
      <c r="AF55" s="57">
        <f t="shared" si="101"/>
        <v>0</v>
      </c>
      <c r="AG55" s="57">
        <f t="shared" si="101"/>
        <v>0</v>
      </c>
      <c r="AH55" s="57">
        <f t="shared" si="101"/>
        <v>0</v>
      </c>
      <c r="AI55" s="57">
        <f t="shared" si="101"/>
        <v>0</v>
      </c>
      <c r="AJ55" s="42"/>
      <c r="AK55" s="57"/>
      <c r="AL55" s="57">
        <f t="shared" ref="AL55:AS55" si="102">SUM(AL53:AL54)</f>
        <v>16671.645309999993</v>
      </c>
      <c r="AM55" s="57">
        <f t="shared" si="102"/>
        <v>16865.193749999995</v>
      </c>
      <c r="AN55" s="57">
        <f t="shared" si="102"/>
        <v>20216.76959</v>
      </c>
      <c r="AO55" s="57">
        <f t="shared" si="102"/>
        <v>16230.149740000023</v>
      </c>
      <c r="AP55" s="57">
        <f t="shared" si="102"/>
        <v>18363.24304999999</v>
      </c>
      <c r="AQ55" s="57">
        <f t="shared" si="102"/>
        <v>-2630.2770799999853</v>
      </c>
      <c r="AR55" s="57">
        <f t="shared" si="102"/>
        <v>19977.702329999982</v>
      </c>
      <c r="AS55" s="57">
        <f t="shared" si="102"/>
        <v>21567.810200000018</v>
      </c>
      <c r="AT55" s="42"/>
      <c r="AU55" s="57"/>
      <c r="AV55" s="57">
        <f t="shared" ref="AV55:BC55" si="103">SUM(AV53:AV54)</f>
        <v>16677.391309999992</v>
      </c>
      <c r="AW55" s="57">
        <f t="shared" si="103"/>
        <v>16859.447749999996</v>
      </c>
      <c r="AX55" s="57">
        <f t="shared" si="103"/>
        <v>20216.76959</v>
      </c>
      <c r="AY55" s="57">
        <f t="shared" si="103"/>
        <v>16230.149740000023</v>
      </c>
      <c r="AZ55" s="57">
        <f t="shared" si="103"/>
        <v>18363.24304999999</v>
      </c>
      <c r="BA55" s="57">
        <f t="shared" si="103"/>
        <v>-2630.2770799999853</v>
      </c>
      <c r="BB55" s="57">
        <f t="shared" si="103"/>
        <v>19977.702329999982</v>
      </c>
      <c r="BC55" s="57">
        <f t="shared" si="103"/>
        <v>21567.810200000018</v>
      </c>
      <c r="BD55" s="176">
        <f>BA55/AW55-1</f>
        <v>-1.1560120544280572</v>
      </c>
      <c r="BE55" s="42"/>
      <c r="BF55" s="57"/>
      <c r="BG55" s="57">
        <f t="shared" ref="BG55:BN55" si="104">SUM(BG53:BG54)</f>
        <v>0</v>
      </c>
      <c r="BH55" s="57">
        <f t="shared" si="104"/>
        <v>0</v>
      </c>
      <c r="BI55" s="57">
        <f t="shared" si="104"/>
        <v>0</v>
      </c>
      <c r="BJ55" s="57">
        <f t="shared" si="104"/>
        <v>0</v>
      </c>
      <c r="BK55" s="57">
        <f t="shared" si="104"/>
        <v>0</v>
      </c>
      <c r="BL55" s="57">
        <f t="shared" si="104"/>
        <v>0</v>
      </c>
      <c r="BM55" s="57">
        <f t="shared" si="104"/>
        <v>0</v>
      </c>
      <c r="BN55" s="57">
        <f t="shared" si="104"/>
        <v>0</v>
      </c>
      <c r="BO55" s="42"/>
    </row>
    <row r="56" spans="3:67" x14ac:dyDescent="0.3">
      <c r="C56" s="39" t="s">
        <v>64</v>
      </c>
      <c r="D56" s="109"/>
      <c r="E56" s="40"/>
      <c r="F56" s="40"/>
      <c r="G56" s="40"/>
      <c r="H56" s="40"/>
      <c r="I56" s="40"/>
      <c r="J56" s="40"/>
      <c r="K56" s="40"/>
      <c r="L56" s="40"/>
      <c r="M56" s="40"/>
      <c r="N56" s="169"/>
      <c r="P56" s="40"/>
      <c r="Q56" s="40"/>
      <c r="R56" s="40"/>
      <c r="S56" s="40"/>
      <c r="T56" s="40"/>
      <c r="U56" s="40"/>
      <c r="V56" s="40"/>
      <c r="W56" s="40"/>
      <c r="X56" s="40"/>
      <c r="Y56" s="169"/>
      <c r="AA56" s="40"/>
      <c r="AB56" s="40"/>
      <c r="AC56" s="40"/>
      <c r="AD56" s="40"/>
      <c r="AE56" s="40"/>
      <c r="AF56" s="40"/>
      <c r="AG56" s="40"/>
      <c r="AH56" s="40"/>
      <c r="AI56" s="40"/>
      <c r="AK56" s="40"/>
      <c r="AL56" s="40">
        <f t="shared" ref="AL56:AS56" si="105">AL55/AL175</f>
        <v>0.11563428651884325</v>
      </c>
      <c r="AM56" s="40">
        <f t="shared" si="105"/>
        <v>0.15149975085328296</v>
      </c>
      <c r="AN56" s="40">
        <f t="shared" si="105"/>
        <v>0.15508261918371086</v>
      </c>
      <c r="AO56" s="40">
        <f t="shared" si="105"/>
        <v>6.8782405848216696E-2</v>
      </c>
      <c r="AP56" s="40">
        <f t="shared" si="105"/>
        <v>0.10832994882923001</v>
      </c>
      <c r="AQ56" s="40">
        <f t="shared" si="105"/>
        <v>-1.4882361805487739E-2</v>
      </c>
      <c r="AR56" s="40">
        <f t="shared" si="105"/>
        <v>0.10308143729039554</v>
      </c>
      <c r="AS56" s="40">
        <f t="shared" si="105"/>
        <v>9.3069655890230904E-2</v>
      </c>
      <c r="AU56" s="40"/>
      <c r="AV56" s="40"/>
      <c r="AW56" s="40"/>
      <c r="AX56" s="40"/>
      <c r="AY56" s="40"/>
      <c r="AZ56" s="40"/>
      <c r="BA56" s="40"/>
      <c r="BB56" s="40"/>
      <c r="BC56" s="40"/>
      <c r="BD56" s="169"/>
      <c r="BF56" s="40"/>
      <c r="BG56" s="40"/>
      <c r="BH56" s="40"/>
      <c r="BI56" s="40"/>
      <c r="BJ56" s="40"/>
      <c r="BK56" s="40"/>
      <c r="BL56" s="40"/>
      <c r="BM56" s="40"/>
      <c r="BN56" s="40"/>
    </row>
    <row r="57" spans="3:67" ht="13.5" thickBot="1" x14ac:dyDescent="0.35">
      <c r="C57" s="50" t="s">
        <v>34</v>
      </c>
      <c r="D57" s="114"/>
      <c r="E57" s="52"/>
      <c r="F57" s="52">
        <f t="shared" ref="F57:M57" si="106">F49+F51+F55</f>
        <v>70727.90768480947</v>
      </c>
      <c r="G57" s="52">
        <f t="shared" si="106"/>
        <v>133284.3167745322</v>
      </c>
      <c r="H57" s="52">
        <f t="shared" si="106"/>
        <v>148971.28393971093</v>
      </c>
      <c r="I57" s="52">
        <f t="shared" si="106"/>
        <v>137345.58860683974</v>
      </c>
      <c r="J57" s="52">
        <f t="shared" si="106"/>
        <v>139906.96877486474</v>
      </c>
      <c r="K57" s="52">
        <f t="shared" si="106"/>
        <v>72908.403631581881</v>
      </c>
      <c r="L57" s="52">
        <f t="shared" si="106"/>
        <v>141178.72571467809</v>
      </c>
      <c r="M57" s="52">
        <f t="shared" si="106"/>
        <v>208174.05766937521</v>
      </c>
      <c r="N57" s="174">
        <f>M57/I57-1</f>
        <v>0.51569526026268209</v>
      </c>
      <c r="O57" s="132">
        <f>K57/J57-1</f>
        <v>-0.47887939914626765</v>
      </c>
      <c r="P57" s="51"/>
      <c r="Q57" s="51">
        <f t="shared" ref="Q57:X57" si="107">Q49+Q51+Q55</f>
        <v>0</v>
      </c>
      <c r="R57" s="51">
        <f t="shared" si="107"/>
        <v>0</v>
      </c>
      <c r="S57" s="51">
        <f t="shared" si="107"/>
        <v>0</v>
      </c>
      <c r="T57" s="51">
        <f t="shared" si="107"/>
        <v>0</v>
      </c>
      <c r="U57" s="51">
        <f t="shared" si="107"/>
        <v>0</v>
      </c>
      <c r="V57" s="51">
        <f t="shared" si="107"/>
        <v>0</v>
      </c>
      <c r="W57" s="51">
        <f t="shared" si="107"/>
        <v>0</v>
      </c>
      <c r="X57" s="51">
        <f t="shared" si="107"/>
        <v>0</v>
      </c>
      <c r="Y57" s="174"/>
      <c r="Z57" s="53"/>
      <c r="AA57" s="51"/>
      <c r="AB57" s="51">
        <f t="shared" ref="AB57:AI57" si="108">AB49+AB51+AB55</f>
        <v>53259.360674809483</v>
      </c>
      <c r="AC57" s="51">
        <f t="shared" si="108"/>
        <v>115386.36687453221</v>
      </c>
      <c r="AD57" s="51">
        <f t="shared" si="108"/>
        <v>126816.95999971093</v>
      </c>
      <c r="AE57" s="51">
        <f t="shared" si="108"/>
        <v>122535.69961683972</v>
      </c>
      <c r="AF57" s="51">
        <f t="shared" si="108"/>
        <v>120987.92417486475</v>
      </c>
      <c r="AG57" s="51">
        <f t="shared" si="108"/>
        <v>75279.188121581872</v>
      </c>
      <c r="AH57" s="51">
        <f t="shared" si="108"/>
        <v>121039.0425546781</v>
      </c>
      <c r="AI57" s="51">
        <f t="shared" si="108"/>
        <v>186364.34847937518</v>
      </c>
      <c r="AJ57" s="53"/>
      <c r="AK57" s="51"/>
      <c r="AL57" s="51">
        <f t="shared" ref="AL57:AS57" si="109">AL49+AL51+AL55</f>
        <v>17468.547009999991</v>
      </c>
      <c r="AM57" s="51">
        <f t="shared" si="109"/>
        <v>17897.949899999996</v>
      </c>
      <c r="AN57" s="51">
        <f t="shared" si="109"/>
        <v>22154.323939999998</v>
      </c>
      <c r="AO57" s="51">
        <f t="shared" si="109"/>
        <v>14809.888990000023</v>
      </c>
      <c r="AP57" s="51">
        <f t="shared" si="109"/>
        <v>18919.04459999999</v>
      </c>
      <c r="AQ57" s="51">
        <f t="shared" si="109"/>
        <v>-2370.7844899999855</v>
      </c>
      <c r="AR57" s="51">
        <f t="shared" si="109"/>
        <v>20139.683159999982</v>
      </c>
      <c r="AS57" s="51">
        <f t="shared" si="109"/>
        <v>21809.70919000002</v>
      </c>
      <c r="AT57" s="53"/>
      <c r="AU57" s="51"/>
      <c r="AV57" s="51">
        <f t="shared" ref="AV57:BC57" si="110">AV49+AV51+AV55</f>
        <v>70727.90768480947</v>
      </c>
      <c r="AW57" s="51">
        <f t="shared" si="110"/>
        <v>133284.3167745322</v>
      </c>
      <c r="AX57" s="51">
        <f t="shared" si="110"/>
        <v>148971.28393971093</v>
      </c>
      <c r="AY57" s="51">
        <f t="shared" si="110"/>
        <v>137345.58860683974</v>
      </c>
      <c r="AZ57" s="51">
        <f t="shared" si="110"/>
        <v>139906.96877486474</v>
      </c>
      <c r="BA57" s="51">
        <f t="shared" si="110"/>
        <v>72908.403631581881</v>
      </c>
      <c r="BB57" s="51">
        <f t="shared" si="110"/>
        <v>141178.72571467809</v>
      </c>
      <c r="BC57" s="51">
        <f t="shared" si="110"/>
        <v>208174.05766937521</v>
      </c>
      <c r="BD57" s="174">
        <f>BA57/AW57-1</f>
        <v>-0.45298587713874883</v>
      </c>
      <c r="BE57" s="259"/>
      <c r="BF57" s="51"/>
      <c r="BG57" s="51">
        <f t="shared" ref="BG57:BN57" si="111">BG49+BG51+BG55</f>
        <v>0</v>
      </c>
      <c r="BH57" s="51">
        <f t="shared" si="111"/>
        <v>0</v>
      </c>
      <c r="BI57" s="51">
        <f t="shared" si="111"/>
        <v>0</v>
      </c>
      <c r="BJ57" s="51">
        <f t="shared" si="111"/>
        <v>0</v>
      </c>
      <c r="BK57" s="51">
        <f t="shared" si="111"/>
        <v>0</v>
      </c>
      <c r="BL57" s="51">
        <f t="shared" si="111"/>
        <v>0</v>
      </c>
      <c r="BM57" s="51">
        <f t="shared" si="111"/>
        <v>0</v>
      </c>
      <c r="BN57" s="51">
        <f t="shared" si="111"/>
        <v>0</v>
      </c>
      <c r="BO57" s="53"/>
    </row>
    <row r="58" spans="3:67" ht="13.5" thickTop="1" x14ac:dyDescent="0.3">
      <c r="C58" s="39" t="s">
        <v>79</v>
      </c>
      <c r="D58" s="109"/>
      <c r="E58" s="41"/>
      <c r="F58" s="41">
        <f t="shared" ref="F58:M58" si="112">(F41+F45+F51+F53)/1000</f>
        <v>580.36042132730859</v>
      </c>
      <c r="G58" s="41">
        <f t="shared" si="112"/>
        <v>663.75200773401366</v>
      </c>
      <c r="H58" s="41">
        <f t="shared" si="112"/>
        <v>729.39005509846049</v>
      </c>
      <c r="I58" s="41">
        <f t="shared" si="112"/>
        <v>694.4709147818113</v>
      </c>
      <c r="J58" s="41">
        <f t="shared" si="112"/>
        <v>1064.6392251764353</v>
      </c>
      <c r="K58" s="41">
        <f t="shared" si="112"/>
        <v>845.61917296554122</v>
      </c>
      <c r="L58" s="41">
        <f t="shared" si="112"/>
        <v>1078.4539143661443</v>
      </c>
      <c r="M58" s="41">
        <f t="shared" si="112"/>
        <v>1066.8811059794166</v>
      </c>
      <c r="N58" s="169"/>
      <c r="P58" s="41"/>
      <c r="Q58" s="41"/>
      <c r="R58" s="41"/>
      <c r="S58" s="41"/>
      <c r="T58" s="41"/>
      <c r="U58" s="41"/>
      <c r="V58" s="41"/>
      <c r="W58" s="41"/>
      <c r="X58" s="41"/>
      <c r="Y58" s="169"/>
      <c r="AA58" s="41"/>
      <c r="AB58" s="41">
        <f t="shared" ref="AB58:AI58" si="113">(AB41+AB45+AB51+AB53)/1000</f>
        <v>552.8660693873087</v>
      </c>
      <c r="AC58" s="41">
        <f t="shared" si="113"/>
        <v>635.80714172401349</v>
      </c>
      <c r="AD58" s="41">
        <f t="shared" si="113"/>
        <v>695.32241317846058</v>
      </c>
      <c r="AE58" s="41">
        <f t="shared" si="113"/>
        <v>653.57502703181126</v>
      </c>
      <c r="AF58" s="41">
        <f t="shared" si="113"/>
        <v>1029.4774318864352</v>
      </c>
      <c r="AG58" s="41">
        <f t="shared" si="113"/>
        <v>811.10567866554118</v>
      </c>
      <c r="AH58" s="41">
        <f t="shared" si="113"/>
        <v>1039.6678264661443</v>
      </c>
      <c r="AI58" s="41">
        <f t="shared" si="113"/>
        <v>1021.0608255594166</v>
      </c>
      <c r="AK58" s="41"/>
      <c r="AL58" s="41">
        <f t="shared" ref="AL58:AS58" si="114">(AL41+AL45+AL51+AL53)/1000</f>
        <v>27.494351939999994</v>
      </c>
      <c r="AM58" s="41">
        <f t="shared" si="114"/>
        <v>27.944866009999995</v>
      </c>
      <c r="AN58" s="41">
        <f t="shared" si="114"/>
        <v>34.06764192</v>
      </c>
      <c r="AO58" s="41">
        <f t="shared" si="114"/>
        <v>40.895887750000021</v>
      </c>
      <c r="AP58" s="41">
        <f t="shared" si="114"/>
        <v>35.161793289999984</v>
      </c>
      <c r="AQ58" s="41">
        <f t="shared" si="114"/>
        <v>34.513494300000019</v>
      </c>
      <c r="AR58" s="41">
        <f t="shared" si="114"/>
        <v>38.786087899999991</v>
      </c>
      <c r="AS58" s="41">
        <f t="shared" si="114"/>
        <v>45.820280419999996</v>
      </c>
      <c r="AU58" s="41"/>
      <c r="AV58" s="41">
        <f t="shared" ref="AV58:BC58" si="115">(AV41+AV45+AV51+AV53)/1000</f>
        <v>580.36042132730859</v>
      </c>
      <c r="AW58" s="41">
        <f t="shared" si="115"/>
        <v>663.75200773401366</v>
      </c>
      <c r="AX58" s="41">
        <f t="shared" si="115"/>
        <v>729.39005509846049</v>
      </c>
      <c r="AY58" s="41">
        <f t="shared" si="115"/>
        <v>694.4709147818113</v>
      </c>
      <c r="AZ58" s="41">
        <f t="shared" si="115"/>
        <v>1064.6392251764353</v>
      </c>
      <c r="BA58" s="41">
        <f t="shared" si="115"/>
        <v>845.61917296554122</v>
      </c>
      <c r="BB58" s="41">
        <f t="shared" si="115"/>
        <v>1078.4539143661443</v>
      </c>
      <c r="BC58" s="41">
        <f t="shared" si="115"/>
        <v>1066.8811059794166</v>
      </c>
      <c r="BD58" s="169"/>
      <c r="BF58" s="41"/>
      <c r="BG58" s="41">
        <f t="shared" ref="BG58:BN58" si="116">(BG41+BG45+BG51+BG53)/1000</f>
        <v>0</v>
      </c>
      <c r="BH58" s="41">
        <f t="shared" si="116"/>
        <v>0</v>
      </c>
      <c r="BI58" s="41">
        <f t="shared" si="116"/>
        <v>0</v>
      </c>
      <c r="BJ58" s="41">
        <f t="shared" si="116"/>
        <v>0</v>
      </c>
      <c r="BK58" s="41">
        <f t="shared" si="116"/>
        <v>0</v>
      </c>
      <c r="BL58" s="41">
        <f t="shared" si="116"/>
        <v>0</v>
      </c>
      <c r="BM58" s="41">
        <f t="shared" si="116"/>
        <v>0</v>
      </c>
      <c r="BN58" s="41">
        <f t="shared" si="116"/>
        <v>0</v>
      </c>
    </row>
    <row r="60" spans="3:67" x14ac:dyDescent="0.3">
      <c r="C60" s="36" t="s">
        <v>35</v>
      </c>
      <c r="E60" s="203"/>
      <c r="F60" s="203">
        <f>VLOOKUP($C60,'Segment IFRS17'!$I$460:$N$531,6,0)/1000</f>
        <v>20107.437550000002</v>
      </c>
      <c r="G60" s="203">
        <f>VLOOKUP($C60,'Segment IFRS17'!$P$460:$U$531,6,0)/1000</f>
        <v>8821.7471304139453</v>
      </c>
      <c r="H60" s="203">
        <f>VLOOKUP($C60,'Segment IFRS17'!$AD$460:$AI$531,6,0)/1000</f>
        <v>26527.69129208256</v>
      </c>
      <c r="I60" s="203">
        <f>VLOOKUP($C60,'Segment IFRS17'!$AK$460:$AP$531,6,0)/1000</f>
        <v>9593.988167503494</v>
      </c>
      <c r="J60" s="203">
        <f>VLOOKUP($C60,'Segment IFRS17'!$I$537:$N$608,6,0)/1000</f>
        <v>15510.700469999998</v>
      </c>
      <c r="K60" s="203">
        <f>VLOOKUP($C60,'Segment IFRS17'!$P$539:$U$600,6,0)/1000</f>
        <v>14903.355212816627</v>
      </c>
      <c r="L60" s="203">
        <f>VLOOKUP($C60,'Segment IFRS17'!$AD$539:$AI$600,6,0)/1000</f>
        <v>34772.337129999971</v>
      </c>
      <c r="M60" s="203">
        <f>VLOOKUP($C60,'Segment IFRS17'!$AK$539:$AP$600,6,0)/1000</f>
        <v>28376.473957183378</v>
      </c>
      <c r="N60" s="132">
        <f>M60/I60-1</f>
        <v>1.9577349337681516</v>
      </c>
      <c r="P60" s="38"/>
      <c r="Q60" s="38">
        <f>VLOOKUP($C60,'Segment IFRS17'!$I$460:$N$531,2,0)/1000</f>
        <v>5898.3331200000002</v>
      </c>
      <c r="R60" s="38">
        <f>VLOOKUP($C60,'Segment IFRS17'!$P$460:$U$531,2,0)/1000</f>
        <v>5448.0921899999985</v>
      </c>
      <c r="S60" s="38">
        <f>VLOOKUP($C60,'Segment IFRS17'!$AD$460:$AI$531,2,0)/1000</f>
        <v>6181.2788500000015</v>
      </c>
      <c r="T60" s="38">
        <f>VLOOKUP($C60,'Segment IFRS17'!$AK$460:$AP$531,2,0)/1000</f>
        <v>15149.061380000003</v>
      </c>
      <c r="U60" s="38">
        <f>VLOOKUP($C60,'Segment IFRS17'!$I$537:$N$608,2,0)/1000</f>
        <v>5943.9464699999999</v>
      </c>
      <c r="V60" s="38">
        <f>VLOOKUP($C60,'Segment IFRS17'!$P$537:$U$608,2,0)/1000</f>
        <v>5642.1050300000006</v>
      </c>
      <c r="W60" s="38">
        <f>VLOOKUP($C60,'Segment IFRS17'!$AD$537:$AI$608,2,0)/1000</f>
        <v>13053.529789999995</v>
      </c>
      <c r="X60" s="38">
        <f>VLOOKUP($C60,'Segment IFRS17'!$AK$537:$AP$608,2,0)/1000</f>
        <v>22456.505230000006</v>
      </c>
      <c r="Y60" s="132">
        <f>W60/S60-1</f>
        <v>1.111784649547074</v>
      </c>
      <c r="AA60" s="38"/>
      <c r="AB60" s="38">
        <f>VLOOKUP($C60,'Segment IFRS17'!$I$460:$N$531,3,0)/1000</f>
        <v>10897.085999999999</v>
      </c>
      <c r="AC60" s="38">
        <f>VLOOKUP($C60,'Segment IFRS17'!$P$460:$U$531,3,0)/1000</f>
        <v>-1657.0956495860516</v>
      </c>
      <c r="AD60" s="38">
        <f>VLOOKUP($C60,'Segment IFRS17'!$AD$460:$AI$531,3,0)/1000</f>
        <v>14723.827112082556</v>
      </c>
      <c r="AE60" s="38">
        <f>VLOOKUP($C60,'Segment IFRS17'!$AK$460:$AP$531,3,0)/1000</f>
        <v>-12081.774462496503</v>
      </c>
      <c r="AF60" s="38">
        <f>VLOOKUP($C60,'Segment IFRS17'!$I$537:$N$608,3,0)/1000</f>
        <v>2863.1080000000002</v>
      </c>
      <c r="AG60" s="38">
        <f>VLOOKUP($C60,'Segment IFRS17'!$P$537:$U$608,3,0)/1000</f>
        <v>2186.3343528166265</v>
      </c>
      <c r="AH60" s="38">
        <f>VLOOKUP($C60,'Segment IFRS17'!$AD$537:$AI$608,3,0)/1000</f>
        <v>12717.724649999976</v>
      </c>
      <c r="AI60" s="38">
        <f>VLOOKUP($C60,'Segment IFRS17'!$AK$537:$AP$608,3,0)/1000</f>
        <v>-1134.320382816622</v>
      </c>
      <c r="AK60" s="38"/>
      <c r="AL60" s="38">
        <f>VLOOKUP($C60,'Segment IFRS17'!$I$460:$N$531,4,0)/1000</f>
        <v>0</v>
      </c>
      <c r="AM60" s="38">
        <f>VLOOKUP($C60,'Segment IFRS17'!$P$460:$U$531,4,0)/1000</f>
        <v>0</v>
      </c>
      <c r="AN60" s="38">
        <f>VLOOKUP($C60,'Segment IFRS17'!$AD$460:$AI$531,4,0)/1000</f>
        <v>0</v>
      </c>
      <c r="AO60" s="38">
        <f>VLOOKUP($C60,'Segment IFRS17'!$AK$460:$AP$531,4,0)/1000</f>
        <v>0</v>
      </c>
      <c r="AP60" s="38">
        <f>VLOOKUP($C60,'Segment IFRS17'!$I$537:$N$608,4,0)/1000</f>
        <v>0</v>
      </c>
      <c r="AQ60" s="38">
        <f>VLOOKUP($C60,'Segment IFRS17'!$P$537:$U$608,4,0)/1000</f>
        <v>0</v>
      </c>
      <c r="AR60" s="38">
        <f>VLOOKUP($C60,'Segment IFRS17'!$AD$537:$AI$608,4,0)/1000</f>
        <v>0</v>
      </c>
      <c r="AS60" s="38">
        <f>VLOOKUP($C60,'Segment IFRS17'!$AK$537:$AP$608,4,0)/1000</f>
        <v>0</v>
      </c>
      <c r="AU60" s="38"/>
      <c r="AV60" s="38">
        <f t="shared" ref="AV60:BC61" si="117">AB60+AL60</f>
        <v>10897.085999999999</v>
      </c>
      <c r="AW60" s="38">
        <f t="shared" si="117"/>
        <v>-1657.0956495860516</v>
      </c>
      <c r="AX60" s="38">
        <f t="shared" si="117"/>
        <v>14723.827112082556</v>
      </c>
      <c r="AY60" s="38">
        <f t="shared" si="117"/>
        <v>-12081.774462496503</v>
      </c>
      <c r="AZ60" s="38">
        <f t="shared" si="117"/>
        <v>2863.1080000000002</v>
      </c>
      <c r="BA60" s="38">
        <f t="shared" si="117"/>
        <v>2186.3343528166265</v>
      </c>
      <c r="BB60" s="38">
        <f t="shared" si="117"/>
        <v>12717.724649999976</v>
      </c>
      <c r="BC60" s="38">
        <f t="shared" si="117"/>
        <v>-1134.320382816622</v>
      </c>
      <c r="BF60" s="38"/>
      <c r="BG60" s="38">
        <f>VLOOKUP($C60,'Segment IFRS17'!$I$460:$N$531,5,0)/1000</f>
        <v>3312.0184300000001</v>
      </c>
      <c r="BH60" s="38">
        <f>VLOOKUP($C60,'Segment IFRS17'!$P$460:$U$531,5,0)/1000</f>
        <v>5030.7505899999996</v>
      </c>
      <c r="BI60" s="38">
        <f>VLOOKUP($C60,'Segment IFRS17'!$AD$460:$AI$531,5,0)/1000</f>
        <v>5622.5853300000008</v>
      </c>
      <c r="BJ60" s="38">
        <f>VLOOKUP($C60,'Segment IFRS17'!$AK$460:$AP$531,5,0)/1000</f>
        <v>6526.7012499999973</v>
      </c>
      <c r="BK60" s="38">
        <f>VLOOKUP($C60,'Segment IFRS17'!$I$537:$N$608,5,0)/1000</f>
        <v>6703.6459999999997</v>
      </c>
      <c r="BL60" s="38">
        <f>VLOOKUP($C60,'Segment IFRS17'!$P$537:$U$608,5,0)/1000</f>
        <v>7074.9158299999999</v>
      </c>
      <c r="BM60" s="38">
        <f>VLOOKUP($C60,'Segment IFRS17'!$AD$537:$AI$608,5,0)/1000</f>
        <v>9001.0826900000029</v>
      </c>
      <c r="BN60" s="38">
        <f>VLOOKUP($C60,'Segment IFRS17'!$AK$537:$AP$608,5,0)/1000</f>
        <v>7054.2891099999961</v>
      </c>
    </row>
    <row r="61" spans="3:67" x14ac:dyDescent="0.3">
      <c r="C61" s="36" t="s">
        <v>36</v>
      </c>
      <c r="E61" s="203"/>
      <c r="F61" s="203">
        <f>VLOOKUP($C61,'Segment IFRS17'!$I$460:$N$531,6,0)/1000</f>
        <v>-11302.411049999999</v>
      </c>
      <c r="G61" s="203">
        <f>VLOOKUP($C61,'Segment IFRS17'!$P$460:$U$531,6,0)/1000</f>
        <v>-11072.191850000003</v>
      </c>
      <c r="H61" s="203">
        <f>VLOOKUP($C61,'Segment IFRS17'!$AD$460:$AI$531,6,0)/1000</f>
        <v>-12029.972259999999</v>
      </c>
      <c r="I61" s="203">
        <f>VLOOKUP($C61,'Segment IFRS17'!$AK$460:$AP$531,6,0)/1000</f>
        <v>-13505.490887969547</v>
      </c>
      <c r="J61" s="203">
        <f>VLOOKUP($C61,'Segment IFRS17'!$I$537:$N$608,6,0)/1000</f>
        <v>-19442.5134</v>
      </c>
      <c r="K61" s="203">
        <f>VLOOKUP($C61,'Segment IFRS17'!$P$539:$U$600,6,0)/1000</f>
        <v>-13676.008439998752</v>
      </c>
      <c r="L61" s="203">
        <f>VLOOKUP($C61,'Segment IFRS17'!$AD$539:$AI$600,6,0)/1000</f>
        <v>-16158.120860001247</v>
      </c>
      <c r="M61" s="203">
        <f>VLOOKUP($C61,'Segment IFRS17'!$AK$539:$AP$600,6,0)/1000</f>
        <v>-17227.396970000002</v>
      </c>
      <c r="N61" s="132">
        <f>M61/I61-1</f>
        <v>0.27558465759625683</v>
      </c>
      <c r="P61" s="38"/>
      <c r="Q61" s="38">
        <f>VLOOKUP($C61,'Segment IFRS17'!$I$460:$N$531,2,0)/1000</f>
        <v>-9394.9259699999984</v>
      </c>
      <c r="R61" s="38">
        <f>VLOOKUP($C61,'Segment IFRS17'!$P$460:$U$531,2,0)/1000</f>
        <v>-10059.831290000004</v>
      </c>
      <c r="S61" s="38">
        <f>VLOOKUP($C61,'Segment IFRS17'!$AD$460:$AI$531,2,0)/1000</f>
        <v>-10129.145109999999</v>
      </c>
      <c r="T61" s="38">
        <f>VLOOKUP($C61,'Segment IFRS17'!$AK$460:$AP$531,2,0)/1000</f>
        <v>-11905.893669999998</v>
      </c>
      <c r="U61" s="38">
        <f>VLOOKUP($C61,'Segment IFRS17'!$I$537:$N$608,2,0)/1000</f>
        <v>-17304.206009999998</v>
      </c>
      <c r="V61" s="38">
        <f>VLOOKUP($C61,'Segment IFRS17'!$P$537:$U$608,2,0)/1000</f>
        <v>-12181.992060000002</v>
      </c>
      <c r="W61" s="38">
        <f>VLOOKUP($C61,'Segment IFRS17'!$AD$537:$AI$608,2,0)/1000</f>
        <v>-12967.635329999997</v>
      </c>
      <c r="X61" s="38">
        <f>VLOOKUP($C61,'Segment IFRS17'!$AK$537:$AP$608,2,0)/1000</f>
        <v>-14889.078850000002</v>
      </c>
      <c r="Y61" s="132">
        <f>W61/S61-1</f>
        <v>0.28022998872804172</v>
      </c>
      <c r="AA61" s="38"/>
      <c r="AB61" s="38">
        <f>VLOOKUP($C61,'Segment IFRS17'!$I$460:$N$531,3,0)/1000</f>
        <v>-631.56325999999979</v>
      </c>
      <c r="AC61" s="38">
        <f>VLOOKUP($C61,'Segment IFRS17'!$P$460:$U$531,3,0)/1000</f>
        <v>631.5636999999997</v>
      </c>
      <c r="AD61" s="38">
        <f>VLOOKUP($C61,'Segment IFRS17'!$AD$460:$AI$531,3,0)/1000</f>
        <v>-374.7328799999994</v>
      </c>
      <c r="AE61" s="38">
        <f>VLOOKUP($C61,'Segment IFRS17'!$AK$460:$AP$531,3,0)/1000</f>
        <v>106.72098203045346</v>
      </c>
      <c r="AF61" s="38">
        <f>VLOOKUP($C61,'Segment IFRS17'!$I$537:$N$608,3,0)/1000</f>
        <v>-152.99700000000001</v>
      </c>
      <c r="AG61" s="38">
        <f>VLOOKUP($C61,'Segment IFRS17'!$P$537:$U$608,3,0)/1000</f>
        <v>136.93414000125043</v>
      </c>
      <c r="AH61" s="38">
        <f>VLOOKUP($C61,'Segment IFRS17'!$AD$537:$AI$608,3,0)/1000</f>
        <v>-517.59640000125023</v>
      </c>
      <c r="AI61" s="38">
        <f>VLOOKUP($C61,'Segment IFRS17'!$AK$537:$AP$608,3,0)/1000</f>
        <v>-221.95896000000042</v>
      </c>
      <c r="AK61" s="38"/>
      <c r="AL61" s="38">
        <f>VLOOKUP($C61,'Segment IFRS17'!$I$460:$N$531,4,0)/1000</f>
        <v>0</v>
      </c>
      <c r="AM61" s="38">
        <f>VLOOKUP($C61,'Segment IFRS17'!$P$460:$U$531,4,0)/1000</f>
        <v>0</v>
      </c>
      <c r="AN61" s="38">
        <f>VLOOKUP($C61,'Segment IFRS17'!$AD$460:$AI$531,4,0)/1000</f>
        <v>0</v>
      </c>
      <c r="AO61" s="38">
        <f>VLOOKUP($C61,'Segment IFRS17'!$AK$460:$AP$531,4,0)/1000</f>
        <v>0</v>
      </c>
      <c r="AP61" s="38">
        <f>VLOOKUP($C61,'Segment IFRS17'!$I$537:$N$608,4,0)/1000</f>
        <v>0</v>
      </c>
      <c r="AQ61" s="38">
        <f>VLOOKUP($C61,'Segment IFRS17'!$P$537:$U$608,4,0)/1000</f>
        <v>0</v>
      </c>
      <c r="AR61" s="38">
        <f>VLOOKUP($C61,'Segment IFRS17'!$AD$537:$AI$608,4,0)/1000</f>
        <v>0</v>
      </c>
      <c r="AS61" s="38">
        <f>VLOOKUP($C61,'Segment IFRS17'!$AK$537:$AP$608,4,0)/1000</f>
        <v>0</v>
      </c>
      <c r="AU61" s="38"/>
      <c r="AV61" s="38">
        <f t="shared" si="117"/>
        <v>-631.56325999999979</v>
      </c>
      <c r="AW61" s="38">
        <f t="shared" si="117"/>
        <v>631.5636999999997</v>
      </c>
      <c r="AX61" s="38">
        <f t="shared" si="117"/>
        <v>-374.7328799999994</v>
      </c>
      <c r="AY61" s="38">
        <f t="shared" si="117"/>
        <v>106.72098203045346</v>
      </c>
      <c r="AZ61" s="38">
        <f t="shared" si="117"/>
        <v>-152.99700000000001</v>
      </c>
      <c r="BA61" s="38">
        <f t="shared" si="117"/>
        <v>136.93414000125043</v>
      </c>
      <c r="BB61" s="38">
        <f t="shared" si="117"/>
        <v>-517.59640000125023</v>
      </c>
      <c r="BC61" s="38">
        <f t="shared" si="117"/>
        <v>-221.95896000000042</v>
      </c>
      <c r="BF61" s="38"/>
      <c r="BG61" s="38">
        <f>VLOOKUP($C61,'Segment IFRS17'!$I$460:$N$531,5,0)/1000</f>
        <v>-1275.9218199999998</v>
      </c>
      <c r="BH61" s="38">
        <f>VLOOKUP($C61,'Segment IFRS17'!$P$460:$U$531,5,0)/1000</f>
        <v>-1643.9242600000002</v>
      </c>
      <c r="BI61" s="38">
        <f>VLOOKUP($C61,'Segment IFRS17'!$AD$460:$AI$531,5,0)/1000</f>
        <v>-1526.0942700000005</v>
      </c>
      <c r="BJ61" s="38">
        <f>VLOOKUP($C61,'Segment IFRS17'!$AK$460:$AP$531,5,0)/1000</f>
        <v>-1706.3182000000002</v>
      </c>
      <c r="BK61" s="38">
        <f>VLOOKUP($C61,'Segment IFRS17'!$I$537:$N$608,5,0)/1000</f>
        <v>-1985.3103900000001</v>
      </c>
      <c r="BL61" s="38">
        <f>VLOOKUP($C61,'Segment IFRS17'!$P$537:$U$608,5,0)/1000</f>
        <v>-1630.9505200000001</v>
      </c>
      <c r="BM61" s="38">
        <f>VLOOKUP($C61,'Segment IFRS17'!$AD$537:$AI$608,5,0)/1000</f>
        <v>-2672.88913</v>
      </c>
      <c r="BN61" s="38">
        <f>VLOOKUP($C61,'Segment IFRS17'!$AK$537:$AP$608,5,0)/1000</f>
        <v>-2116.3591600000009</v>
      </c>
    </row>
    <row r="62" spans="3:67" ht="13.5" thickBot="1" x14ac:dyDescent="0.35">
      <c r="C62" s="50" t="s">
        <v>37</v>
      </c>
      <c r="D62" s="114"/>
      <c r="E62" s="58"/>
      <c r="F62" s="58">
        <f t="shared" ref="F62:M62" si="118">SUM(F60:F61)</f>
        <v>8805.0265000000036</v>
      </c>
      <c r="G62" s="58">
        <f t="shared" si="118"/>
        <v>-2250.4447195860575</v>
      </c>
      <c r="H62" s="58">
        <f t="shared" si="118"/>
        <v>14497.719032082561</v>
      </c>
      <c r="I62" s="58">
        <f t="shared" si="118"/>
        <v>-3911.5027204660528</v>
      </c>
      <c r="J62" s="58">
        <f t="shared" si="118"/>
        <v>-3931.8129300000019</v>
      </c>
      <c r="K62" s="58">
        <f t="shared" si="118"/>
        <v>1227.3467728178748</v>
      </c>
      <c r="L62" s="58">
        <f t="shared" si="118"/>
        <v>18614.216269998724</v>
      </c>
      <c r="M62" s="58">
        <f t="shared" si="118"/>
        <v>11149.076987183376</v>
      </c>
      <c r="N62" s="174">
        <f>M62/I62-1</f>
        <v>-3.8503308789351864</v>
      </c>
      <c r="O62" s="132"/>
      <c r="P62" s="58"/>
      <c r="Q62" s="58">
        <f t="shared" ref="Q62:X62" si="119">SUM(Q60:Q61)</f>
        <v>-3496.5928499999982</v>
      </c>
      <c r="R62" s="58">
        <f t="shared" si="119"/>
        <v>-4611.7391000000052</v>
      </c>
      <c r="S62" s="58">
        <f t="shared" si="119"/>
        <v>-3947.866259999998</v>
      </c>
      <c r="T62" s="58">
        <f t="shared" si="119"/>
        <v>3243.1677100000052</v>
      </c>
      <c r="U62" s="58">
        <f t="shared" si="119"/>
        <v>-11360.259539999999</v>
      </c>
      <c r="V62" s="58">
        <f t="shared" si="119"/>
        <v>-6539.8870300000017</v>
      </c>
      <c r="W62" s="58">
        <f t="shared" si="119"/>
        <v>85.894459999997707</v>
      </c>
      <c r="X62" s="58">
        <f t="shared" si="119"/>
        <v>7567.4263800000044</v>
      </c>
      <c r="Y62" s="174">
        <f>W62/S62-1</f>
        <v>-1.0217571858677903</v>
      </c>
      <c r="Z62" s="49"/>
      <c r="AA62" s="58"/>
      <c r="AB62" s="58">
        <f t="shared" ref="AB62:AI62" si="120">SUM(AB60:AB61)</f>
        <v>10265.52274</v>
      </c>
      <c r="AC62" s="58">
        <f t="shared" si="120"/>
        <v>-1025.531949586052</v>
      </c>
      <c r="AD62" s="58">
        <f t="shared" si="120"/>
        <v>14349.094232082556</v>
      </c>
      <c r="AE62" s="58">
        <f t="shared" si="120"/>
        <v>-11975.053480466049</v>
      </c>
      <c r="AF62" s="58">
        <f t="shared" si="120"/>
        <v>2710.1110000000003</v>
      </c>
      <c r="AG62" s="58">
        <f t="shared" si="120"/>
        <v>2323.2684928178769</v>
      </c>
      <c r="AH62" s="58">
        <f t="shared" si="120"/>
        <v>12200.128249998726</v>
      </c>
      <c r="AI62" s="58">
        <f t="shared" si="120"/>
        <v>-1356.2793428166224</v>
      </c>
      <c r="AJ62" s="49"/>
      <c r="AK62" s="58"/>
      <c r="AL62" s="58">
        <f t="shared" ref="AL62:AS62" si="121">SUM(AL60:AL61)</f>
        <v>0</v>
      </c>
      <c r="AM62" s="58">
        <f t="shared" si="121"/>
        <v>0</v>
      </c>
      <c r="AN62" s="58">
        <f t="shared" si="121"/>
        <v>0</v>
      </c>
      <c r="AO62" s="58">
        <f t="shared" si="121"/>
        <v>0</v>
      </c>
      <c r="AP62" s="58">
        <f t="shared" si="121"/>
        <v>0</v>
      </c>
      <c r="AQ62" s="58">
        <f t="shared" si="121"/>
        <v>0</v>
      </c>
      <c r="AR62" s="58">
        <f t="shared" si="121"/>
        <v>0</v>
      </c>
      <c r="AS62" s="58">
        <f t="shared" si="121"/>
        <v>0</v>
      </c>
      <c r="AT62" s="49"/>
      <c r="AU62" s="58"/>
      <c r="AV62" s="58">
        <f t="shared" ref="AV62:BC62" si="122">SUM(AV60:AV61)</f>
        <v>10265.52274</v>
      </c>
      <c r="AW62" s="58">
        <f t="shared" si="122"/>
        <v>-1025.531949586052</v>
      </c>
      <c r="AX62" s="58">
        <f t="shared" si="122"/>
        <v>14349.094232082556</v>
      </c>
      <c r="AY62" s="58">
        <f t="shared" si="122"/>
        <v>-11975.053480466049</v>
      </c>
      <c r="AZ62" s="58">
        <f t="shared" si="122"/>
        <v>2710.1110000000003</v>
      </c>
      <c r="BA62" s="58">
        <f t="shared" si="122"/>
        <v>2323.2684928178769</v>
      </c>
      <c r="BB62" s="58">
        <f t="shared" si="122"/>
        <v>12200.128249998726</v>
      </c>
      <c r="BC62" s="58">
        <f t="shared" si="122"/>
        <v>-1356.2793428166224</v>
      </c>
      <c r="BD62" s="174">
        <f>BA62/AW62-1</f>
        <v>-3.2654277068165904</v>
      </c>
      <c r="BE62" s="49"/>
      <c r="BF62" s="58"/>
      <c r="BG62" s="58">
        <f t="shared" ref="BG62:BN62" si="123">SUM(BG60:BG61)</f>
        <v>2036.0966100000003</v>
      </c>
      <c r="BH62" s="58">
        <f t="shared" si="123"/>
        <v>3386.8263299999994</v>
      </c>
      <c r="BI62" s="58">
        <f t="shared" si="123"/>
        <v>4096.4910600000003</v>
      </c>
      <c r="BJ62" s="58">
        <f t="shared" si="123"/>
        <v>4820.3830499999967</v>
      </c>
      <c r="BK62" s="58">
        <f t="shared" si="123"/>
        <v>4718.3356100000001</v>
      </c>
      <c r="BL62" s="58">
        <f t="shared" si="123"/>
        <v>5443.9653099999996</v>
      </c>
      <c r="BM62" s="58">
        <f t="shared" si="123"/>
        <v>6328.1935600000033</v>
      </c>
      <c r="BN62" s="58">
        <f t="shared" si="123"/>
        <v>4937.9299499999952</v>
      </c>
      <c r="BO62" s="49"/>
    </row>
    <row r="63" spans="3:67" ht="13.5" thickTop="1" x14ac:dyDescent="0.3">
      <c r="C63" s="45"/>
      <c r="D63" s="112"/>
      <c r="E63" s="45"/>
      <c r="F63" s="45"/>
      <c r="G63" s="45"/>
      <c r="H63" s="45"/>
      <c r="I63" s="45"/>
      <c r="J63" s="45"/>
      <c r="K63" s="45"/>
      <c r="L63" s="45"/>
      <c r="M63" s="45"/>
      <c r="N63" s="172"/>
      <c r="P63" s="45"/>
      <c r="Q63" s="45"/>
      <c r="R63" s="45"/>
      <c r="S63" s="45"/>
      <c r="T63" s="45"/>
      <c r="U63" s="45"/>
      <c r="V63" s="45"/>
      <c r="W63" s="45"/>
      <c r="X63" s="45"/>
      <c r="Y63" s="172"/>
      <c r="AA63" s="45"/>
      <c r="AB63" s="45"/>
      <c r="AC63" s="45"/>
      <c r="AD63" s="45"/>
      <c r="AE63" s="45"/>
      <c r="AF63" s="45"/>
      <c r="AG63" s="45"/>
      <c r="AH63" s="45"/>
      <c r="AI63" s="45"/>
      <c r="AK63" s="45"/>
      <c r="AL63" s="45"/>
      <c r="AM63" s="45"/>
      <c r="AN63" s="45"/>
      <c r="AO63" s="45"/>
      <c r="AP63" s="45"/>
      <c r="AQ63" s="45"/>
      <c r="AR63" s="45"/>
      <c r="AS63" s="45"/>
      <c r="AU63" s="45"/>
      <c r="AV63" s="45"/>
      <c r="AW63" s="45"/>
      <c r="AX63" s="45"/>
      <c r="AY63" s="45"/>
      <c r="AZ63" s="45"/>
      <c r="BA63" s="45"/>
      <c r="BB63" s="45"/>
      <c r="BC63" s="45"/>
      <c r="BD63" s="172"/>
      <c r="BF63" s="45"/>
      <c r="BG63" s="45"/>
      <c r="BH63" s="45"/>
      <c r="BI63" s="45"/>
      <c r="BJ63" s="45"/>
      <c r="BK63" s="45"/>
      <c r="BL63" s="45"/>
      <c r="BM63" s="45"/>
      <c r="BN63" s="45"/>
    </row>
    <row r="64" spans="3:67" ht="13.5" thickBot="1" x14ac:dyDescent="0.35">
      <c r="C64" s="50" t="s">
        <v>100</v>
      </c>
      <c r="D64" s="114"/>
      <c r="E64" s="58"/>
      <c r="F64" s="58">
        <f t="shared" ref="F64:M64" si="124">F35+F57+F62</f>
        <v>403221.60625080817</v>
      </c>
      <c r="G64" s="58">
        <f t="shared" si="124"/>
        <v>552874.9830179587</v>
      </c>
      <c r="H64" s="58">
        <f t="shared" si="124"/>
        <v>752734.64633262239</v>
      </c>
      <c r="I64" s="58">
        <f t="shared" si="124"/>
        <v>777917.02299952344</v>
      </c>
      <c r="J64" s="58">
        <f t="shared" si="124"/>
        <v>505591.29438594473</v>
      </c>
      <c r="K64" s="58">
        <f t="shared" si="124"/>
        <v>683177.48505091202</v>
      </c>
      <c r="L64" s="58">
        <f t="shared" si="124"/>
        <v>804033.99793892016</v>
      </c>
      <c r="M64" s="58">
        <f t="shared" si="124"/>
        <v>803009.36308811593</v>
      </c>
      <c r="N64" s="174">
        <f>M64/I64-1</f>
        <v>3.2255805370912771E-2</v>
      </c>
      <c r="O64" s="132">
        <f>K64/J64-1</f>
        <v>0.35124455788078968</v>
      </c>
      <c r="P64" s="58"/>
      <c r="Q64" s="58">
        <f t="shared" ref="Q64:X64" si="125">Q35+Q57+Q62</f>
        <v>321582.18957558752</v>
      </c>
      <c r="R64" s="58">
        <f t="shared" si="125"/>
        <v>420770.57066071877</v>
      </c>
      <c r="S64" s="58">
        <f t="shared" si="125"/>
        <v>585464.12929337646</v>
      </c>
      <c r="T64" s="58">
        <f t="shared" si="125"/>
        <v>650180.1979693193</v>
      </c>
      <c r="U64" s="58">
        <f t="shared" si="125"/>
        <v>360559.73374171177</v>
      </c>
      <c r="V64" s="58">
        <f t="shared" si="125"/>
        <v>604505.54079330771</v>
      </c>
      <c r="W64" s="58">
        <f t="shared" si="125"/>
        <v>646837.33716758771</v>
      </c>
      <c r="X64" s="58">
        <f t="shared" si="125"/>
        <v>593192.41520390834</v>
      </c>
      <c r="Y64" s="174">
        <f>W64/S64-1</f>
        <v>0.10482829741983579</v>
      </c>
      <c r="Z64" s="49"/>
      <c r="AA64" s="58"/>
      <c r="AB64" s="58">
        <f t="shared" ref="AB64:AI64" si="126">AB35+AB57+AB62</f>
        <v>63524.883414809483</v>
      </c>
      <c r="AC64" s="58">
        <f t="shared" si="126"/>
        <v>114360.83492494616</v>
      </c>
      <c r="AD64" s="58">
        <f t="shared" si="126"/>
        <v>141166.0542317935</v>
      </c>
      <c r="AE64" s="58">
        <f t="shared" si="126"/>
        <v>110560.64613637366</v>
      </c>
      <c r="AF64" s="58">
        <f t="shared" si="126"/>
        <v>123698.03517486475</v>
      </c>
      <c r="AG64" s="58">
        <f t="shared" si="126"/>
        <v>77602.456614399751</v>
      </c>
      <c r="AH64" s="58">
        <f t="shared" si="126"/>
        <v>133239.17080467683</v>
      </c>
      <c r="AI64" s="58">
        <f t="shared" si="126"/>
        <v>185008.06913655857</v>
      </c>
      <c r="AJ64" s="49"/>
      <c r="AK64" s="58"/>
      <c r="AL64" s="58">
        <f t="shared" ref="AL64:AS64" si="127">AL35+AL57+AL62</f>
        <v>17468.547009999991</v>
      </c>
      <c r="AM64" s="58">
        <f t="shared" si="127"/>
        <v>17897.949899999996</v>
      </c>
      <c r="AN64" s="58">
        <f t="shared" si="127"/>
        <v>22154.323939999998</v>
      </c>
      <c r="AO64" s="58">
        <f t="shared" si="127"/>
        <v>14809.888990000023</v>
      </c>
      <c r="AP64" s="58">
        <f t="shared" si="127"/>
        <v>18919.04459999999</v>
      </c>
      <c r="AQ64" s="58">
        <f t="shared" si="127"/>
        <v>-2370.7844899999855</v>
      </c>
      <c r="AR64" s="58">
        <f t="shared" si="127"/>
        <v>20139.683159999982</v>
      </c>
      <c r="AS64" s="58">
        <f t="shared" si="127"/>
        <v>21809.70919000002</v>
      </c>
      <c r="AT64" s="49"/>
      <c r="AU64" s="58"/>
      <c r="AV64" s="58">
        <f t="shared" ref="AV64:BC64" si="128">AV35+AV57+AV62</f>
        <v>80993.43042480947</v>
      </c>
      <c r="AW64" s="58">
        <f t="shared" si="128"/>
        <v>132258.78482494614</v>
      </c>
      <c r="AX64" s="58">
        <f t="shared" si="128"/>
        <v>163320.37817179348</v>
      </c>
      <c r="AY64" s="58">
        <f t="shared" si="128"/>
        <v>125370.5351263737</v>
      </c>
      <c r="AZ64" s="58">
        <f t="shared" si="128"/>
        <v>142617.07977486475</v>
      </c>
      <c r="BA64" s="58">
        <f t="shared" si="128"/>
        <v>75231.67212439976</v>
      </c>
      <c r="BB64" s="58">
        <f t="shared" si="128"/>
        <v>153378.85396467682</v>
      </c>
      <c r="BC64" s="58">
        <f t="shared" si="128"/>
        <v>206817.77832655859</v>
      </c>
      <c r="BD64" s="174">
        <f>BA64/AW64-1</f>
        <v>-0.43117825992447911</v>
      </c>
      <c r="BE64" s="131"/>
      <c r="BF64" s="58"/>
      <c r="BG64" s="58">
        <f t="shared" ref="BG64:BN64" si="129">BG35+BG57+BG62</f>
        <v>645.98625041128048</v>
      </c>
      <c r="BH64" s="58">
        <f t="shared" si="129"/>
        <v>-154.37246770625416</v>
      </c>
      <c r="BI64" s="58">
        <f t="shared" si="129"/>
        <v>3950.1388674522977</v>
      </c>
      <c r="BJ64" s="58">
        <f t="shared" si="129"/>
        <v>2366.2899038303958</v>
      </c>
      <c r="BK64" s="58">
        <f t="shared" si="129"/>
        <v>2414.4808693682453</v>
      </c>
      <c r="BL64" s="58">
        <f t="shared" si="129"/>
        <v>3440.2721332044393</v>
      </c>
      <c r="BM64" s="58">
        <f t="shared" si="129"/>
        <v>3817.8068066556934</v>
      </c>
      <c r="BN64" s="58">
        <f t="shared" si="129"/>
        <v>2999.1695576489492</v>
      </c>
      <c r="BO64" s="49"/>
    </row>
    <row r="65" spans="3:67" ht="13.5" thickTop="1" x14ac:dyDescent="0.3">
      <c r="C65" s="36" t="s">
        <v>212</v>
      </c>
      <c r="D65" s="112"/>
      <c r="E65" s="203"/>
      <c r="F65" s="203">
        <f>VLOOKUP($C65,'Segment IFRS17'!$I$460:$N$531,6,0)/1000</f>
        <v>0</v>
      </c>
      <c r="G65" s="203">
        <f>VLOOKUP($C65,'Segment IFRS17'!$P$460:$U$531,6,0)/1000</f>
        <v>0</v>
      </c>
      <c r="H65" s="203">
        <f>VLOOKUP($C65,'Segment IFRS17'!$AD$460:$AI$531,6,0)/1000</f>
        <v>0</v>
      </c>
      <c r="I65" s="203">
        <f>VLOOKUP($C65,'Segment IFRS17'!$AK$460:$AP$531,6,0)/1000</f>
        <v>0</v>
      </c>
      <c r="J65" s="203">
        <f>VLOOKUP($C65,'Segment IFRS17'!$I$537:$N$608,6,0)/1000</f>
        <v>0</v>
      </c>
      <c r="K65" s="203">
        <f>VLOOKUP($C65,'Segment IFRS17'!$P$539:$U$600,6,0)/1000</f>
        <v>0</v>
      </c>
      <c r="L65" s="203">
        <f>VLOOKUP($C65,'Segment IFRS17'!$P$539:$U$600,6,0)/1000</f>
        <v>0</v>
      </c>
      <c r="M65" s="203">
        <f>VLOOKUP($C65,'Segment IFRS17'!$P$539:$U$600,6,0)/1000</f>
        <v>0</v>
      </c>
      <c r="P65" s="38"/>
      <c r="Q65" s="38">
        <f>VLOOKUP($C65,'Segment IFRS17'!$I$460:$N$531,2,0)/1000</f>
        <v>0</v>
      </c>
      <c r="R65" s="38">
        <f>VLOOKUP($C65,'Segment IFRS17'!$P$460:$U$531,2,0)/1000</f>
        <v>0</v>
      </c>
      <c r="S65" s="38">
        <f>VLOOKUP($C65,'Segment IFRS17'!$AD$460:$AI$531,2,0)/1000</f>
        <v>0</v>
      </c>
      <c r="T65" s="38">
        <f>VLOOKUP($C65,'Segment IFRS17'!$AK$460:$AP$531,2,0)/1000</f>
        <v>0</v>
      </c>
      <c r="U65" s="38">
        <f>VLOOKUP($C65,'Segment IFRS17'!$I$537:$N$608,2,0)/1000</f>
        <v>0</v>
      </c>
      <c r="V65" s="38">
        <f>VLOOKUP($C65,'Segment IFRS17'!$P$537:$U$608,2,0)/1000</f>
        <v>0</v>
      </c>
      <c r="W65" s="38">
        <f>VLOOKUP($C65,'Segment IFRS17'!$P$537:$U$608,2,0)/1000</f>
        <v>0</v>
      </c>
      <c r="X65" s="38">
        <f>VLOOKUP($C65,'Segment IFRS17'!$P$537:$U$608,2,0)/1000</f>
        <v>0</v>
      </c>
      <c r="AA65" s="38"/>
      <c r="AB65" s="38">
        <f>VLOOKUP($C65,'Segment IFRS17'!$I$460:$N$531,3,0)/1000</f>
        <v>0</v>
      </c>
      <c r="AC65" s="38">
        <f>VLOOKUP($C65,'Segment IFRS17'!$I$460:$N$531,3,0)/1000</f>
        <v>0</v>
      </c>
      <c r="AD65" s="38">
        <f>VLOOKUP($C65,'Segment IFRS17'!$AD$460:$AI$531,3,0)/1000</f>
        <v>0</v>
      </c>
      <c r="AE65" s="38">
        <f>VLOOKUP($C65,'Segment IFRS17'!$AK$460:$AP$531,3,0)/1000</f>
        <v>0</v>
      </c>
      <c r="AF65" s="38">
        <f>VLOOKUP($C65,'Segment IFRS17'!$I$537:$N$608,3,0)/1000</f>
        <v>0</v>
      </c>
      <c r="AG65" s="38">
        <f>VLOOKUP($C65,'Segment IFRS17'!$P$537:$U$608,3,0)/1000</f>
        <v>0</v>
      </c>
      <c r="AH65" s="38">
        <f>VLOOKUP($C65,'Segment IFRS17'!$P$537:$U$608,3,0)/1000</f>
        <v>0</v>
      </c>
      <c r="AI65" s="38">
        <f>VLOOKUP($C65,'Segment IFRS17'!$P$537:$U$608,3,0)/1000</f>
        <v>0</v>
      </c>
      <c r="AK65" s="38"/>
      <c r="AL65" s="38">
        <f>VLOOKUP($C65,'Segment IFRS17'!$I$460:$N$531,4,0)/1000</f>
        <v>0</v>
      </c>
      <c r="AM65" s="38">
        <f>VLOOKUP($C65,'Segment IFRS17'!$P$460:$U$531,4,0)/1000</f>
        <v>0</v>
      </c>
      <c r="AN65" s="38">
        <f>VLOOKUP($C65,'Segment IFRS17'!$AD$460:$AI$531,4,0)/1000</f>
        <v>0</v>
      </c>
      <c r="AO65" s="38">
        <f>VLOOKUP($C65,'Segment IFRS17'!$AK$460:$AP$531,4,0)/1000</f>
        <v>0</v>
      </c>
      <c r="AP65" s="38">
        <f>VLOOKUP($C65,'Segment IFRS17'!$I$537:$N$608,4,0)/1000</f>
        <v>0</v>
      </c>
      <c r="AQ65" s="38">
        <f>VLOOKUP($C65,'Segment IFRS17'!$P$537:$U$608,4,0)/1000</f>
        <v>0</v>
      </c>
      <c r="AR65" s="38">
        <f>VLOOKUP($C65,'Segment IFRS17'!$P$537:$U$608,4,0)/1000</f>
        <v>0</v>
      </c>
      <c r="AS65" s="38">
        <f>VLOOKUP($C65,'Segment IFRS17'!$P$537:$U$608,4,0)/1000</f>
        <v>0</v>
      </c>
      <c r="AU65" s="38"/>
      <c r="AV65" s="38">
        <f t="shared" ref="AV65:BC68" si="130">AB65+AL65</f>
        <v>0</v>
      </c>
      <c r="AW65" s="38">
        <f t="shared" si="130"/>
        <v>0</v>
      </c>
      <c r="AX65" s="38">
        <f t="shared" si="130"/>
        <v>0</v>
      </c>
      <c r="AY65" s="38">
        <f t="shared" si="130"/>
        <v>0</v>
      </c>
      <c r="AZ65" s="38">
        <f t="shared" si="130"/>
        <v>0</v>
      </c>
      <c r="BA65" s="38">
        <f t="shared" si="130"/>
        <v>0</v>
      </c>
      <c r="BB65" s="38">
        <f t="shared" si="130"/>
        <v>0</v>
      </c>
      <c r="BC65" s="38">
        <f t="shared" si="130"/>
        <v>0</v>
      </c>
      <c r="BF65" s="38"/>
      <c r="BG65" s="38">
        <f>VLOOKUP($C65,'Segment IFRS17'!$I$460:$N$531,5,0)/1000</f>
        <v>0</v>
      </c>
      <c r="BH65" s="38">
        <f>VLOOKUP($C65,'Segment IFRS17'!$P$460:$U$531,5,0)/1000</f>
        <v>0</v>
      </c>
      <c r="BI65" s="38">
        <f>VLOOKUP($C65,'Segment IFRS17'!$AD$460:$AI$531,5,0)/1000</f>
        <v>0</v>
      </c>
      <c r="BJ65" s="38">
        <f>VLOOKUP($C65,'Segment IFRS17'!$AK$460:$AP$531,5,0)/1000</f>
        <v>0</v>
      </c>
      <c r="BK65" s="38">
        <f>VLOOKUP($C65,'Segment IFRS17'!$I$537:$N$608,5,0)/1000</f>
        <v>0</v>
      </c>
      <c r="BL65" s="38">
        <f>VLOOKUP($C65,'Segment IFRS17'!$P$537:$U$608,5,0)/1000</f>
        <v>0</v>
      </c>
      <c r="BM65" s="38">
        <f>VLOOKUP($C65,'Segment IFRS17'!$P$537:$U$608,5,0)/1000</f>
        <v>0</v>
      </c>
      <c r="BN65" s="38">
        <f>VLOOKUP($C65,'Segment IFRS17'!$P$537:$U$608,5,0)/1000</f>
        <v>0</v>
      </c>
    </row>
    <row r="66" spans="3:67" x14ac:dyDescent="0.3">
      <c r="C66" s="36" t="s">
        <v>38</v>
      </c>
      <c r="E66" s="203"/>
      <c r="F66" s="203">
        <f>VLOOKUP($C66,'Segment IFRS17'!$I$460:$N$531,6,0)/1000</f>
        <v>-31566.03457</v>
      </c>
      <c r="G66" s="203">
        <f>VLOOKUP($C66,'Segment IFRS17'!$P$460:$U$531,6,0)/1000</f>
        <v>-31837.048690000025</v>
      </c>
      <c r="H66" s="203">
        <f>VLOOKUP($C66,'Segment IFRS17'!$AD$460:$AI$531,6,0)/1000</f>
        <v>-33588.325128502496</v>
      </c>
      <c r="I66" s="203">
        <f>VLOOKUP($C66,'Segment IFRS17'!$AK$460:$AP$531,6,0)/1000</f>
        <v>-35717.28874149749</v>
      </c>
      <c r="J66" s="203">
        <f>VLOOKUP($C66,'Segment IFRS17'!$I$537:$N$608,6,0)/1000</f>
        <v>-39931.551650000001</v>
      </c>
      <c r="K66" s="203">
        <f>VLOOKUP($C66,'Segment IFRS17'!$P$539:$U$600,6,0)/1000</f>
        <v>-41848.080830000006</v>
      </c>
      <c r="L66" s="203">
        <f>VLOOKUP($C66,'Segment IFRS17'!$AD$539:$AI$600,6,0)/1000</f>
        <v>-44170.781689999996</v>
      </c>
      <c r="M66" s="203">
        <f>VLOOKUP($C66,'Segment IFRS17'!$AK$539:$AP$600,6,0)/1000</f>
        <v>-45312.147079999988</v>
      </c>
      <c r="N66" s="132">
        <f>M66/I66-1</f>
        <v>0.26863344549875889</v>
      </c>
      <c r="O66" s="132" t="s">
        <v>253</v>
      </c>
      <c r="P66" s="38"/>
      <c r="Q66" s="38">
        <f>VLOOKUP($C66,'Segment IFRS17'!$I$460:$N$531,2,0)/1000</f>
        <v>-26968.82589</v>
      </c>
      <c r="R66" s="38">
        <f>VLOOKUP($C66,'Segment IFRS17'!$P$460:$U$531,2,0)/1000</f>
        <v>-27071.755200000025</v>
      </c>
      <c r="S66" s="38">
        <f>VLOOKUP($C66,'Segment IFRS17'!$AD$460:$AI$531,2,0)/1000</f>
        <v>-28432.331788502492</v>
      </c>
      <c r="T66" s="38">
        <f>VLOOKUP($C66,'Segment IFRS17'!$AK$460:$AP$531,2,0)/1000</f>
        <v>-29755.591931497485</v>
      </c>
      <c r="U66" s="38">
        <f>VLOOKUP($C66,'Segment IFRS17'!$I$537:$N$608,2,0)/1000</f>
        <v>-32911.788639999999</v>
      </c>
      <c r="V66" s="38">
        <f>VLOOKUP($C66,'Segment IFRS17'!$P$537:$U$608,2,0)/1000</f>
        <v>-33250.395900000003</v>
      </c>
      <c r="W66" s="38">
        <f>VLOOKUP($C66,'Segment IFRS17'!$AD$537:$AI$608,2,0)/1000</f>
        <v>-35373.000749999999</v>
      </c>
      <c r="X66" s="38">
        <f>VLOOKUP($C66,'Segment IFRS17'!$AK$537:$AP$608,2,0)/1000</f>
        <v>-35813.551019999999</v>
      </c>
      <c r="Y66" s="132">
        <f>W66/S66-1</f>
        <v>0.24411184468184155</v>
      </c>
      <c r="AA66" s="38"/>
      <c r="AB66" s="38">
        <f>VLOOKUP($C66,'Segment IFRS17'!$I$460:$N$531,3,0)/1000</f>
        <v>-3474.2649999999999</v>
      </c>
      <c r="AC66" s="38">
        <f>VLOOKUP($C66,'Segment IFRS17'!$P$460:$U$531,3,0)/1000</f>
        <v>-3641.337</v>
      </c>
      <c r="AD66" s="38">
        <f>VLOOKUP($C66,'Segment IFRS17'!$AD$460:$AI$531,3,0)/1000</f>
        <v>-4003.0940000000001</v>
      </c>
      <c r="AE66" s="38">
        <f>VLOOKUP($C66,'Segment IFRS17'!$AK$460:$AP$531,3,0)/1000</f>
        <v>-4886.174</v>
      </c>
      <c r="AF66" s="38">
        <f>VLOOKUP($C66,'Segment IFRS17'!$I$537:$N$608,3,0)/1000</f>
        <v>-5937.6660000000002</v>
      </c>
      <c r="AG66" s="38">
        <f>VLOOKUP($C66,'Segment IFRS17'!$P$537:$U$608,3,0)/1000</f>
        <v>-7483.0469999999996</v>
      </c>
      <c r="AH66" s="38">
        <f>VLOOKUP($C66,'Segment IFRS17'!$AD$537:$AI$608,3,0)/1000</f>
        <v>-7631.5690000000004</v>
      </c>
      <c r="AI66" s="38">
        <f>VLOOKUP($C66,'Segment IFRS17'!$AK$537:$AP$608,3,0)/1000</f>
        <v>-8310.7360000000008</v>
      </c>
      <c r="AK66" s="38"/>
      <c r="AL66" s="38">
        <f>VLOOKUP($C66,'Segment IFRS17'!$I$460:$N$531,4,0)/1000</f>
        <v>-518.67039999999997</v>
      </c>
      <c r="AM66" s="38">
        <f>VLOOKUP($C66,'Segment IFRS17'!$P$460:$U$531,4,0)/1000</f>
        <v>-519.68320000000006</v>
      </c>
      <c r="AN66" s="38">
        <f>VLOOKUP($C66,'Segment IFRS17'!$AD$460:$AI$531,4,0)/1000</f>
        <v>-539.75581999999986</v>
      </c>
      <c r="AO66" s="38">
        <f>VLOOKUP($C66,'Segment IFRS17'!$AK$460:$AP$531,4,0)/1000</f>
        <v>-550.04606000000001</v>
      </c>
      <c r="AP66" s="38">
        <f>VLOOKUP($C66,'Segment IFRS17'!$I$537:$N$608,4,0)/1000</f>
        <v>-567.61054000000001</v>
      </c>
      <c r="AQ66" s="38">
        <f>VLOOKUP($C66,'Segment IFRS17'!$P$537:$U$608,4,0)/1000</f>
        <v>-597.11503999999979</v>
      </c>
      <c r="AR66" s="38">
        <f>VLOOKUP($C66,'Segment IFRS17'!$AD$537:$AI$608,4,0)/1000</f>
        <v>-612.62068000000045</v>
      </c>
      <c r="AS66" s="38">
        <f>VLOOKUP($C66,'Segment IFRS17'!$AK$537:$AP$608,4,0)/1000</f>
        <v>-613.20122999999955</v>
      </c>
      <c r="AU66" s="38"/>
      <c r="AV66" s="38">
        <f t="shared" si="130"/>
        <v>-3992.9353999999998</v>
      </c>
      <c r="AW66" s="38">
        <f t="shared" si="130"/>
        <v>-4161.0201999999999</v>
      </c>
      <c r="AX66" s="38">
        <f t="shared" si="130"/>
        <v>-4542.8498199999995</v>
      </c>
      <c r="AY66" s="38">
        <f t="shared" si="130"/>
        <v>-5436.2200599999996</v>
      </c>
      <c r="AZ66" s="38">
        <f t="shared" si="130"/>
        <v>-6505.2765399999998</v>
      </c>
      <c r="BA66" s="38">
        <f t="shared" si="130"/>
        <v>-8080.1620399999993</v>
      </c>
      <c r="BB66" s="38">
        <f t="shared" si="130"/>
        <v>-8244.1896800000013</v>
      </c>
      <c r="BC66" s="38">
        <f t="shared" si="130"/>
        <v>-8923.9372299999995</v>
      </c>
      <c r="BF66" s="38"/>
      <c r="BG66" s="38">
        <f>VLOOKUP($C66,'Segment IFRS17'!$I$460:$N$531,5,0)/1000</f>
        <v>-604.27328</v>
      </c>
      <c r="BH66" s="38">
        <f>VLOOKUP($C66,'Segment IFRS17'!$P$460:$U$531,5,0)/1000</f>
        <v>-604.27329000000009</v>
      </c>
      <c r="BI66" s="38">
        <f>VLOOKUP($C66,'Segment IFRS17'!$AD$460:$AI$531,5,0)/1000</f>
        <v>-613.14351999999997</v>
      </c>
      <c r="BJ66" s="38">
        <f>VLOOKUP($C66,'Segment IFRS17'!$AK$460:$AP$531,5,0)/1000</f>
        <v>-525.47674999999981</v>
      </c>
      <c r="BK66" s="38">
        <f>VLOOKUP($C66,'Segment IFRS17'!$I$537:$N$608,5,0)/1000</f>
        <v>-514.48647000000005</v>
      </c>
      <c r="BL66" s="38">
        <f>VLOOKUP($C66,'Segment IFRS17'!$P$537:$U$608,5,0)/1000</f>
        <v>-517.52289000000007</v>
      </c>
      <c r="BM66" s="38">
        <f>VLOOKUP($C66,'Segment IFRS17'!$AD$537:$AI$608,5,0)/1000</f>
        <v>-553.59126000000003</v>
      </c>
      <c r="BN66" s="38">
        <f>VLOOKUP($C66,'Segment IFRS17'!$AK$537:$AP$608,5,0)/1000</f>
        <v>-574.65883000000008</v>
      </c>
    </row>
    <row r="67" spans="3:67" x14ac:dyDescent="0.3">
      <c r="C67" s="36" t="s">
        <v>78</v>
      </c>
      <c r="E67" s="203"/>
      <c r="F67" s="203">
        <f>VLOOKUP($C67,'Segment IFRS17'!$I$460:$N$531,6,0)/1000</f>
        <v>-209798.33867999993</v>
      </c>
      <c r="G67" s="203">
        <f>VLOOKUP($C67,'Segment IFRS17'!$P$460:$U$531,6,0)/1000</f>
        <v>-189616.43935560019</v>
      </c>
      <c r="H67" s="203">
        <f>VLOOKUP($C67,'Segment IFRS17'!$AD$460:$AI$531,6,0)/1000</f>
        <v>-216469.35067029804</v>
      </c>
      <c r="I67" s="203">
        <f>VLOOKUP($C67,'Segment IFRS17'!$AK$460:$AP$531,6,0)/1000</f>
        <v>-216096.48422028613</v>
      </c>
      <c r="J67" s="203">
        <f>VLOOKUP($C67,'Segment IFRS17'!$I$537:$N$608,6,0)/1000</f>
        <v>-285136.53897572425</v>
      </c>
      <c r="K67" s="203">
        <f>VLOOKUP($C67,'Segment IFRS17'!$P$539:$U$600,6,0)/1000</f>
        <v>-313905.74385630118</v>
      </c>
      <c r="L67" s="203">
        <f>VLOOKUP($C67,'Segment IFRS17'!$AD$539:$AI$600,6,0)/1000</f>
        <v>-304382.04571503744</v>
      </c>
      <c r="M67" s="203">
        <f>VLOOKUP($C67,'Segment IFRS17'!$AK$539:$AP$600,6,0)/1000</f>
        <v>-226102.01225523348</v>
      </c>
      <c r="N67" s="132">
        <f>M67/I67-1</f>
        <v>4.6301206940265738E-2</v>
      </c>
      <c r="O67" s="132"/>
      <c r="P67" s="38"/>
      <c r="Q67" s="38">
        <f>VLOOKUP($C67,'Segment IFRS17'!$I$460:$N$531,2,0)/1000</f>
        <v>-166745.85901999989</v>
      </c>
      <c r="R67" s="38">
        <f>VLOOKUP($C67,'Segment IFRS17'!$P$460:$U$531,2,0)/1000</f>
        <v>-165130.25728000025</v>
      </c>
      <c r="S67" s="38">
        <f>VLOOKUP($C67,'Segment IFRS17'!$AD$460:$AI$531,2,0)/1000</f>
        <v>-170656.66116389792</v>
      </c>
      <c r="T67" s="38">
        <f>VLOOKUP($C67,'Segment IFRS17'!$AK$460:$AP$531,2,0)/1000</f>
        <v>-184788.68992228614</v>
      </c>
      <c r="U67" s="38">
        <f>VLOOKUP($C67,'Segment IFRS17'!$I$537:$N$608,2,0)/1000</f>
        <v>-232759.50556572431</v>
      </c>
      <c r="V67" s="38">
        <f>VLOOKUP($C67,'Segment IFRS17'!$P$537:$U$608,2,0)/1000</f>
        <v>-278739.84424779227</v>
      </c>
      <c r="W67" s="38">
        <f>VLOOKUP($C67,'Segment IFRS17'!$AD$537:$AI$608,2,0)/1000</f>
        <v>-245327.19904823095</v>
      </c>
      <c r="X67" s="38">
        <f>VLOOKUP($C67,'Segment IFRS17'!$AK$537:$AP$608,2,0)/1000</f>
        <v>-172845.82496054887</v>
      </c>
      <c r="Y67" s="132">
        <f>W67/S67-1</f>
        <v>0.43754833462152276</v>
      </c>
      <c r="Z67" s="204"/>
      <c r="AA67" s="38"/>
      <c r="AB67" s="38">
        <f>VLOOKUP($C67,'Segment IFRS17'!$I$460:$N$531,3,0)/1000</f>
        <v>-28575.083999999999</v>
      </c>
      <c r="AC67" s="38">
        <f>VLOOKUP($C67,'Segment IFRS17'!$P$460:$U$531,3,0)/1000</f>
        <v>-13633.576995599919</v>
      </c>
      <c r="AD67" s="38">
        <f>VLOOKUP($C67,'Segment IFRS17'!$AD$460:$AI$531,3,0)/1000</f>
        <v>-35164.476016400091</v>
      </c>
      <c r="AE67" s="38">
        <f>VLOOKUP($C67,'Segment IFRS17'!$AK$460:$AP$531,3,0)/1000</f>
        <v>-20252.41898799999</v>
      </c>
      <c r="AF67" s="38">
        <f>VLOOKUP($C67,'Segment IFRS17'!$I$537:$N$608,3,0)/1000</f>
        <v>-32963.517</v>
      </c>
      <c r="AG67" s="38">
        <f>VLOOKUP($C67,'Segment IFRS17'!$P$537:$U$608,3,0)/1000</f>
        <v>-19563.133718508907</v>
      </c>
      <c r="AH67" s="38">
        <f>VLOOKUP($C67,'Segment IFRS17'!$AD$537:$AI$608,3,0)/1000</f>
        <v>-43712.755106806508</v>
      </c>
      <c r="AI67" s="38">
        <f>VLOOKUP($C67,'Segment IFRS17'!$AK$537:$AP$608,3,0)/1000</f>
        <v>-38466.884174684594</v>
      </c>
      <c r="AK67" s="38"/>
      <c r="AL67" s="38">
        <f>VLOOKUP($C67,'Segment IFRS17'!$I$460:$N$531,4,0)/1000</f>
        <v>-6566.1625800000002</v>
      </c>
      <c r="AM67" s="38">
        <f>VLOOKUP($C67,'Segment IFRS17'!$P$460:$U$531,4,0)/1000</f>
        <v>-6687.2196899999999</v>
      </c>
      <c r="AN67" s="38">
        <f>VLOOKUP($C67,'Segment IFRS17'!$AD$460:$AI$531,4,0)/1000</f>
        <v>-6777.8381600000002</v>
      </c>
      <c r="AO67" s="38">
        <f>VLOOKUP($C67,'Segment IFRS17'!$AK$460:$AP$531,4,0)/1000</f>
        <v>-7109.5342400000018</v>
      </c>
      <c r="AP67" s="38">
        <f>VLOOKUP($C67,'Segment IFRS17'!$I$537:$N$608,4,0)/1000</f>
        <v>-9735.36384</v>
      </c>
      <c r="AQ67" s="38">
        <f>VLOOKUP($C67,'Segment IFRS17'!$P$537:$U$608,4,0)/1000</f>
        <v>-9875.0766000000021</v>
      </c>
      <c r="AR67" s="38">
        <f>VLOOKUP($C67,'Segment IFRS17'!$AD$537:$AI$608,4,0)/1000</f>
        <v>-10140.336360000003</v>
      </c>
      <c r="AS67" s="38">
        <f>VLOOKUP($C67,'Segment IFRS17'!$AK$537:$AP$608,4,0)/1000</f>
        <v>-9889.7982499999998</v>
      </c>
      <c r="AU67" s="38"/>
      <c r="AV67" s="38">
        <f t="shared" si="130"/>
        <v>-35141.246579999999</v>
      </c>
      <c r="AW67" s="38">
        <f t="shared" si="130"/>
        <v>-20320.796685599918</v>
      </c>
      <c r="AX67" s="38">
        <f t="shared" si="130"/>
        <v>-41942.31417640009</v>
      </c>
      <c r="AY67" s="38">
        <f t="shared" si="130"/>
        <v>-27361.953227999991</v>
      </c>
      <c r="AZ67" s="38">
        <f t="shared" si="130"/>
        <v>-42698.880839999998</v>
      </c>
      <c r="BA67" s="38">
        <f t="shared" si="130"/>
        <v>-29438.210318508907</v>
      </c>
      <c r="BB67" s="38">
        <f t="shared" si="130"/>
        <v>-53853.091466806509</v>
      </c>
      <c r="BC67" s="38">
        <f t="shared" si="130"/>
        <v>-48356.682424684594</v>
      </c>
      <c r="BF67" s="38"/>
      <c r="BG67" s="38">
        <f>VLOOKUP($C67,'Segment IFRS17'!$I$460:$N$531,5,0)/1000</f>
        <v>-7911.2330799999991</v>
      </c>
      <c r="BH67" s="38">
        <f>VLOOKUP($C67,'Segment IFRS17'!$P$460:$U$531,5,0)/1000</f>
        <v>-4165.3853900000031</v>
      </c>
      <c r="BI67" s="38">
        <f>VLOOKUP($C67,'Segment IFRS17'!$AD$460:$AI$531,5,0)/1000</f>
        <v>-3870.375329999998</v>
      </c>
      <c r="BJ67" s="38">
        <f>VLOOKUP($C67,'Segment IFRS17'!$AK$460:$AP$531,5,0)/1000</f>
        <v>-3945.8410700000004</v>
      </c>
      <c r="BK67" s="38">
        <f>VLOOKUP($C67,'Segment IFRS17'!$I$537:$N$608,5,0)/1000</f>
        <v>-9678.1525700000002</v>
      </c>
      <c r="BL67" s="38">
        <f>VLOOKUP($C67,'Segment IFRS17'!$P$537:$U$608,5,0)/1000</f>
        <v>-5727.6892899999975</v>
      </c>
      <c r="BM67" s="38">
        <f>VLOOKUP($C67,'Segment IFRS17'!$AD$537:$AI$608,5,0)/1000</f>
        <v>-5201.7552000000014</v>
      </c>
      <c r="BN67" s="38">
        <f>VLOOKUP($C67,'Segment IFRS17'!$AK$537:$AP$608,5,0)/1000</f>
        <v>-4899.5048700000007</v>
      </c>
    </row>
    <row r="68" spans="3:67" x14ac:dyDescent="0.3">
      <c r="C68" s="36" t="s">
        <v>39</v>
      </c>
      <c r="E68" s="203"/>
      <c r="F68" s="203">
        <f>VLOOKUP($C68,'Segment IFRS17'!$I$460:$N$531,6,0)/1000</f>
        <v>-50731.120400000022</v>
      </c>
      <c r="G68" s="203">
        <f>VLOOKUP($C68,'Segment IFRS17'!$P$460:$U$531,6,0)/1000</f>
        <v>-45080.48547</v>
      </c>
      <c r="H68" s="203">
        <f>VLOOKUP($C68,'Segment IFRS17'!$AD$460:$AI$531,6,0)/1000</f>
        <v>-59758.933745014823</v>
      </c>
      <c r="I68" s="203">
        <f>VLOOKUP($C68,'Segment IFRS17'!$AK$460:$AP$531,6,0)/1000</f>
        <v>-52963.284786111588</v>
      </c>
      <c r="J68" s="203">
        <f>VLOOKUP($C68,'Segment IFRS17'!$I$537:$N$608,6,0)/1000</f>
        <v>-60708.956467408658</v>
      </c>
      <c r="K68" s="203">
        <f>VLOOKUP($C68,'Segment IFRS17'!$P$539:$U$600,6,0)/1000</f>
        <v>-60204.639387240408</v>
      </c>
      <c r="L68" s="203">
        <f>VLOOKUP($C68,'Segment IFRS17'!$AD$539:$AI$600,6,0)/1000</f>
        <v>-90889.833236033257</v>
      </c>
      <c r="M68" s="203">
        <f>VLOOKUP($C68,'Segment IFRS17'!$AK$539:$AP$600,6,0)/1000</f>
        <v>-88579.926165720084</v>
      </c>
      <c r="N68" s="132">
        <f>M68/I68-1</f>
        <v>0.67247795380221853</v>
      </c>
      <c r="O68" s="133"/>
      <c r="P68" s="38"/>
      <c r="Q68" s="38">
        <f>VLOOKUP($C68,'Segment IFRS17'!$I$460:$N$531,2,0)/1000</f>
        <v>-37400.922950000022</v>
      </c>
      <c r="R68" s="38">
        <f>VLOOKUP($C68,'Segment IFRS17'!$P$460:$U$531,2,0)/1000</f>
        <v>-39066.102650000001</v>
      </c>
      <c r="S68" s="38">
        <f>VLOOKUP($C68,'Segment IFRS17'!$AD$460:$AI$531,2,0)/1000</f>
        <v>-38745.108675014824</v>
      </c>
      <c r="T68" s="38">
        <f>VLOOKUP($C68,'Segment IFRS17'!$AK$460:$AP$531,2,0)/1000</f>
        <v>-34463.844077251524</v>
      </c>
      <c r="U68" s="38">
        <f>VLOOKUP($C68,'Segment IFRS17'!$I$537:$N$608,2,0)/1000</f>
        <v>-40378.138545408656</v>
      </c>
      <c r="V68" s="38">
        <f>VLOOKUP($C68,'Segment IFRS17'!$P$537:$U$608,2,0)/1000</f>
        <v>-49828.598011170841</v>
      </c>
      <c r="W68" s="38">
        <f>VLOOKUP($C68,'Segment IFRS17'!$AD$537:$AI$608,2,0)/1000</f>
        <v>-43271.016819181474</v>
      </c>
      <c r="X68" s="38">
        <f>VLOOKUP($C68,'Segment IFRS17'!$AK$537:$AP$608,2,0)/1000</f>
        <v>-57910.507999579699</v>
      </c>
      <c r="Y68" s="132">
        <f>W68/S68-1</f>
        <v>0.11681237448909854</v>
      </c>
      <c r="AA68" s="38"/>
      <c r="AB68" s="38">
        <f>VLOOKUP($C68,'Segment IFRS17'!$I$460:$N$531,3,0)/1000</f>
        <v>-9368.84</v>
      </c>
      <c r="AC68" s="38">
        <f>VLOOKUP($C68,'Segment IFRS17'!$P$460:$U$531,3,0)/1000</f>
        <v>-3053.9360000000001</v>
      </c>
      <c r="AD68" s="38">
        <f>VLOOKUP($C68,'Segment IFRS17'!$AD$460:$AI$531,3,0)/1000</f>
        <v>-17431.284240000001</v>
      </c>
      <c r="AE68" s="38">
        <f>VLOOKUP($C68,'Segment IFRS17'!$AK$460:$AP$531,3,0)/1000</f>
        <v>-14092.259759999997</v>
      </c>
      <c r="AF68" s="38">
        <f>VLOOKUP($C68,'Segment IFRS17'!$I$537:$N$608,3,0)/1000</f>
        <v>-16553.687000000002</v>
      </c>
      <c r="AG68" s="38">
        <f>VLOOKUP($C68,'Segment IFRS17'!$P$537:$U$608,3,0)/1000</f>
        <v>-7171.866</v>
      </c>
      <c r="AH68" s="38">
        <f>VLOOKUP($C68,'Segment IFRS17'!$AD$537:$AI$608,3,0)/1000</f>
        <v>-43146.857000000004</v>
      </c>
      <c r="AI68" s="38">
        <f>VLOOKUP($C68,'Segment IFRS17'!$AK$537:$AP$608,3,0)/1000</f>
        <v>-25636.226999999999</v>
      </c>
      <c r="AK68" s="38"/>
      <c r="AL68" s="38">
        <f>VLOOKUP($C68,'Segment IFRS17'!$I$460:$N$531,4,0)/1000</f>
        <v>-2144.3555099999999</v>
      </c>
      <c r="AM68" s="38">
        <f>VLOOKUP($C68,'Segment IFRS17'!$P$460:$U$531,4,0)/1000</f>
        <v>-1006.653330000001</v>
      </c>
      <c r="AN68" s="38">
        <f>VLOOKUP($C68,'Segment IFRS17'!$AD$460:$AI$531,4,0)/1000</f>
        <v>-1599.4027900000001</v>
      </c>
      <c r="AO68" s="38">
        <f>VLOOKUP($C68,'Segment IFRS17'!$AK$460:$AP$531,4,0)/1000</f>
        <v>-1916.4202399999992</v>
      </c>
      <c r="AP68" s="38">
        <f>VLOOKUP($C68,'Segment IFRS17'!$I$537:$N$608,4,0)/1000</f>
        <v>-2063.7516100000003</v>
      </c>
      <c r="AQ68" s="38">
        <f>VLOOKUP($C68,'Segment IFRS17'!$P$537:$U$608,4,0)/1000</f>
        <v>-1572.3027900000002</v>
      </c>
      <c r="AR68" s="38">
        <f>VLOOKUP($C68,'Segment IFRS17'!$AD$537:$AI$608,4,0)/1000</f>
        <v>-2002.0544699999989</v>
      </c>
      <c r="AS68" s="38">
        <f>VLOOKUP($C68,'Segment IFRS17'!$AK$537:$AP$608,4,0)/1000</f>
        <v>-2605.3812300000004</v>
      </c>
      <c r="AU68" s="38"/>
      <c r="AV68" s="38">
        <f t="shared" si="130"/>
        <v>-11513.19551</v>
      </c>
      <c r="AW68" s="38">
        <f t="shared" si="130"/>
        <v>-4060.5893300000012</v>
      </c>
      <c r="AX68" s="38">
        <f t="shared" si="130"/>
        <v>-19030.687030000001</v>
      </c>
      <c r="AY68" s="38">
        <f t="shared" si="130"/>
        <v>-16008.679999999997</v>
      </c>
      <c r="AZ68" s="38">
        <f t="shared" si="130"/>
        <v>-18617.438610000001</v>
      </c>
      <c r="BA68" s="38">
        <f t="shared" si="130"/>
        <v>-8744.1687899999997</v>
      </c>
      <c r="BB68" s="38">
        <f t="shared" si="130"/>
        <v>-45148.911469999999</v>
      </c>
      <c r="BC68" s="38">
        <f t="shared" si="130"/>
        <v>-28241.608229999998</v>
      </c>
      <c r="BF68" s="38"/>
      <c r="BG68" s="38">
        <f>VLOOKUP($C68,'Segment IFRS17'!$I$460:$N$531,5,0)/1000</f>
        <v>-1817.0019399999999</v>
      </c>
      <c r="BH68" s="38">
        <f>VLOOKUP($C68,'Segment IFRS17'!$P$460:$U$531,5,0)/1000</f>
        <v>-1953.7934900000002</v>
      </c>
      <c r="BI68" s="38">
        <f>VLOOKUP($C68,'Segment IFRS17'!$AD$460:$AI$531,5,0)/1000</f>
        <v>-1983.1380400000005</v>
      </c>
      <c r="BJ68" s="38">
        <f>VLOOKUP($C68,'Segment IFRS17'!$AK$460:$AP$531,5,0)/1000</f>
        <v>-2490.7607088600589</v>
      </c>
      <c r="BK68" s="38">
        <f>VLOOKUP($C68,'Segment IFRS17'!$I$537:$N$608,5,0)/1000</f>
        <v>-1713.379312</v>
      </c>
      <c r="BL68" s="38">
        <f>VLOOKUP($C68,'Segment IFRS17'!$P$537:$U$608,5,0)/1000</f>
        <v>-1631.8725860695658</v>
      </c>
      <c r="BM68" s="38">
        <f>VLOOKUP($C68,'Segment IFRS17'!$AD$537:$AI$608,5,0)/1000</f>
        <v>-2469.9049468517837</v>
      </c>
      <c r="BN68" s="38">
        <f>VLOOKUP($C68,'Segment IFRS17'!$AK$537:$AP$608,5,0)/1000</f>
        <v>-2427.8099361403811</v>
      </c>
    </row>
    <row r="69" spans="3:67" x14ac:dyDescent="0.3">
      <c r="C69" s="39" t="s">
        <v>93</v>
      </c>
      <c r="D69" s="109"/>
      <c r="E69" s="40"/>
      <c r="F69" s="40">
        <f t="shared" ref="F69:M69" si="131">-SUM(F67:F68)/F64</f>
        <v>0.6461197888238851</v>
      </c>
      <c r="G69" s="40">
        <f t="shared" si="131"/>
        <v>0.42450270320510536</v>
      </c>
      <c r="H69" s="40">
        <f t="shared" si="131"/>
        <v>0.36696634831559438</v>
      </c>
      <c r="I69" s="40">
        <f t="shared" si="131"/>
        <v>0.34587206739472842</v>
      </c>
      <c r="J69" s="40">
        <f t="shared" si="131"/>
        <v>0.68404163458386347</v>
      </c>
      <c r="K69" s="40">
        <f t="shared" si="131"/>
        <v>0.54760350191526286</v>
      </c>
      <c r="L69" s="40">
        <f t="shared" si="131"/>
        <v>0.49161090198215501</v>
      </c>
      <c r="M69" s="40">
        <f t="shared" si="131"/>
        <v>0.39187829293893656</v>
      </c>
      <c r="N69" s="169"/>
      <c r="O69" s="133"/>
      <c r="P69" s="40"/>
      <c r="Q69" s="40">
        <f t="shared" ref="Q69:X69" si="132">-SUM(Q67:Q68)/Q64</f>
        <v>0.63481992656193242</v>
      </c>
      <c r="R69" s="40">
        <f t="shared" si="132"/>
        <v>0.48529144899406607</v>
      </c>
      <c r="S69" s="40">
        <f t="shared" si="132"/>
        <v>0.35766797547724977</v>
      </c>
      <c r="T69" s="40">
        <f t="shared" si="132"/>
        <v>0.3372181045874974</v>
      </c>
      <c r="U69" s="40">
        <f t="shared" si="132"/>
        <v>0.75753784616114694</v>
      </c>
      <c r="V69" s="40">
        <f t="shared" si="132"/>
        <v>0.5435325569187911</v>
      </c>
      <c r="W69" s="40">
        <f t="shared" si="132"/>
        <v>0.44616814658712273</v>
      </c>
      <c r="X69" s="40">
        <f t="shared" si="132"/>
        <v>0.38900755816442234</v>
      </c>
      <c r="Y69" s="169"/>
      <c r="AA69" s="40"/>
      <c r="AB69" s="40">
        <f t="shared" ref="AB69:AI69" si="133">-SUM(AB67:AB68)/AB64</f>
        <v>0.59730804623805378</v>
      </c>
      <c r="AC69" s="40">
        <f t="shared" si="133"/>
        <v>0.14591982479449159</v>
      </c>
      <c r="AD69" s="40">
        <f t="shared" si="133"/>
        <v>0.37258079176767445</v>
      </c>
      <c r="AE69" s="40">
        <f t="shared" si="133"/>
        <v>0.31064108205044977</v>
      </c>
      <c r="AF69" s="40">
        <f t="shared" si="133"/>
        <v>0.40030711829820409</v>
      </c>
      <c r="AG69" s="40">
        <f t="shared" si="133"/>
        <v>0.34451228588487776</v>
      </c>
      <c r="AH69" s="40">
        <f t="shared" si="133"/>
        <v>0.65190748022696077</v>
      </c>
      <c r="AI69" s="40">
        <f t="shared" si="133"/>
        <v>0.34648819088733185</v>
      </c>
      <c r="AK69" s="40"/>
      <c r="AL69" s="40">
        <f t="shared" ref="AL69:AS69" si="134">-SUM(AL67:AL68)/AL64</f>
        <v>0.4986401035537531</v>
      </c>
      <c r="AM69" s="40">
        <f t="shared" si="134"/>
        <v>0.42987454222340865</v>
      </c>
      <c r="AN69" s="40">
        <f t="shared" si="134"/>
        <v>0.37813119338183698</v>
      </c>
      <c r="AO69" s="40">
        <f t="shared" si="134"/>
        <v>0.6094545668839606</v>
      </c>
      <c r="AP69" s="40">
        <f t="shared" si="134"/>
        <v>0.62366338784359154</v>
      </c>
      <c r="AQ69" s="40">
        <f t="shared" si="134"/>
        <v>-4.8285196053396113</v>
      </c>
      <c r="AR69" s="40">
        <f t="shared" si="134"/>
        <v>0.60290873165851799</v>
      </c>
      <c r="AS69" s="40">
        <f t="shared" si="134"/>
        <v>0.5729182068016373</v>
      </c>
      <c r="AU69" s="40"/>
      <c r="AV69" s="40">
        <f t="shared" ref="AV69:BC69" si="135">-SUM(AV67:AV68)/AV64</f>
        <v>0.57602748575159823</v>
      </c>
      <c r="AW69" s="40">
        <f t="shared" si="135"/>
        <v>0.18434606100358786</v>
      </c>
      <c r="AX69" s="40">
        <f t="shared" si="135"/>
        <v>0.37333370084573153</v>
      </c>
      <c r="AY69" s="40">
        <f t="shared" si="135"/>
        <v>0.34593960362602205</v>
      </c>
      <c r="AZ69" s="40">
        <f t="shared" si="135"/>
        <v>0.42993671968879121</v>
      </c>
      <c r="BA69" s="40">
        <f t="shared" si="135"/>
        <v>0.50753064540918635</v>
      </c>
      <c r="BB69" s="40">
        <f t="shared" si="135"/>
        <v>0.64547361241600276</v>
      </c>
      <c r="BC69" s="40">
        <f t="shared" si="135"/>
        <v>0.37036608397242504</v>
      </c>
      <c r="BD69" s="169"/>
      <c r="BF69" s="40"/>
      <c r="BG69" s="40"/>
      <c r="BH69" s="40"/>
      <c r="BI69" s="40"/>
      <c r="BJ69" s="40"/>
      <c r="BK69" s="40"/>
      <c r="BL69" s="40"/>
      <c r="BM69" s="40"/>
      <c r="BN69" s="40"/>
    </row>
    <row r="70" spans="3:67" x14ac:dyDescent="0.3">
      <c r="C70" s="36" t="s">
        <v>40</v>
      </c>
      <c r="E70" s="203"/>
      <c r="F70" s="203">
        <f>VLOOKUP($C70,'Segment IFRS17'!$I$460:$N$531,6,0)/1000</f>
        <v>-14208.82718</v>
      </c>
      <c r="G70" s="203">
        <f>VLOOKUP($C70,'Segment IFRS17'!$P$460:$U$531,6,0)/1000</f>
        <v>-9323.1910100000005</v>
      </c>
      <c r="H70" s="203">
        <f>VLOOKUP($C70,'Segment IFRS17'!$AD$460:$AI$531,6,0)/1000</f>
        <v>-30976.333279999999</v>
      </c>
      <c r="I70" s="203">
        <f>VLOOKUP($C70,'Segment IFRS17'!$AK$460:$AP$531,6,0)/1000</f>
        <v>-43800.364410000009</v>
      </c>
      <c r="J70" s="203">
        <f>VLOOKUP($C70,'Segment IFRS17'!$I$537:$N$608,6,0)/1000</f>
        <v>-17361.103870000006</v>
      </c>
      <c r="K70" s="203">
        <f>VLOOKUP($C70,'Segment IFRS17'!$P$539:$U$600,6,0)/1000</f>
        <v>-26262.561699999998</v>
      </c>
      <c r="L70" s="203">
        <f>VLOOKUP($C70,'Segment IFRS17'!$AD$539:$AI$600,6,0)/1000</f>
        <v>-27168.432870000004</v>
      </c>
      <c r="M70" s="203">
        <f>VLOOKUP($C70,'Segment IFRS17'!$AK$539:$AP$600,6,0)/1000</f>
        <v>-36540.582659999978</v>
      </c>
      <c r="N70" s="132">
        <f t="shared" ref="N70:N78" si="136">M70/I70-1</f>
        <v>-0.16574706278796525</v>
      </c>
      <c r="O70" s="132"/>
      <c r="P70" s="38"/>
      <c r="Q70" s="38">
        <f>VLOOKUP($C70,'Segment IFRS17'!$I$460:$N$531,2,0)/1000</f>
        <v>-9843.5131400000009</v>
      </c>
      <c r="R70" s="38">
        <f>VLOOKUP($C70,'Segment IFRS17'!$P$460:$U$531,2,0)/1000</f>
        <v>-12924.784059999998</v>
      </c>
      <c r="S70" s="38">
        <f>VLOOKUP($C70,'Segment IFRS17'!$AD$460:$AI$531,2,0)/1000</f>
        <v>-27461.980099999997</v>
      </c>
      <c r="T70" s="38">
        <f>VLOOKUP($C70,'Segment IFRS17'!$AK$460:$AP$531,2,0)/1000</f>
        <v>-42444.444160000014</v>
      </c>
      <c r="U70" s="38">
        <f>VLOOKUP($C70,'Segment IFRS17'!$I$537:$N$608,2,0)/1000</f>
        <v>-16635.556240000002</v>
      </c>
      <c r="V70" s="38">
        <f>VLOOKUP($C70,'Segment IFRS17'!$P$537:$U$608,2,0)/1000</f>
        <v>-25590.442310000002</v>
      </c>
      <c r="W70" s="38">
        <f>VLOOKUP($C70,'Segment IFRS17'!$AD$537:$AI$608,2,0)/1000</f>
        <v>-24593.697040000006</v>
      </c>
      <c r="X70" s="38">
        <f>VLOOKUP($C70,'Segment IFRS17'!$AK$537:$AP$608,2,0)/1000</f>
        <v>-27011.169109999977</v>
      </c>
      <c r="Y70" s="132">
        <f t="shared" ref="Y70:Y75" si="137">W70/S70-1</f>
        <v>-0.1044456025951308</v>
      </c>
      <c r="AA70" s="38"/>
      <c r="AB70" s="38">
        <f>VLOOKUP($C70,'Segment IFRS17'!$I$460:$N$531,3,0)/1000</f>
        <v>-4025.9609999999998</v>
      </c>
      <c r="AC70" s="38">
        <f>VLOOKUP($C70,'Segment IFRS17'!$P$460:$U$531,3,0)/1000</f>
        <v>4025.9609999999998</v>
      </c>
      <c r="AD70" s="38">
        <f>VLOOKUP($C70,'Segment IFRS17'!$AD$460:$AI$531,3,0)/1000</f>
        <v>-3375.4839999999999</v>
      </c>
      <c r="AE70" s="38">
        <f>VLOOKUP($C70,'Segment IFRS17'!$AK$460:$AP$531,3,0)/1000</f>
        <v>-379.51600000000002</v>
      </c>
      <c r="AF70" s="38">
        <f>VLOOKUP($C70,'Segment IFRS17'!$I$537:$N$608,3,0)/1000</f>
        <v>-292.98</v>
      </c>
      <c r="AG70" s="38">
        <f>VLOOKUP($C70,'Segment IFRS17'!$P$537:$U$608,3,0)/1000</f>
        <v>292.98</v>
      </c>
      <c r="AH70" s="38">
        <f>VLOOKUP($C70,'Segment IFRS17'!$AD$537:$AI$608,3,0)/1000</f>
        <v>-1018.177</v>
      </c>
      <c r="AI70" s="38">
        <f>VLOOKUP($C70,'Segment IFRS17'!$AK$537:$AP$608,3,0)/1000</f>
        <v>-8259.81</v>
      </c>
      <c r="AK70" s="38"/>
      <c r="AL70" s="38">
        <f>VLOOKUP($C70,'Segment IFRS17'!$I$460:$N$531,4,0)/1000</f>
        <v>-63.483700000000013</v>
      </c>
      <c r="AM70" s="38">
        <f>VLOOKUP($C70,'Segment IFRS17'!$P$460:$U$531,4,0)/1000</f>
        <v>-6.0248999999999944</v>
      </c>
      <c r="AN70" s="38">
        <f>VLOOKUP($C70,'Segment IFRS17'!$AD$460:$AI$531,4,0)/1000</f>
        <v>-17.010249999999999</v>
      </c>
      <c r="AO70" s="38">
        <f>VLOOKUP($C70,'Segment IFRS17'!$AK$460:$AP$531,4,0)/1000</f>
        <v>-94.280529999999999</v>
      </c>
      <c r="AP70" s="38">
        <f>VLOOKUP($C70,'Segment IFRS17'!$I$537:$N$608,4,0)/1000</f>
        <v>-279.80475999999999</v>
      </c>
      <c r="AQ70" s="38">
        <f>VLOOKUP($C70,'Segment IFRS17'!$P$537:$U$608,4,0)/1000</f>
        <v>-561.1338300000001</v>
      </c>
      <c r="AR70" s="38">
        <f>VLOOKUP($C70,'Segment IFRS17'!$AD$537:$AI$608,4,0)/1000</f>
        <v>-731.06558000000007</v>
      </c>
      <c r="AS70" s="38">
        <f>VLOOKUP($C70,'Segment IFRS17'!$AK$537:$AP$608,4,0)/1000</f>
        <v>-527.73728000000006</v>
      </c>
      <c r="AU70" s="38"/>
      <c r="AV70" s="38">
        <f t="shared" ref="AV70:AV75" si="138">AB70+AL70</f>
        <v>-4089.4447</v>
      </c>
      <c r="AW70" s="38">
        <f t="shared" ref="AW70:AW75" si="139">AC70+AM70</f>
        <v>4019.9360999999999</v>
      </c>
      <c r="AX70" s="38">
        <f t="shared" ref="AX70:AX75" si="140">AD70+AN70</f>
        <v>-3392.4942499999997</v>
      </c>
      <c r="AY70" s="38">
        <f t="shared" ref="AY70:AY75" si="141">AE70+AO70</f>
        <v>-473.79653000000002</v>
      </c>
      <c r="AZ70" s="38">
        <f t="shared" ref="AZ70:AZ75" si="142">AF70+AP70</f>
        <v>-572.78476000000001</v>
      </c>
      <c r="BA70" s="38">
        <f t="shared" ref="BA70:BA75" si="143">AG70+AQ70</f>
        <v>-268.15383000000008</v>
      </c>
      <c r="BB70" s="38">
        <f t="shared" ref="BB70:BB75" si="144">AH70+AR70</f>
        <v>-1749.2425800000001</v>
      </c>
      <c r="BC70" s="38">
        <f t="shared" ref="BC70:BC75" si="145">AI70+AS70</f>
        <v>-8787.5472799999989</v>
      </c>
      <c r="BF70" s="38"/>
      <c r="BG70" s="38">
        <f>VLOOKUP($C70,'Segment IFRS17'!$I$460:$N$531,5,0)/1000</f>
        <v>-275.86934000000002</v>
      </c>
      <c r="BH70" s="38">
        <f>VLOOKUP($C70,'Segment IFRS17'!$P$460:$U$531,5,0)/1000</f>
        <v>-418.34305000000001</v>
      </c>
      <c r="BI70" s="38">
        <f>VLOOKUP($C70,'Segment IFRS17'!$AD$460:$AI$531,5,0)/1000</f>
        <v>-121.85892999999993</v>
      </c>
      <c r="BJ70" s="38">
        <f>VLOOKUP($C70,'Segment IFRS17'!$AK$460:$AP$531,5,0)/1000</f>
        <v>-882.12372000000005</v>
      </c>
      <c r="BK70" s="38">
        <f>VLOOKUP($C70,'Segment IFRS17'!$I$537:$N$608,5,0)/1000</f>
        <v>-152.76286999999999</v>
      </c>
      <c r="BL70" s="38">
        <f>VLOOKUP($C70,'Segment IFRS17'!$P$537:$U$608,5,0)/1000</f>
        <v>-403.96556000000004</v>
      </c>
      <c r="BM70" s="38">
        <f>VLOOKUP($C70,'Segment IFRS17'!$AD$537:$AI$608,5,0)/1000</f>
        <v>-825.49324999999988</v>
      </c>
      <c r="BN70" s="38">
        <f>VLOOKUP($C70,'Segment IFRS17'!$AK$537:$AP$608,5,0)/1000</f>
        <v>-741.8662700000001</v>
      </c>
    </row>
    <row r="71" spans="3:67" x14ac:dyDescent="0.3">
      <c r="C71" s="36" t="s">
        <v>41</v>
      </c>
      <c r="E71" s="203"/>
      <c r="F71" s="203">
        <f>VLOOKUP($C71,'Segment IFRS17'!$I$460:$N$531,6,0)/1000</f>
        <v>15000</v>
      </c>
      <c r="G71" s="203">
        <f>VLOOKUP($C71,'Segment IFRS17'!$P$460:$U$531,6,0)/1000</f>
        <v>-200</v>
      </c>
      <c r="H71" s="203">
        <f>VLOOKUP($C71,'Segment IFRS17'!$AD$460:$AI$531,6,0)/1000</f>
        <v>0</v>
      </c>
      <c r="I71" s="203">
        <f>VLOOKUP($C71,'Segment IFRS17'!$AK$460:$AP$531,6,0)/1000</f>
        <v>0</v>
      </c>
      <c r="J71" s="203">
        <f>VLOOKUP($C71,'Segment IFRS17'!$I$537:$N$608,6,0)/1000</f>
        <v>1110.9360800000002</v>
      </c>
      <c r="K71" s="203">
        <f>VLOOKUP($C71,'Segment IFRS17'!$P$539:$U$600,6,0)/1000</f>
        <v>-149.17272999999997</v>
      </c>
      <c r="L71" s="203">
        <f>VLOOKUP($C71,'Segment IFRS17'!$AD$539:$AI$600,6,0)/1000</f>
        <v>-113.46300000000002</v>
      </c>
      <c r="M71" s="203">
        <f>VLOOKUP($C71,'Segment IFRS17'!$AK$539:$AP$600,6,0)/1000</f>
        <v>-1305.0526000000004</v>
      </c>
      <c r="N71" s="132" t="e">
        <f t="shared" si="136"/>
        <v>#DIV/0!</v>
      </c>
      <c r="O71" s="132"/>
      <c r="P71" s="38"/>
      <c r="Q71" s="38">
        <f>VLOOKUP($C71,'Segment IFRS17'!$I$460:$N$531,2,0)/1000</f>
        <v>15000</v>
      </c>
      <c r="R71" s="38">
        <f>VLOOKUP($C71,'Segment IFRS17'!$P$460:$U$531,2,0)/1000</f>
        <v>0</v>
      </c>
      <c r="S71" s="38">
        <f>VLOOKUP($C71,'Segment IFRS17'!$AD$460:$AI$531,2,0)/1000</f>
        <v>0</v>
      </c>
      <c r="T71" s="38">
        <f>VLOOKUP($C71,'Segment IFRS17'!$AK$460:$AP$531,2,0)/1000</f>
        <v>0</v>
      </c>
      <c r="U71" s="38">
        <f>VLOOKUP($C71,'Segment IFRS17'!$I$537:$N$608,2,0)/1000</f>
        <v>-9.0639199999999995</v>
      </c>
      <c r="V71" s="38">
        <f>VLOOKUP($C71,'Segment IFRS17'!$P$537:$U$608,2,0)/1000</f>
        <v>-149.17272999999997</v>
      </c>
      <c r="W71" s="38">
        <f>VLOOKUP($C71,'Segment IFRS17'!$AD$537:$AI$608,2,0)/1000</f>
        <v>-113.46300000000002</v>
      </c>
      <c r="X71" s="38">
        <f>VLOOKUP($C71,'Segment IFRS17'!$AK$537:$AP$608,2,0)/1000</f>
        <v>-1276.7590000000002</v>
      </c>
      <c r="Y71" s="132" t="e">
        <f t="shared" si="137"/>
        <v>#DIV/0!</v>
      </c>
      <c r="AA71" s="38"/>
      <c r="AB71" s="38">
        <f>VLOOKUP($C71,'Segment IFRS17'!$I$460:$N$531,3,0)/1000</f>
        <v>0</v>
      </c>
      <c r="AC71" s="38">
        <f>VLOOKUP($C71,'Segment IFRS17'!$P$460:$U$531,3,0)/1000</f>
        <v>-200</v>
      </c>
      <c r="AD71" s="38">
        <f>VLOOKUP($C71,'Segment IFRS17'!$AD$460:$AI$531,3,0)/1000</f>
        <v>0</v>
      </c>
      <c r="AE71" s="38">
        <f>VLOOKUP($C71,'Segment IFRS17'!$AK$460:$AP$531,3,0)/1000</f>
        <v>0</v>
      </c>
      <c r="AF71" s="38">
        <f>VLOOKUP($C71,'Segment IFRS17'!$I$537:$N$608,3,0)/1000</f>
        <v>1120</v>
      </c>
      <c r="AG71" s="38">
        <f>VLOOKUP($C71,'Segment IFRS17'!$P$537:$U$608,3,0)/1000</f>
        <v>0</v>
      </c>
      <c r="AH71" s="38">
        <f>VLOOKUP($C71,'Segment IFRS17'!$AD$537:$AI$608,3,0)/1000</f>
        <v>0</v>
      </c>
      <c r="AI71" s="38">
        <f>VLOOKUP($C71,'Segment IFRS17'!$AK$537:$AP$608,3,0)/1000</f>
        <v>0</v>
      </c>
      <c r="AK71" s="38"/>
      <c r="AL71" s="38">
        <f>VLOOKUP($C71,'Segment IFRS17'!$I$460:$N$531,4,0)/1000</f>
        <v>0</v>
      </c>
      <c r="AM71" s="38">
        <f>VLOOKUP($C71,'Segment IFRS17'!$P$460:$U$531,4,0)/1000</f>
        <v>0</v>
      </c>
      <c r="AN71" s="38">
        <f>VLOOKUP($C71,'Segment IFRS17'!$AD$460:$AI$531,4,0)/1000</f>
        <v>0</v>
      </c>
      <c r="AO71" s="38">
        <f>VLOOKUP($C71,'Segment IFRS17'!$AK$460:$AP$531,4,0)/1000</f>
        <v>0</v>
      </c>
      <c r="AP71" s="38">
        <f>VLOOKUP($C71,'Segment IFRS17'!$I$537:$N$608,4,0)/1000</f>
        <v>0</v>
      </c>
      <c r="AQ71" s="38">
        <f>VLOOKUP($C71,'Segment IFRS17'!$P$537:$U$608,4,0)/1000</f>
        <v>0</v>
      </c>
      <c r="AR71" s="38">
        <f>VLOOKUP($C71,'Segment IFRS17'!$AD$537:$AI$608,4,0)/1000</f>
        <v>0</v>
      </c>
      <c r="AS71" s="38">
        <f>VLOOKUP($C71,'Segment IFRS17'!$AK$537:$AP$608,4,0)/1000</f>
        <v>0</v>
      </c>
      <c r="AU71" s="38"/>
      <c r="AV71" s="38">
        <f t="shared" si="138"/>
        <v>0</v>
      </c>
      <c r="AW71" s="38">
        <f t="shared" si="139"/>
        <v>-200</v>
      </c>
      <c r="AX71" s="38">
        <f t="shared" si="140"/>
        <v>0</v>
      </c>
      <c r="AY71" s="38">
        <f t="shared" si="141"/>
        <v>0</v>
      </c>
      <c r="AZ71" s="38">
        <f t="shared" si="142"/>
        <v>1120</v>
      </c>
      <c r="BA71" s="38">
        <f t="shared" si="143"/>
        <v>0</v>
      </c>
      <c r="BB71" s="38">
        <f t="shared" si="144"/>
        <v>0</v>
      </c>
      <c r="BC71" s="38">
        <f t="shared" si="145"/>
        <v>0</v>
      </c>
      <c r="BF71" s="38"/>
      <c r="BG71" s="38">
        <f>VLOOKUP($C71,'Segment IFRS17'!$I$460:$N$531,5,0)/1000</f>
        <v>0</v>
      </c>
      <c r="BH71" s="38">
        <f>VLOOKUP($C71,'Segment IFRS17'!$P$460:$U$531,5,0)/1000</f>
        <v>0</v>
      </c>
      <c r="BI71" s="38">
        <f>VLOOKUP($C71,'Segment IFRS17'!$AD$460:$AI$531,5,0)/1000</f>
        <v>0</v>
      </c>
      <c r="BJ71" s="38">
        <f>VLOOKUP($C71,'Segment IFRS17'!$AK$460:$AP$531,5,0)/1000</f>
        <v>0</v>
      </c>
      <c r="BK71" s="38">
        <f>VLOOKUP($C71,'Segment IFRS17'!$I$537:$N$608,5,0)/1000</f>
        <v>0</v>
      </c>
      <c r="BL71" s="38">
        <f>VLOOKUP($C71,'Segment IFRS17'!$P$537:$U$608,5,0)/1000</f>
        <v>0</v>
      </c>
      <c r="BM71" s="38">
        <f>VLOOKUP($C71,'Segment IFRS17'!$AD$537:$AI$608,5,0)/1000</f>
        <v>0</v>
      </c>
      <c r="BN71" s="38">
        <f>VLOOKUP($C71,'Segment IFRS17'!$AK$537:$AP$608,5,0)/1000</f>
        <v>-28.293599999999998</v>
      </c>
    </row>
    <row r="72" spans="3:67" x14ac:dyDescent="0.3">
      <c r="C72" s="36" t="s">
        <v>42</v>
      </c>
      <c r="E72" s="203"/>
      <c r="F72" s="203">
        <f>VLOOKUP($C72,'Segment IFRS17'!$I$460:$N$531,6,0)/1000</f>
        <v>-15572.818310000002</v>
      </c>
      <c r="G72" s="203">
        <f>VLOOKUP($C72,'Segment IFRS17'!$P$460:$U$531,6,0)/1000</f>
        <v>-17510.381040000004</v>
      </c>
      <c r="H72" s="203">
        <f>VLOOKUP($C72,'Segment IFRS17'!$AD$460:$AI$531,6,0)/1000</f>
        <v>-18060.836549999993</v>
      </c>
      <c r="I72" s="203">
        <f>VLOOKUP($C72,'Segment IFRS17'!$AK$460:$AP$531,6,0)/1000</f>
        <v>-18523.978659999997</v>
      </c>
      <c r="J72" s="203">
        <f>VLOOKUP($C72,'Segment IFRS17'!$I$537:$N$608,6,0)/1000</f>
        <v>-23694.060839999998</v>
      </c>
      <c r="K72" s="203">
        <f>VLOOKUP($C72,'Segment IFRS17'!$P$539:$U$600,6,0)/1000</f>
        <v>-25147.551349999991</v>
      </c>
      <c r="L72" s="203">
        <f>VLOOKUP($C72,'Segment IFRS17'!$AD$539:$AI$600,6,0)/1000</f>
        <v>-22354.890740000003</v>
      </c>
      <c r="M72" s="203">
        <f>VLOOKUP($C72,'Segment IFRS17'!$AK$539:$AP$600,6,0)/1000</f>
        <v>-25635.437740000008</v>
      </c>
      <c r="N72" s="132">
        <f t="shared" si="136"/>
        <v>0.38390559666084245</v>
      </c>
      <c r="O72" s="132"/>
      <c r="P72" s="38"/>
      <c r="Q72" s="38">
        <f>VLOOKUP($C72,'Segment IFRS17'!$I$460:$N$531,2,0)/1000</f>
        <v>-10058.926210000001</v>
      </c>
      <c r="R72" s="38">
        <f>VLOOKUP($C72,'Segment IFRS17'!$P$460:$U$531,2,0)/1000</f>
        <v>-11954.344509999997</v>
      </c>
      <c r="S72" s="38">
        <f>VLOOKUP($C72,'Segment IFRS17'!$AD$460:$AI$531,2,0)/1000</f>
        <v>-12362.964699999995</v>
      </c>
      <c r="T72" s="38">
        <f>VLOOKUP($C72,'Segment IFRS17'!$AK$460:$AP$531,2,0)/1000</f>
        <v>-12547.806140000001</v>
      </c>
      <c r="U72" s="38">
        <f>VLOOKUP($C72,'Segment IFRS17'!$I$537:$N$608,2,0)/1000</f>
        <v>-18017.602510000001</v>
      </c>
      <c r="V72" s="38">
        <f>VLOOKUP($C72,'Segment IFRS17'!$P$537:$U$608,2,0)/1000</f>
        <v>-19322.031849999992</v>
      </c>
      <c r="W72" s="38">
        <f>VLOOKUP($C72,'Segment IFRS17'!$AD$537:$AI$608,2,0)/1000</f>
        <v>-15705.606960000001</v>
      </c>
      <c r="X72" s="38">
        <f>VLOOKUP($C72,'Segment IFRS17'!$AK$537:$AP$608,2,0)/1000</f>
        <v>-19306.680930000006</v>
      </c>
      <c r="Y72" s="132">
        <f t="shared" si="137"/>
        <v>0.27037545937504848</v>
      </c>
      <c r="AA72" s="38"/>
      <c r="AB72" s="38">
        <f>VLOOKUP($C72,'Segment IFRS17'!$I$460:$N$531,3,0)/1000</f>
        <v>-4414.8024400000004</v>
      </c>
      <c r="AC72" s="38">
        <f>VLOOKUP($C72,'Segment IFRS17'!$P$460:$U$531,3,0)/1000</f>
        <v>-4605.6594200000009</v>
      </c>
      <c r="AD72" s="38">
        <f>VLOOKUP($C72,'Segment IFRS17'!$AD$460:$AI$531,3,0)/1000</f>
        <v>-4751.6393799999987</v>
      </c>
      <c r="AE72" s="38">
        <f>VLOOKUP($C72,'Segment IFRS17'!$AK$460:$AP$531,3,0)/1000</f>
        <v>-5047.9557999999988</v>
      </c>
      <c r="AF72" s="38">
        <f>VLOOKUP($C72,'Segment IFRS17'!$I$537:$N$608,3,0)/1000</f>
        <v>-4767.8055999999997</v>
      </c>
      <c r="AG72" s="38">
        <f>VLOOKUP($C72,'Segment IFRS17'!$P$537:$U$608,3,0)/1000</f>
        <v>-4909.6919000000007</v>
      </c>
      <c r="AH72" s="38">
        <f>VLOOKUP($C72,'Segment IFRS17'!$AD$537:$AI$608,3,0)/1000</f>
        <v>-5661.9754999999996</v>
      </c>
      <c r="AI72" s="38">
        <f>VLOOKUP($C72,'Segment IFRS17'!$AK$537:$AP$608,3,0)/1000</f>
        <v>-5197.835</v>
      </c>
      <c r="AK72" s="38"/>
      <c r="AL72" s="38">
        <f>VLOOKUP($C72,'Segment IFRS17'!$I$460:$N$531,4,0)/1000</f>
        <v>-795.60027000000002</v>
      </c>
      <c r="AM72" s="38">
        <f>VLOOKUP($C72,'Segment IFRS17'!$P$460:$U$531,4,0)/1000</f>
        <v>-836.64743999999996</v>
      </c>
      <c r="AN72" s="38">
        <f>VLOOKUP($C72,'Segment IFRS17'!$AD$460:$AI$531,4,0)/1000</f>
        <v>-851.27549000000022</v>
      </c>
      <c r="AO72" s="38">
        <f>VLOOKUP($C72,'Segment IFRS17'!$AK$460:$AP$531,4,0)/1000</f>
        <v>-855.63982999999962</v>
      </c>
      <c r="AP72" s="38">
        <f>VLOOKUP($C72,'Segment IFRS17'!$I$537:$N$608,4,0)/1000</f>
        <v>-859.26360999999997</v>
      </c>
      <c r="AQ72" s="38">
        <f>VLOOKUP($C72,'Segment IFRS17'!$P$537:$U$608,4,0)/1000</f>
        <v>-890.08351999999991</v>
      </c>
      <c r="AR72" s="38">
        <f>VLOOKUP($C72,'Segment IFRS17'!$AD$537:$AI$608,4,0)/1000</f>
        <v>-903.04676000000029</v>
      </c>
      <c r="AS72" s="38">
        <f>VLOOKUP($C72,'Segment IFRS17'!$AK$537:$AP$608,4,0)/1000</f>
        <v>-906.64410000000009</v>
      </c>
      <c r="AU72" s="38"/>
      <c r="AV72" s="38">
        <f t="shared" si="138"/>
        <v>-5210.4027100000003</v>
      </c>
      <c r="AW72" s="38">
        <f t="shared" si="139"/>
        <v>-5442.3068600000006</v>
      </c>
      <c r="AX72" s="38">
        <f t="shared" si="140"/>
        <v>-5602.9148699999987</v>
      </c>
      <c r="AY72" s="38">
        <f t="shared" si="141"/>
        <v>-5903.595629999998</v>
      </c>
      <c r="AZ72" s="38">
        <f t="shared" si="142"/>
        <v>-5627.0692099999997</v>
      </c>
      <c r="BA72" s="38">
        <f t="shared" si="143"/>
        <v>-5799.7754200000008</v>
      </c>
      <c r="BB72" s="38">
        <f t="shared" si="144"/>
        <v>-6565.0222599999997</v>
      </c>
      <c r="BC72" s="38">
        <f t="shared" si="145"/>
        <v>-6104.4791000000005</v>
      </c>
      <c r="BF72" s="38"/>
      <c r="BG72" s="38">
        <f>VLOOKUP($C72,'Segment IFRS17'!$I$460:$N$531,5,0)/1000</f>
        <v>-303.48939000000001</v>
      </c>
      <c r="BH72" s="38">
        <f>VLOOKUP($C72,'Segment IFRS17'!$P$460:$U$531,5,0)/1000</f>
        <v>-113.72966999999998</v>
      </c>
      <c r="BI72" s="38">
        <f>VLOOKUP($C72,'Segment IFRS17'!$AD$460:$AI$531,5,0)/1000</f>
        <v>-94.956979999999987</v>
      </c>
      <c r="BJ72" s="38">
        <f>VLOOKUP($C72,'Segment IFRS17'!$AK$460:$AP$531,5,0)/1000</f>
        <v>-72.576890000000077</v>
      </c>
      <c r="BK72" s="38">
        <f>VLOOKUP($C72,'Segment IFRS17'!$I$537:$N$608,5,0)/1000</f>
        <v>-49.389120000000005</v>
      </c>
      <c r="BL72" s="38">
        <f>VLOOKUP($C72,'Segment IFRS17'!$P$537:$U$608,5,0)/1000</f>
        <v>-25.744079999999993</v>
      </c>
      <c r="BM72" s="38">
        <f>VLOOKUP($C72,'Segment IFRS17'!$AD$537:$AI$608,5,0)/1000</f>
        <v>-84.261520000000004</v>
      </c>
      <c r="BN72" s="38">
        <f>VLOOKUP($C72,'Segment IFRS17'!$AK$537:$AP$608,5,0)/1000</f>
        <v>-224.27770999999996</v>
      </c>
    </row>
    <row r="73" spans="3:67" x14ac:dyDescent="0.3">
      <c r="C73" s="36" t="s">
        <v>4</v>
      </c>
      <c r="E73" s="203"/>
      <c r="F73" s="203">
        <f>VLOOKUP($C73,'Segment IFRS17'!$I$460:$N$531,6,0)/1000</f>
        <v>343.39501000000001</v>
      </c>
      <c r="G73" s="203">
        <f>VLOOKUP($C73,'Segment IFRS17'!$P$460:$U$531,6,0)/1000</f>
        <v>26.712739999999947</v>
      </c>
      <c r="H73" s="203">
        <f>VLOOKUP($C73,'Segment IFRS17'!$AD$460:$AI$531,6,0)/1000</f>
        <v>245.91876000000008</v>
      </c>
      <c r="I73" s="203">
        <f>VLOOKUP($C73,'Segment IFRS17'!$AK$460:$AP$531,6,0)/1000</f>
        <v>871.69708048264476</v>
      </c>
      <c r="J73" s="203">
        <f>VLOOKUP($C73,'Segment IFRS17'!$I$537:$N$608,6,0)/1000</f>
        <v>-218.50452257500001</v>
      </c>
      <c r="K73" s="203">
        <f>VLOOKUP($C73,'Segment IFRS17'!$P$539:$U$600,6,0)/1000</f>
        <v>182.46683052456521</v>
      </c>
      <c r="L73" s="203">
        <f>VLOOKUP($C73,'Segment IFRS17'!$AD$539:$AI$600,6,0)/1000</f>
        <v>-149.56812004282364</v>
      </c>
      <c r="M73" s="203">
        <f>VLOOKUP($C73,'Segment IFRS17'!$AK$539:$AP$600,6,0)/1000</f>
        <v>843.86816088461649</v>
      </c>
      <c r="N73" s="132">
        <f t="shared" si="136"/>
        <v>-3.1924988876433802E-2</v>
      </c>
      <c r="O73" s="132"/>
      <c r="P73" s="38"/>
      <c r="Q73" s="38">
        <f>VLOOKUP($C73,'Segment IFRS17'!$I$460:$N$531,2,0)/1000</f>
        <v>343.39501000000001</v>
      </c>
      <c r="R73" s="38">
        <f>VLOOKUP($C73,'Segment IFRS17'!$P$460:$U$531,2,0)/1000</f>
        <v>17.172129999999946</v>
      </c>
      <c r="S73" s="38">
        <f>VLOOKUP($C73,'Segment IFRS17'!$AD$460:$AI$531,2,0)/1000</f>
        <v>57.504750000000058</v>
      </c>
      <c r="T73" s="38">
        <f>VLOOKUP($C73,'Segment IFRS17'!$AK$460:$AP$531,2,0)/1000</f>
        <v>332.39100999999999</v>
      </c>
      <c r="U73" s="38">
        <f>VLOOKUP($C73,'Segment IFRS17'!$I$537:$N$608,2,0)/1000</f>
        <v>0.26730999999999999</v>
      </c>
      <c r="V73" s="38">
        <f>VLOOKUP($C73,'Segment IFRS17'!$P$537:$U$608,2,0)/1000</f>
        <v>-21.44163</v>
      </c>
      <c r="W73" s="38">
        <f>VLOOKUP($C73,'Segment IFRS17'!$AD$537:$AI$608,2,0)/1000</f>
        <v>-23.033440000000009</v>
      </c>
      <c r="X73" s="38">
        <f>VLOOKUP($C73,'Segment IFRS17'!$AK$537:$AP$608,2,0)/1000</f>
        <v>1.9834100000000108</v>
      </c>
      <c r="Y73" s="132">
        <f t="shared" si="137"/>
        <v>-1.4005484764302076</v>
      </c>
      <c r="AA73" s="38"/>
      <c r="AB73" s="38">
        <f>VLOOKUP($C73,'Segment IFRS17'!$I$460:$N$531,3,0)/1000</f>
        <v>0</v>
      </c>
      <c r="AC73" s="38">
        <f>VLOOKUP($C73,'Segment IFRS17'!$P$460:$U$531,3,0)/1000</f>
        <v>-6.0000000000000001E-3</v>
      </c>
      <c r="AD73" s="38">
        <f>VLOOKUP($C73,'Segment IFRS17'!$AD$460:$AI$531,3,0)/1000</f>
        <v>188.46899999999999</v>
      </c>
      <c r="AE73" s="38">
        <f>VLOOKUP($C73,'Segment IFRS17'!$AK$460:$AP$531,3,0)/1000</f>
        <v>-2391.2399999999998</v>
      </c>
      <c r="AF73" s="38">
        <f>VLOOKUP($C73,'Segment IFRS17'!$I$537:$N$608,3,0)/1000</f>
        <v>-401.084</v>
      </c>
      <c r="AG73" s="38">
        <f>VLOOKUP($C73,'Segment IFRS17'!$P$537:$U$608,3,0)/1000</f>
        <v>294.62799999999999</v>
      </c>
      <c r="AH73" s="38">
        <f>VLOOKUP($C73,'Segment IFRS17'!$AD$537:$AI$608,3,0)/1000</f>
        <v>46.420999999999999</v>
      </c>
      <c r="AI73" s="38">
        <f>VLOOKUP($C73,'Segment IFRS17'!$AK$537:$AP$608,3,0)/1000</f>
        <v>690.83299999999997</v>
      </c>
      <c r="AK73" s="38"/>
      <c r="AL73" s="38">
        <f>VLOOKUP($C73,'Segment IFRS17'!$I$460:$N$531,4,0)/1000</f>
        <v>0</v>
      </c>
      <c r="AM73" s="38">
        <f>VLOOKUP($C73,'Segment IFRS17'!$P$460:$U$531,4,0)/1000</f>
        <v>0</v>
      </c>
      <c r="AN73" s="38">
        <f>VLOOKUP($C73,'Segment IFRS17'!$AD$460:$AI$531,4,0)/1000</f>
        <v>0</v>
      </c>
      <c r="AO73" s="38">
        <f>VLOOKUP($C73,'Segment IFRS17'!$AK$460:$AP$531,4,0)/1000</f>
        <v>2901.88168</v>
      </c>
      <c r="AP73" s="38">
        <f>VLOOKUP($C73,'Segment IFRS17'!$I$537:$N$608,4,0)/1000</f>
        <v>182.59278999999998</v>
      </c>
      <c r="AQ73" s="38">
        <f>VLOOKUP($C73,'Segment IFRS17'!$P$537:$U$608,4,0)/1000</f>
        <v>-84.796059999999983</v>
      </c>
      <c r="AR73" s="38">
        <f>VLOOKUP($C73,'Segment IFRS17'!$AD$537:$AI$608,4,0)/1000</f>
        <v>-172.94692999999998</v>
      </c>
      <c r="AS73" s="38">
        <f>VLOOKUP($C73,'Segment IFRS17'!$AK$537:$AP$608,4,0)/1000</f>
        <v>21.24698999999999</v>
      </c>
      <c r="AU73" s="38"/>
      <c r="AV73" s="38">
        <f t="shared" si="138"/>
        <v>0</v>
      </c>
      <c r="AW73" s="38">
        <f t="shared" si="139"/>
        <v>-6.0000000000000001E-3</v>
      </c>
      <c r="AX73" s="38">
        <f t="shared" si="140"/>
        <v>188.46899999999999</v>
      </c>
      <c r="AY73" s="38">
        <f t="shared" si="141"/>
        <v>510.64168000000018</v>
      </c>
      <c r="AZ73" s="38">
        <f t="shared" si="142"/>
        <v>-218.49121000000002</v>
      </c>
      <c r="BA73" s="38">
        <f t="shared" si="143"/>
        <v>209.83194</v>
      </c>
      <c r="BB73" s="38">
        <f t="shared" si="144"/>
        <v>-126.52592999999999</v>
      </c>
      <c r="BC73" s="38">
        <f t="shared" si="145"/>
        <v>712.07998999999995</v>
      </c>
      <c r="BF73" s="38"/>
      <c r="BG73" s="38">
        <f>VLOOKUP($C73,'Segment IFRS17'!$I$460:$N$531,5,0)/1000</f>
        <v>0</v>
      </c>
      <c r="BH73" s="38">
        <f>VLOOKUP($C73,'Segment IFRS17'!$P$460:$U$531,5,0)/1000</f>
        <v>9.5466100000000012</v>
      </c>
      <c r="BI73" s="38">
        <f>VLOOKUP($C73,'Segment IFRS17'!$AD$460:$AI$531,5,0)/1000</f>
        <v>-5.4989999999999782E-2</v>
      </c>
      <c r="BJ73" s="38">
        <f>VLOOKUP($C73,'Segment IFRS17'!$AK$460:$AP$531,5,0)/1000</f>
        <v>28.664390482644603</v>
      </c>
      <c r="BK73" s="38">
        <f>VLOOKUP($C73,'Segment IFRS17'!$I$537:$N$608,5,0)/1000</f>
        <v>-0.28062257499999993</v>
      </c>
      <c r="BL73" s="38">
        <f>VLOOKUP($C73,'Segment IFRS17'!$P$537:$U$608,5,0)/1000</f>
        <v>-5.9234794754347835</v>
      </c>
      <c r="BM73" s="38">
        <f>VLOOKUP($C73,'Segment IFRS17'!$AD$537:$AI$608,5,0)/1000</f>
        <v>-8.7500428236435262E-3</v>
      </c>
      <c r="BN73" s="38">
        <f>VLOOKUP($C73,'Segment IFRS17'!$AK$537:$AP$608,5,0)/1000</f>
        <v>129.80476088461646</v>
      </c>
    </row>
    <row r="74" spans="3:67" x14ac:dyDescent="0.3">
      <c r="C74" s="36" t="s">
        <v>5</v>
      </c>
      <c r="E74" s="203"/>
      <c r="F74" s="203">
        <f>VLOOKUP($C74,'Segment IFRS17'!$I$460:$N$531,6,0)/1000</f>
        <v>-463</v>
      </c>
      <c r="G74" s="203">
        <f>VLOOKUP($C74,'Segment IFRS17'!$P$460:$U$531,6,0)/1000</f>
        <v>-895</v>
      </c>
      <c r="H74" s="203">
        <f>VLOOKUP($C74,'Segment IFRS17'!$AD$460:$AI$531,6,0)/1000</f>
        <v>-1145</v>
      </c>
      <c r="I74" s="203">
        <f>VLOOKUP($C74,'Segment IFRS17'!$AK$460:$AP$531,6,0)/1000</f>
        <v>-1290</v>
      </c>
      <c r="J74" s="203">
        <f>VLOOKUP($C74,'Segment IFRS17'!$I$537:$N$608,6,0)/1000</f>
        <v>-1440</v>
      </c>
      <c r="K74" s="203">
        <f>VLOOKUP($C74,'Segment IFRS17'!$P$539:$U$600,6,0)/1000</f>
        <v>-780</v>
      </c>
      <c r="L74" s="203">
        <f>VLOOKUP($C74,'Segment IFRS17'!$AD$539:$AI$600,6,0)/1000</f>
        <v>-1150</v>
      </c>
      <c r="M74" s="203">
        <f>VLOOKUP($C74,'Segment IFRS17'!$AK$539:$AP$600,6,0)/1000</f>
        <v>-985</v>
      </c>
      <c r="N74" s="132">
        <f t="shared" si="136"/>
        <v>-0.23643410852713176</v>
      </c>
      <c r="O74" s="132"/>
      <c r="P74" s="38"/>
      <c r="Q74" s="38">
        <f>VLOOKUP($C74,'Segment IFRS17'!$I$460:$N$531,2,0)/1000</f>
        <v>-463</v>
      </c>
      <c r="R74" s="38">
        <f>VLOOKUP($C74,'Segment IFRS17'!$P$460:$U$531,2,0)/1000</f>
        <v>-895</v>
      </c>
      <c r="S74" s="38">
        <f>VLOOKUP($C74,'Segment IFRS17'!$AD$460:$AI$531,2,0)/1000</f>
        <v>-1145</v>
      </c>
      <c r="T74" s="38">
        <f>VLOOKUP($C74,'Segment IFRS17'!$AK$460:$AP$531,2,0)/1000</f>
        <v>-1290</v>
      </c>
      <c r="U74" s="38">
        <f>VLOOKUP($C74,'Segment IFRS17'!$I$537:$N$608,2,0)/1000</f>
        <v>-1440</v>
      </c>
      <c r="V74" s="38">
        <f>VLOOKUP($C74,'Segment IFRS17'!$P$537:$U$608,2,0)/1000</f>
        <v>-780</v>
      </c>
      <c r="W74" s="38">
        <f>VLOOKUP($C74,'Segment IFRS17'!$AD$537:$AI$608,2,0)/1000</f>
        <v>-1150</v>
      </c>
      <c r="X74" s="38">
        <f>VLOOKUP($C74,'Segment IFRS17'!$AK$537:$AP$608,2,0)/1000</f>
        <v>-985</v>
      </c>
      <c r="Y74" s="132">
        <f t="shared" si="137"/>
        <v>4.366812227074135E-3</v>
      </c>
      <c r="AA74" s="38"/>
      <c r="AB74" s="38">
        <f>VLOOKUP($C74,'Segment IFRS17'!$I$460:$N$531,3,0)/1000</f>
        <v>0</v>
      </c>
      <c r="AC74" s="38">
        <f>VLOOKUP($C74,'Segment IFRS17'!$P$460:$U$531,3,0)/1000</f>
        <v>0</v>
      </c>
      <c r="AD74" s="38">
        <f>VLOOKUP($C74,'Segment IFRS17'!$AD$460:$AI$531,3,0)/1000</f>
        <v>0</v>
      </c>
      <c r="AE74" s="38">
        <f>VLOOKUP($C74,'Segment IFRS17'!$AK$460:$AP$531,3,0)/1000</f>
        <v>0</v>
      </c>
      <c r="AF74" s="38">
        <f>VLOOKUP($C74,'Segment IFRS17'!$I$537:$N$608,3,0)/1000</f>
        <v>0</v>
      </c>
      <c r="AG74" s="38">
        <f>VLOOKUP($C74,'Segment IFRS17'!$P$537:$U$608,3,0)/1000</f>
        <v>0</v>
      </c>
      <c r="AH74" s="38">
        <f>VLOOKUP($C74,'Segment IFRS17'!$AD$537:$AI$608,3,0)/1000</f>
        <v>0</v>
      </c>
      <c r="AI74" s="38">
        <f>VLOOKUP($C74,'Segment IFRS17'!$AK$537:$AP$608,3,0)/1000</f>
        <v>0</v>
      </c>
      <c r="AK74" s="38"/>
      <c r="AL74" s="38">
        <f>VLOOKUP($C74,'Segment IFRS17'!$I$460:$N$531,4,0)/1000</f>
        <v>0</v>
      </c>
      <c r="AM74" s="38">
        <f>VLOOKUP($C74,'Segment IFRS17'!$P$460:$U$531,4,0)/1000</f>
        <v>0</v>
      </c>
      <c r="AN74" s="38">
        <f>VLOOKUP($C74,'Segment IFRS17'!$AD$460:$AI$531,4,0)/1000</f>
        <v>0</v>
      </c>
      <c r="AO74" s="38">
        <f>VLOOKUP($C74,'Segment IFRS17'!$AK$460:$AP$531,4,0)/1000</f>
        <v>0</v>
      </c>
      <c r="AP74" s="38">
        <f>VLOOKUP($C74,'Segment IFRS17'!$I$537:$N$608,4,0)/1000</f>
        <v>0</v>
      </c>
      <c r="AQ74" s="38">
        <f>VLOOKUP($C74,'Segment IFRS17'!$P$537:$U$608,4,0)/1000</f>
        <v>0</v>
      </c>
      <c r="AR74" s="38">
        <f>VLOOKUP($C74,'Segment IFRS17'!$AD$537:$AI$608,4,0)/1000</f>
        <v>0</v>
      </c>
      <c r="AS74" s="38">
        <f>VLOOKUP($C74,'Segment IFRS17'!$AK$537:$AP$608,4,0)/1000</f>
        <v>0</v>
      </c>
      <c r="AU74" s="38"/>
      <c r="AV74" s="38">
        <f t="shared" si="138"/>
        <v>0</v>
      </c>
      <c r="AW74" s="38">
        <f t="shared" si="139"/>
        <v>0</v>
      </c>
      <c r="AX74" s="38">
        <f t="shared" si="140"/>
        <v>0</v>
      </c>
      <c r="AY74" s="38">
        <f t="shared" si="141"/>
        <v>0</v>
      </c>
      <c r="AZ74" s="38">
        <f t="shared" si="142"/>
        <v>0</v>
      </c>
      <c r="BA74" s="38">
        <f t="shared" si="143"/>
        <v>0</v>
      </c>
      <c r="BB74" s="38">
        <f t="shared" si="144"/>
        <v>0</v>
      </c>
      <c r="BC74" s="38">
        <f t="shared" si="145"/>
        <v>0</v>
      </c>
      <c r="BF74" s="38"/>
      <c r="BG74" s="38">
        <f>VLOOKUP($C74,'Segment IFRS17'!$I$460:$N$531,5,0)/1000</f>
        <v>0</v>
      </c>
      <c r="BH74" s="38">
        <f>VLOOKUP($C74,'Segment IFRS17'!$P$460:$U$531,5,0)/1000</f>
        <v>0</v>
      </c>
      <c r="BI74" s="38">
        <f>VLOOKUP($C74,'Segment IFRS17'!$AD$460:$AI$531,5,0)/1000</f>
        <v>0</v>
      </c>
      <c r="BJ74" s="38">
        <f>VLOOKUP($C74,'Segment IFRS17'!$AK$460:$AP$531,5,0)/1000</f>
        <v>0</v>
      </c>
      <c r="BK74" s="38">
        <f>VLOOKUP($C74,'Segment IFRS17'!$I$537:$N$608,5,0)/1000</f>
        <v>0</v>
      </c>
      <c r="BL74" s="38">
        <f>VLOOKUP($C74,'Segment IFRS17'!$P$537:$U$608,5,0)/1000</f>
        <v>0</v>
      </c>
      <c r="BM74" s="38">
        <f>VLOOKUP($C74,'Segment IFRS17'!$AD$537:$AI$608,5,0)/1000</f>
        <v>0</v>
      </c>
      <c r="BN74" s="38">
        <f>VLOOKUP($C74,'Segment IFRS17'!$AK$537:$AP$608,5,0)/1000</f>
        <v>0</v>
      </c>
    </row>
    <row r="75" spans="3:67" x14ac:dyDescent="0.3">
      <c r="C75" s="36" t="s">
        <v>182</v>
      </c>
      <c r="E75" s="203"/>
      <c r="F75" s="203">
        <f>VLOOKUP($C75,'Segment IFRS17'!$I$460:$N$531,6,0)/1000</f>
        <v>-40564.521279999994</v>
      </c>
      <c r="G75" s="203">
        <f>VLOOKUP($C75,'Segment IFRS17'!$P$460:$U$531,6,0)/1000</f>
        <v>-26370.290490000007</v>
      </c>
      <c r="H75" s="203">
        <f>VLOOKUP($C75,'Segment IFRS17'!$AD$460:$AI$531,6,0)/1000</f>
        <v>-14480.879589999986</v>
      </c>
      <c r="I75" s="203">
        <f>VLOOKUP($C75,'Segment IFRS17'!$AK$460:$AP$531,6,0)/1000</f>
        <v>-35955.863740000023</v>
      </c>
      <c r="J75" s="203">
        <f>VLOOKUP($C75,'Segment IFRS17'!$I$537:$N$608,6,0)/1000</f>
        <v>45183.575369999999</v>
      </c>
      <c r="K75" s="203">
        <f>VLOOKUP($C75,'Segment IFRS17'!$P$539:$U$600,6,0)/1000</f>
        <v>-76325.132859999998</v>
      </c>
      <c r="L75" s="203">
        <f>VLOOKUP($C75,'Segment IFRS17'!$AD$539:$AI$600,6,0)/1000</f>
        <v>-154508.18969</v>
      </c>
      <c r="M75" s="203">
        <f>VLOOKUP($C75,'Segment IFRS17'!$AK$539:$AP$600,6,0)/1000</f>
        <v>-155034.31914000007</v>
      </c>
      <c r="N75" s="132">
        <f t="shared" si="136"/>
        <v>3.3117951570032282</v>
      </c>
      <c r="O75" s="132"/>
      <c r="P75" s="38"/>
      <c r="Q75" s="38">
        <f>VLOOKUP($C75,'Segment IFRS17'!$I$460:$N$531,2,0)/1000</f>
        <v>-41602.798909999998</v>
      </c>
      <c r="R75" s="38">
        <f>VLOOKUP($C75,'Segment IFRS17'!$P$460:$U$531,2,0)/1000</f>
        <v>-25501.418230000003</v>
      </c>
      <c r="S75" s="38">
        <f>VLOOKUP($C75,'Segment IFRS17'!$AD$460:$AI$531,2,0)/1000</f>
        <v>-16261.414059999988</v>
      </c>
      <c r="T75" s="38">
        <f>VLOOKUP($C75,'Segment IFRS17'!$AK$460:$AP$531,2,0)/1000</f>
        <v>-37090.444390000033</v>
      </c>
      <c r="U75" s="38">
        <f>VLOOKUP($C75,'Segment IFRS17'!$I$537:$N$608,2,0)/1000</f>
        <v>44482.025439999998</v>
      </c>
      <c r="V75" s="38">
        <f>VLOOKUP($C75,'Segment IFRS17'!$P$537:$U$608,2,0)/1000</f>
        <v>-75037.369680000003</v>
      </c>
      <c r="W75" s="38">
        <f>VLOOKUP($C75,'Segment IFRS17'!$AD$537:$AI$608,2,0)/1000</f>
        <v>-154371.85404000001</v>
      </c>
      <c r="X75" s="38">
        <f>VLOOKUP($C75,'Segment IFRS17'!$AK$537:$AP$608,2,0)/1000</f>
        <v>-153587.57852000007</v>
      </c>
      <c r="Y75" s="132">
        <f t="shared" si="137"/>
        <v>8.4931383870069244</v>
      </c>
      <c r="AA75" s="38"/>
      <c r="AB75" s="38">
        <f>VLOOKUP($C75,'Segment IFRS17'!$I$460:$N$531,3,0)/1000</f>
        <v>0.59799999999999998</v>
      </c>
      <c r="AC75" s="38">
        <f>VLOOKUP($C75,'Segment IFRS17'!$P$460:$U$531,3,0)/1000</f>
        <v>27.413</v>
      </c>
      <c r="AD75" s="38">
        <f>VLOOKUP($C75,'Segment IFRS17'!$AD$460:$AI$531,3,0)/1000</f>
        <v>0.41365999999999986</v>
      </c>
      <c r="AE75" s="38">
        <f>VLOOKUP($C75,'Segment IFRS17'!$AK$460:$AP$531,3,0)/1000</f>
        <v>-374.56966</v>
      </c>
      <c r="AF75" s="38">
        <f>VLOOKUP($C75,'Segment IFRS17'!$I$537:$N$608,3,0)/1000</f>
        <v>-27.436</v>
      </c>
      <c r="AG75" s="38">
        <f>VLOOKUP($C75,'Segment IFRS17'!$P$537:$U$608,3,0)/1000</f>
        <v>-25.497</v>
      </c>
      <c r="AH75" s="38">
        <f>VLOOKUP($C75,'Segment IFRS17'!$AD$537:$AI$608,3,0)/1000</f>
        <v>-64.305999999999997</v>
      </c>
      <c r="AI75" s="38">
        <f>VLOOKUP($C75,'Segment IFRS17'!$AK$537:$AP$608,3,0)/1000</f>
        <v>67.638999999999996</v>
      </c>
      <c r="AK75" s="38"/>
      <c r="AL75" s="38">
        <f>VLOOKUP($C75,'Segment IFRS17'!$I$460:$N$531,4,0)/1000</f>
        <v>1093.5258200000001</v>
      </c>
      <c r="AM75" s="38">
        <f>VLOOKUP($C75,'Segment IFRS17'!$P$460:$U$531,4,0)/1000</f>
        <v>-896.28525999999999</v>
      </c>
      <c r="AN75" s="38">
        <f>VLOOKUP($C75,'Segment IFRS17'!$AD$460:$AI$531,4,0)/1000</f>
        <v>1780.1208099999999</v>
      </c>
      <c r="AO75" s="38">
        <f>VLOOKUP($C75,'Segment IFRS17'!$AK$460:$AP$531,4,0)/1000</f>
        <v>1509.1503099999998</v>
      </c>
      <c r="AP75" s="38">
        <f>VLOOKUP($C75,'Segment IFRS17'!$I$537:$N$608,4,0)/1000</f>
        <v>1071.9830200000001</v>
      </c>
      <c r="AQ75" s="38">
        <f>VLOOKUP($C75,'Segment IFRS17'!$P$537:$U$608,4,0)/1000</f>
        <v>-1120.60033</v>
      </c>
      <c r="AR75" s="38">
        <f>VLOOKUP($C75,'Segment IFRS17'!$AD$537:$AI$608,4,0)/1000</f>
        <v>-513.5266499999999</v>
      </c>
      <c r="AS75" s="38">
        <f>VLOOKUP($C75,'Segment IFRS17'!$AK$537:$AP$608,4,0)/1000</f>
        <v>-1512.5974300000003</v>
      </c>
      <c r="AU75" s="38"/>
      <c r="AV75" s="38">
        <f t="shared" si="138"/>
        <v>1094.12382</v>
      </c>
      <c r="AW75" s="38">
        <f t="shared" si="139"/>
        <v>-868.87225999999998</v>
      </c>
      <c r="AX75" s="38">
        <f t="shared" si="140"/>
        <v>1780.5344699999998</v>
      </c>
      <c r="AY75" s="38">
        <f t="shared" si="141"/>
        <v>1134.5806499999999</v>
      </c>
      <c r="AZ75" s="38">
        <f t="shared" si="142"/>
        <v>1044.5470200000002</v>
      </c>
      <c r="BA75" s="38">
        <f t="shared" si="143"/>
        <v>-1146.0973300000001</v>
      </c>
      <c r="BB75" s="38">
        <f t="shared" si="144"/>
        <v>-577.83264999999994</v>
      </c>
      <c r="BC75" s="38">
        <f t="shared" si="145"/>
        <v>-1444.9584300000004</v>
      </c>
      <c r="BF75" s="38"/>
      <c r="BG75" s="38">
        <f>VLOOKUP($C75,'Segment IFRS17'!$I$460:$N$531,5,0)/1000</f>
        <v>-55.84619</v>
      </c>
      <c r="BH75" s="38">
        <f>VLOOKUP($C75,'Segment IFRS17'!$P$460:$U$531,5,0)/1000</f>
        <v>0</v>
      </c>
      <c r="BI75" s="38">
        <f>VLOOKUP($C75,'Segment IFRS17'!$AD$460:$AI$531,5,0)/1000</f>
        <v>0</v>
      </c>
      <c r="BJ75" s="38">
        <f>VLOOKUP($C75,'Segment IFRS17'!$AK$460:$AP$531,5,0)/1000</f>
        <v>0</v>
      </c>
      <c r="BK75" s="38">
        <f>VLOOKUP($C75,'Segment IFRS17'!$I$537:$N$608,5,0)/1000</f>
        <v>-342.99709000000001</v>
      </c>
      <c r="BL75" s="38">
        <f>VLOOKUP($C75,'Segment IFRS17'!$P$537:$U$608,5,0)/1000</f>
        <v>-141.66584999999998</v>
      </c>
      <c r="BM75" s="38">
        <f>VLOOKUP($C75,'Segment IFRS17'!$AD$537:$AI$608,5,0)/1000</f>
        <v>441.49700000000001</v>
      </c>
      <c r="BN75" s="38">
        <f>VLOOKUP($C75,'Segment IFRS17'!$AK$537:$AP$608,5,0)/1000</f>
        <v>-1.7821900000000024</v>
      </c>
    </row>
    <row r="76" spans="3:67" x14ac:dyDescent="0.3">
      <c r="C76" s="43" t="s">
        <v>11</v>
      </c>
      <c r="D76" s="111"/>
      <c r="E76" s="44"/>
      <c r="F76" s="44">
        <f t="shared" ref="F76:M76" si="146">F66+F67+F68+F70+F71+F72+F73+F74+F75+F65</f>
        <v>-347561.26540999999</v>
      </c>
      <c r="G76" s="44">
        <f t="shared" si="146"/>
        <v>-320806.12331560021</v>
      </c>
      <c r="H76" s="44">
        <f t="shared" si="146"/>
        <v>-374233.7402038154</v>
      </c>
      <c r="I76" s="44">
        <f t="shared" si="146"/>
        <v>-403475.56747741264</v>
      </c>
      <c r="J76" s="44">
        <f t="shared" si="146"/>
        <v>-382196.20487570786</v>
      </c>
      <c r="K76" s="44">
        <f t="shared" si="146"/>
        <v>-544440.41588301701</v>
      </c>
      <c r="L76" s="44">
        <f t="shared" si="146"/>
        <v>-644887.20506111358</v>
      </c>
      <c r="M76" s="44">
        <f t="shared" si="146"/>
        <v>-578650.60948006902</v>
      </c>
      <c r="N76" s="170">
        <f t="shared" si="136"/>
        <v>0.43416517906617247</v>
      </c>
      <c r="O76" s="132"/>
      <c r="P76" s="44"/>
      <c r="Q76" s="44">
        <f t="shared" ref="Q76:X76" si="147">Q66+Q67+Q68+Q70+Q71+Q72+Q73+Q74+Q75+Q65</f>
        <v>-277740.45110999991</v>
      </c>
      <c r="R76" s="44">
        <f t="shared" si="147"/>
        <v>-282526.48980000027</v>
      </c>
      <c r="S76" s="44">
        <f t="shared" si="147"/>
        <v>-295007.95573741518</v>
      </c>
      <c r="T76" s="44">
        <f t="shared" si="147"/>
        <v>-342048.42961103516</v>
      </c>
      <c r="U76" s="44">
        <f t="shared" si="147"/>
        <v>-297669.36267113296</v>
      </c>
      <c r="V76" s="44">
        <f t="shared" si="147"/>
        <v>-482719.29635896313</v>
      </c>
      <c r="W76" s="44">
        <f t="shared" si="147"/>
        <v>-519928.87109741243</v>
      </c>
      <c r="X76" s="44">
        <f t="shared" si="147"/>
        <v>-468735.08813012869</v>
      </c>
      <c r="Y76" s="170">
        <f>W76/S76-1</f>
        <v>0.76242321939343904</v>
      </c>
      <c r="Z76" s="49"/>
      <c r="AA76" s="44"/>
      <c r="AB76" s="44">
        <f t="shared" ref="AB76:AI76" si="148">AB66+AB67+AB68+AB70+AB71+AB72+AB73+AB74+AB75+AB65</f>
        <v>-49858.354440000003</v>
      </c>
      <c r="AC76" s="44">
        <f t="shared" si="148"/>
        <v>-21081.141415599923</v>
      </c>
      <c r="AD76" s="44">
        <f t="shared" si="148"/>
        <v>-64537.094976400091</v>
      </c>
      <c r="AE76" s="44">
        <f t="shared" si="148"/>
        <v>-47424.134207999989</v>
      </c>
      <c r="AF76" s="44">
        <f t="shared" si="148"/>
        <v>-59824.175600000002</v>
      </c>
      <c r="AG76" s="44">
        <f t="shared" si="148"/>
        <v>-38565.627618508908</v>
      </c>
      <c r="AH76" s="44">
        <f t="shared" si="148"/>
        <v>-101189.21860680651</v>
      </c>
      <c r="AI76" s="44">
        <f t="shared" si="148"/>
        <v>-85113.0201746846</v>
      </c>
      <c r="AJ76" s="49"/>
      <c r="AK76" s="44"/>
      <c r="AL76" s="44">
        <f t="shared" ref="AL76:AS76" si="149">AL66+AL67+AL68+AL70+AL71+AL72+AL73+AL74+AL75+AL65</f>
        <v>-8994.7466400000012</v>
      </c>
      <c r="AM76" s="44">
        <f t="shared" si="149"/>
        <v>-9952.5138200000038</v>
      </c>
      <c r="AN76" s="44">
        <f t="shared" si="149"/>
        <v>-8005.1616999999987</v>
      </c>
      <c r="AO76" s="44">
        <f t="shared" si="149"/>
        <v>-6114.8889100000006</v>
      </c>
      <c r="AP76" s="44">
        <f t="shared" si="149"/>
        <v>-12251.218549999998</v>
      </c>
      <c r="AQ76" s="44">
        <f t="shared" si="149"/>
        <v>-14701.108170000003</v>
      </c>
      <c r="AR76" s="44">
        <f t="shared" si="149"/>
        <v>-15075.597430000003</v>
      </c>
      <c r="AS76" s="44">
        <f t="shared" si="149"/>
        <v>-16034.112529999999</v>
      </c>
      <c r="AT76" s="49"/>
      <c r="AU76" s="44"/>
      <c r="AV76" s="44">
        <f t="shared" ref="AV76:BC76" si="150">AV66+AV67+AV68+AV70+AV71+AV72+AV73+AV74+AV75+AV65</f>
        <v>-58853.10108</v>
      </c>
      <c r="AW76" s="44">
        <f t="shared" si="150"/>
        <v>-31033.655235599923</v>
      </c>
      <c r="AX76" s="44">
        <f t="shared" si="150"/>
        <v>-72542.256676400095</v>
      </c>
      <c r="AY76" s="44">
        <f t="shared" si="150"/>
        <v>-53539.023117999983</v>
      </c>
      <c r="AZ76" s="44">
        <f t="shared" si="150"/>
        <v>-72075.394149999993</v>
      </c>
      <c r="BA76" s="44">
        <f t="shared" si="150"/>
        <v>-53266.7357885089</v>
      </c>
      <c r="BB76" s="44">
        <f t="shared" si="150"/>
        <v>-116264.81603680651</v>
      </c>
      <c r="BC76" s="44">
        <f t="shared" si="150"/>
        <v>-101147.13270468458</v>
      </c>
      <c r="BD76" s="170">
        <f>BA76/AW76-1</f>
        <v>0.71641836529151548</v>
      </c>
      <c r="BE76" s="49"/>
      <c r="BF76" s="44"/>
      <c r="BG76" s="44">
        <f t="shared" ref="BG76:BN76" si="151">BG66+BG67+BG68+BG70+BG71+BG72+BG73+BG74+BG75+BG65</f>
        <v>-10967.71322</v>
      </c>
      <c r="BH76" s="44">
        <f t="shared" si="151"/>
        <v>-7245.978280000003</v>
      </c>
      <c r="BI76" s="44">
        <f t="shared" si="151"/>
        <v>-6683.5277899999983</v>
      </c>
      <c r="BJ76" s="44">
        <f t="shared" si="151"/>
        <v>-7888.1147483774157</v>
      </c>
      <c r="BK76" s="44">
        <f t="shared" si="151"/>
        <v>-12451.448054574999</v>
      </c>
      <c r="BL76" s="44">
        <f t="shared" si="151"/>
        <v>-8454.3837355449996</v>
      </c>
      <c r="BM76" s="44">
        <f t="shared" si="151"/>
        <v>-8693.5179268946085</v>
      </c>
      <c r="BN76" s="44">
        <f t="shared" si="151"/>
        <v>-8768.3886452557654</v>
      </c>
      <c r="BO76" s="49"/>
    </row>
    <row r="77" spans="3:67" s="45" customFormat="1" x14ac:dyDescent="0.3">
      <c r="C77" s="88" t="s">
        <v>43</v>
      </c>
      <c r="D77" s="117"/>
      <c r="E77" s="89"/>
      <c r="F77" s="89">
        <f t="shared" ref="F77:M77" si="152">F64+F76</f>
        <v>55660.340840808174</v>
      </c>
      <c r="G77" s="89">
        <f t="shared" si="152"/>
        <v>232068.85970235849</v>
      </c>
      <c r="H77" s="89">
        <f t="shared" si="152"/>
        <v>378500.90612880699</v>
      </c>
      <c r="I77" s="89">
        <f t="shared" si="152"/>
        <v>374441.4555221108</v>
      </c>
      <c r="J77" s="89">
        <f t="shared" si="152"/>
        <v>123395.08951023687</v>
      </c>
      <c r="K77" s="89">
        <f t="shared" si="152"/>
        <v>138737.06916789501</v>
      </c>
      <c r="L77" s="89">
        <f t="shared" si="152"/>
        <v>159146.79287780658</v>
      </c>
      <c r="M77" s="89">
        <f t="shared" si="152"/>
        <v>224358.75360804691</v>
      </c>
      <c r="N77" s="177">
        <f t="shared" si="136"/>
        <v>-0.40081753689583521</v>
      </c>
      <c r="O77" s="132"/>
      <c r="P77" s="89"/>
      <c r="Q77" s="89">
        <f t="shared" ref="Q77:X77" si="153">Q64+Q76</f>
        <v>43841.738465587609</v>
      </c>
      <c r="R77" s="89">
        <f t="shared" si="153"/>
        <v>138244.0808607185</v>
      </c>
      <c r="S77" s="89">
        <f t="shared" si="153"/>
        <v>290456.17355596129</v>
      </c>
      <c r="T77" s="89">
        <f t="shared" si="153"/>
        <v>308131.76835828414</v>
      </c>
      <c r="U77" s="89">
        <f t="shared" si="153"/>
        <v>62890.371070578811</v>
      </c>
      <c r="V77" s="89">
        <f t="shared" si="153"/>
        <v>121786.24443434458</v>
      </c>
      <c r="W77" s="89">
        <f t="shared" si="153"/>
        <v>126908.46607017529</v>
      </c>
      <c r="X77" s="89">
        <f t="shared" si="153"/>
        <v>124457.32707377966</v>
      </c>
      <c r="Y77" s="177">
        <f>W77/S77-1</f>
        <v>-0.56307189302786764</v>
      </c>
      <c r="Z77" s="91"/>
      <c r="AA77" s="89"/>
      <c r="AB77" s="89">
        <f t="shared" ref="AB77:AI77" si="154">AB64+AB76</f>
        <v>13666.52897480948</v>
      </c>
      <c r="AC77" s="89">
        <f t="shared" si="154"/>
        <v>93279.693509346238</v>
      </c>
      <c r="AD77" s="89">
        <f t="shared" si="154"/>
        <v>76628.95925539342</v>
      </c>
      <c r="AE77" s="89">
        <f t="shared" si="154"/>
        <v>63136.511928373671</v>
      </c>
      <c r="AF77" s="89">
        <f t="shared" si="154"/>
        <v>63873.859574864749</v>
      </c>
      <c r="AG77" s="89">
        <f t="shared" si="154"/>
        <v>39036.828995890843</v>
      </c>
      <c r="AH77" s="89">
        <f t="shared" si="154"/>
        <v>32049.952197870327</v>
      </c>
      <c r="AI77" s="89">
        <f t="shared" si="154"/>
        <v>99895.048961873967</v>
      </c>
      <c r="AJ77" s="91"/>
      <c r="AK77" s="89"/>
      <c r="AL77" s="89">
        <f t="shared" ref="AL77:AS77" si="155">AL64+AL76</f>
        <v>8473.8003699999899</v>
      </c>
      <c r="AM77" s="89">
        <f t="shared" si="155"/>
        <v>7945.4360799999922</v>
      </c>
      <c r="AN77" s="89">
        <f t="shared" si="155"/>
        <v>14149.16224</v>
      </c>
      <c r="AO77" s="89">
        <f t="shared" si="155"/>
        <v>8695.0000800000234</v>
      </c>
      <c r="AP77" s="89">
        <f t="shared" si="155"/>
        <v>6667.8260499999924</v>
      </c>
      <c r="AQ77" s="89">
        <f t="shared" si="155"/>
        <v>-17071.89265999999</v>
      </c>
      <c r="AR77" s="89">
        <f t="shared" si="155"/>
        <v>5064.0857299999789</v>
      </c>
      <c r="AS77" s="89">
        <f t="shared" si="155"/>
        <v>5775.5966600000211</v>
      </c>
      <c r="AT77" s="91"/>
      <c r="AU77" s="89"/>
      <c r="AV77" s="89">
        <f t="shared" ref="AV77:BC77" si="156">AV64+AV76</f>
        <v>22140.32934480947</v>
      </c>
      <c r="AW77" s="89">
        <f t="shared" si="156"/>
        <v>101225.12958934621</v>
      </c>
      <c r="AX77" s="89">
        <f t="shared" si="156"/>
        <v>90778.121495393381</v>
      </c>
      <c r="AY77" s="89">
        <f t="shared" si="156"/>
        <v>71831.512008373713</v>
      </c>
      <c r="AZ77" s="89">
        <f t="shared" si="156"/>
        <v>70541.685624864753</v>
      </c>
      <c r="BA77" s="89">
        <f t="shared" si="156"/>
        <v>21964.936335890859</v>
      </c>
      <c r="BB77" s="89">
        <f t="shared" si="156"/>
        <v>37114.037927870304</v>
      </c>
      <c r="BC77" s="89">
        <f t="shared" si="156"/>
        <v>105670.64562187401</v>
      </c>
      <c r="BD77" s="177">
        <f>BA77/AW77-1</f>
        <v>-0.78300905689131728</v>
      </c>
      <c r="BE77" s="91"/>
      <c r="BF77" s="89"/>
      <c r="BG77" s="89">
        <f t="shared" ref="BG77:BN77" si="157">BG64+BG76</f>
        <v>-10321.726969588719</v>
      </c>
      <c r="BH77" s="89">
        <f t="shared" si="157"/>
        <v>-7400.3507477062576</v>
      </c>
      <c r="BI77" s="89">
        <f t="shared" si="157"/>
        <v>-2733.3889225477005</v>
      </c>
      <c r="BJ77" s="89">
        <f t="shared" si="157"/>
        <v>-5521.8248445470199</v>
      </c>
      <c r="BK77" s="89">
        <f t="shared" si="157"/>
        <v>-10036.967185206755</v>
      </c>
      <c r="BL77" s="89">
        <f t="shared" si="157"/>
        <v>-5014.1116023405602</v>
      </c>
      <c r="BM77" s="89">
        <f t="shared" si="157"/>
        <v>-4875.7111202389151</v>
      </c>
      <c r="BN77" s="89">
        <f t="shared" si="157"/>
        <v>-5769.2190876068162</v>
      </c>
      <c r="BO77" s="91"/>
    </row>
    <row r="78" spans="3:67" x14ac:dyDescent="0.3">
      <c r="C78" s="36" t="s">
        <v>6</v>
      </c>
      <c r="E78" s="203"/>
      <c r="F78" s="203">
        <f>VLOOKUP($C78,'Segment IFRS17'!$I$460:$N$531,6,0)/1000</f>
        <v>-36085.54221</v>
      </c>
      <c r="G78" s="203">
        <f>VLOOKUP($C78,'Segment IFRS17'!$P$460:$U$531,6,0)/1000</f>
        <v>-58265.59593000001</v>
      </c>
      <c r="H78" s="203">
        <f>VLOOKUP($C78,'Segment IFRS17'!$AD$460:$AI$531,6,0)/1000</f>
        <v>-94520.460319999998</v>
      </c>
      <c r="I78" s="203">
        <f>VLOOKUP($C78,'Segment IFRS17'!$AK$460:$AP$531,6,0)/1000</f>
        <v>-80163.087489999947</v>
      </c>
      <c r="J78" s="203">
        <f>VLOOKUP($C78,'Segment IFRS17'!$I$537:$N$608,6,0)/1000</f>
        <v>-43352.649880000004</v>
      </c>
      <c r="K78" s="203">
        <f>VLOOKUP($C78,'Segment IFRS17'!$P$539:$U$600,6,0)/1000</f>
        <v>-40568.617649999993</v>
      </c>
      <c r="L78" s="203">
        <f>VLOOKUP($C78,'Segment IFRS17'!$AD$539:$AI$600,6,0)/1000</f>
        <v>-46027.635500000026</v>
      </c>
      <c r="M78" s="203">
        <f>VLOOKUP($C78,'Segment IFRS17'!$AK$539:$AP$600,6,0)/1000</f>
        <v>-44831.040560000009</v>
      </c>
      <c r="N78" s="132">
        <f t="shared" si="136"/>
        <v>-0.44075207226028412</v>
      </c>
      <c r="P78" s="38"/>
      <c r="Q78" s="38">
        <f>VLOOKUP($C78,'Segment IFRS17'!$I$460:$N$531,2,0)/1000</f>
        <v>-20985.703220000003</v>
      </c>
      <c r="R78" s="38">
        <f>VLOOKUP($C78,'Segment IFRS17'!$P$460:$U$531,2,0)/1000</f>
        <v>-44767.532770000013</v>
      </c>
      <c r="S78" s="38">
        <f>VLOOKUP($C78,'Segment IFRS17'!$AD$460:$AI$531,2,0)/1000</f>
        <v>-80194.309849999991</v>
      </c>
      <c r="T78" s="38">
        <f>VLOOKUP($C78,'Segment IFRS17'!$AK$460:$AP$531,2,0)/1000</f>
        <v>-64838.959699999956</v>
      </c>
      <c r="U78" s="38">
        <f>VLOOKUP($C78,'Segment IFRS17'!$I$537:$N$608,2,0)/1000</f>
        <v>-23988.878829999998</v>
      </c>
      <c r="V78" s="38">
        <f>VLOOKUP($C78,'Segment IFRS17'!$P$537:$U$608,2,0)/1000</f>
        <v>-28268.82311999999</v>
      </c>
      <c r="W78" s="38">
        <f>VLOOKUP($C78,'Segment IFRS17'!$AD$537:$AI$608,2,0)/1000</f>
        <v>-34778.980120000022</v>
      </c>
      <c r="X78" s="38">
        <f>VLOOKUP($C78,'Segment IFRS17'!$AK$537:$AP$608,2,0)/1000</f>
        <v>-29767.619300000013</v>
      </c>
      <c r="Y78" s="132">
        <f>W78/S78-1</f>
        <v>-0.5663161116411799</v>
      </c>
      <c r="AA78" s="38"/>
      <c r="AB78" s="38">
        <f>VLOOKUP($C78,'Segment IFRS17'!$I$460:$N$531,3,0)/1000</f>
        <v>-12752.816000000001</v>
      </c>
      <c r="AC78" s="38">
        <f>VLOOKUP($C78,'Segment IFRS17'!$P$460:$U$531,3,0)/1000</f>
        <v>-11279.171</v>
      </c>
      <c r="AD78" s="38">
        <f>VLOOKUP($C78,'Segment IFRS17'!$AD$460:$AI$531,3,0)/1000</f>
        <v>-10306.856950000003</v>
      </c>
      <c r="AE78" s="38">
        <f>VLOOKUP($C78,'Segment IFRS17'!$AK$460:$AP$531,3,0)/1000</f>
        <v>-12520.311049999997</v>
      </c>
      <c r="AF78" s="38">
        <f>VLOOKUP($C78,'Segment IFRS17'!$I$537:$N$608,3,0)/1000</f>
        <v>-17141.204000000002</v>
      </c>
      <c r="AG78" s="38">
        <f>VLOOKUP($C78,'Segment IFRS17'!$P$537:$U$608,3,0)/1000</f>
        <v>-12946.898999999999</v>
      </c>
      <c r="AH78" s="38">
        <f>VLOOKUP($C78,'Segment IFRS17'!$AD$537:$AI$608,3,0)/1000</f>
        <v>-10525.206</v>
      </c>
      <c r="AI78" s="38">
        <f>VLOOKUP($C78,'Segment IFRS17'!$AK$537:$AP$608,3,0)/1000</f>
        <v>-14474.44</v>
      </c>
      <c r="AK78" s="38"/>
      <c r="AL78" s="38">
        <f>VLOOKUP($C78,'Segment IFRS17'!$I$460:$N$531,4,0)/1000</f>
        <v>-1938.0113200000001</v>
      </c>
      <c r="AM78" s="38">
        <f>VLOOKUP($C78,'Segment IFRS17'!$P$460:$U$531,4,0)/1000</f>
        <v>-1837.0110899999995</v>
      </c>
      <c r="AN78" s="38">
        <f>VLOOKUP($C78,'Segment IFRS17'!$AD$460:$AI$531,4,0)/1000</f>
        <v>-2785.8861600000005</v>
      </c>
      <c r="AO78" s="38">
        <f>VLOOKUP($C78,'Segment IFRS17'!$AK$460:$AP$531,4,0)/1000</f>
        <v>-1471.7780799999996</v>
      </c>
      <c r="AP78" s="38">
        <f>VLOOKUP($C78,'Segment IFRS17'!$I$537:$N$608,4,0)/1000</f>
        <v>-1437.7430299999999</v>
      </c>
      <c r="AQ78" s="38">
        <f>VLOOKUP($C78,'Segment IFRS17'!$P$537:$U$608,4,0)/1000</f>
        <v>1474.1818299999998</v>
      </c>
      <c r="AR78" s="38">
        <f>VLOOKUP($C78,'Segment IFRS17'!$AD$537:$AI$608,4,0)/1000</f>
        <v>-14.597949999999997</v>
      </c>
      <c r="AS78" s="38">
        <f>VLOOKUP($C78,'Segment IFRS17'!$AK$537:$AP$608,4,0)/1000</f>
        <v>-70.649430000000223</v>
      </c>
      <c r="AU78" s="38"/>
      <c r="AV78" s="38">
        <f t="shared" ref="AV78:BA78" si="158">AB78+AL78</f>
        <v>-14690.82732</v>
      </c>
      <c r="AW78" s="38">
        <f t="shared" si="158"/>
        <v>-13116.18209</v>
      </c>
      <c r="AX78" s="38">
        <f t="shared" si="158"/>
        <v>-13092.743110000003</v>
      </c>
      <c r="AY78" s="38">
        <f t="shared" si="158"/>
        <v>-13992.089129999997</v>
      </c>
      <c r="AZ78" s="38">
        <f t="shared" si="158"/>
        <v>-18578.947030000003</v>
      </c>
      <c r="BA78" s="38">
        <f t="shared" si="158"/>
        <v>-11472.71717</v>
      </c>
      <c r="BB78" s="38">
        <f>AH78+AR78</f>
        <v>-10539.80395</v>
      </c>
      <c r="BC78" s="38">
        <f>AI78+AS78</f>
        <v>-14545.08943</v>
      </c>
      <c r="BF78" s="38"/>
      <c r="BG78" s="38">
        <f>VLOOKUP($C78,'Segment IFRS17'!$I$460:$N$531,5,0)/1000</f>
        <v>-409.01167000000004</v>
      </c>
      <c r="BH78" s="38">
        <f>VLOOKUP($C78,'Segment IFRS17'!$P$460:$U$531,5,0)/1000</f>
        <v>-381.88106999999997</v>
      </c>
      <c r="BI78" s="38">
        <f>VLOOKUP($C78,'Segment IFRS17'!$AD$460:$AI$531,5,0)/1000</f>
        <v>-1233.4073600000002</v>
      </c>
      <c r="BJ78" s="38">
        <f>VLOOKUP($C78,'Segment IFRS17'!$AK$460:$AP$531,5,0)/1000</f>
        <v>-1332.0386599999995</v>
      </c>
      <c r="BK78" s="38">
        <f>VLOOKUP($C78,'Segment IFRS17'!$I$537:$N$608,5,0)/1000</f>
        <v>-784.82402000000002</v>
      </c>
      <c r="BL78" s="38">
        <f>VLOOKUP($C78,'Segment IFRS17'!$P$537:$U$608,5,0)/1000</f>
        <v>-827.07735999999989</v>
      </c>
      <c r="BM78" s="38">
        <f>VLOOKUP($C78,'Segment IFRS17'!$AD$537:$AI$608,5,0)/1000</f>
        <v>-708.85143000000016</v>
      </c>
      <c r="BN78" s="38">
        <f>VLOOKUP($C78,'Segment IFRS17'!$AK$537:$AP$608,5,0)/1000</f>
        <v>-518.33182999999963</v>
      </c>
    </row>
    <row r="79" spans="3:67" x14ac:dyDescent="0.3">
      <c r="C79" s="39" t="s">
        <v>65</v>
      </c>
      <c r="D79" s="109"/>
      <c r="E79" s="40"/>
      <c r="F79" s="40">
        <f t="shared" ref="F79:M79" si="159">-F78/F77</f>
        <v>0.64831694640905557</v>
      </c>
      <c r="G79" s="40">
        <f t="shared" si="159"/>
        <v>0.25107029010582871</v>
      </c>
      <c r="H79" s="40">
        <f t="shared" si="159"/>
        <v>0.24972320749962459</v>
      </c>
      <c r="I79" s="40">
        <f t="shared" si="159"/>
        <v>0.21408710576189477</v>
      </c>
      <c r="J79" s="40">
        <f t="shared" si="159"/>
        <v>0.35133205099221931</v>
      </c>
      <c r="K79" s="40">
        <f t="shared" si="159"/>
        <v>0.29241368506138177</v>
      </c>
      <c r="L79" s="40">
        <f t="shared" si="159"/>
        <v>0.28921497359573051</v>
      </c>
      <c r="M79" s="40">
        <f t="shared" si="159"/>
        <v>0.19981854881543648</v>
      </c>
      <c r="N79" s="169"/>
      <c r="P79" s="40"/>
      <c r="Q79" s="40">
        <f t="shared" ref="Q79:X79" si="160">-Q78/Q77</f>
        <v>0.47866950432342381</v>
      </c>
      <c r="R79" s="40">
        <f t="shared" si="160"/>
        <v>0.32382965325729562</v>
      </c>
      <c r="S79" s="40">
        <f t="shared" si="160"/>
        <v>0.27609779770974363</v>
      </c>
      <c r="T79" s="40">
        <f t="shared" si="160"/>
        <v>0.21042607857495443</v>
      </c>
      <c r="U79" s="40">
        <f t="shared" si="160"/>
        <v>0.38143961343586991</v>
      </c>
      <c r="V79" s="40">
        <f t="shared" si="160"/>
        <v>0.23211835828667676</v>
      </c>
      <c r="W79" s="40">
        <f t="shared" si="160"/>
        <v>0.27404775423547112</v>
      </c>
      <c r="X79" s="40">
        <f t="shared" si="160"/>
        <v>0.23917932354720622</v>
      </c>
      <c r="Y79" s="169"/>
      <c r="AA79" s="40"/>
      <c r="AB79" s="40">
        <f t="shared" ref="AB79:AI79" si="161">-AB78/AB77</f>
        <v>0.93314227947025463</v>
      </c>
      <c r="AC79" s="40">
        <f t="shared" si="161"/>
        <v>0.12091775364666989</v>
      </c>
      <c r="AD79" s="40">
        <f t="shared" si="161"/>
        <v>0.13450341816138617</v>
      </c>
      <c r="AE79" s="40">
        <f t="shared" si="161"/>
        <v>0.19830539679169928</v>
      </c>
      <c r="AF79" s="40">
        <f t="shared" si="161"/>
        <v>0.26836023553437038</v>
      </c>
      <c r="AG79" s="40">
        <f t="shared" si="161"/>
        <v>0.3316585730199253</v>
      </c>
      <c r="AH79" s="40">
        <f t="shared" si="161"/>
        <v>0.32840005298664332</v>
      </c>
      <c r="AI79" s="40">
        <f t="shared" si="161"/>
        <v>0.14489647034984016</v>
      </c>
      <c r="AK79" s="40"/>
      <c r="AL79" s="40">
        <f t="shared" ref="AL79:AS79" si="162">-AL78/AL77</f>
        <v>0.22870627526949899</v>
      </c>
      <c r="AM79" s="40">
        <f t="shared" si="162"/>
        <v>0.23120330608713441</v>
      </c>
      <c r="AN79" s="40">
        <f t="shared" si="162"/>
        <v>0.19689407137648318</v>
      </c>
      <c r="AO79" s="40">
        <f t="shared" si="162"/>
        <v>0.16926717268069255</v>
      </c>
      <c r="AP79" s="40">
        <f t="shared" si="162"/>
        <v>0.21562395587689356</v>
      </c>
      <c r="AQ79" s="40">
        <f t="shared" si="162"/>
        <v>8.6351399892178132E-2</v>
      </c>
      <c r="AR79" s="40">
        <f t="shared" si="162"/>
        <v>2.882642747045291E-3</v>
      </c>
      <c r="AS79" s="40">
        <f t="shared" si="162"/>
        <v>1.2232403708052557E-2</v>
      </c>
      <c r="AU79" s="40"/>
      <c r="AV79" s="40">
        <f t="shared" ref="AV79:BC79" si="163">-AV78/AV77</f>
        <v>0.66353246562902124</v>
      </c>
      <c r="AW79" s="40">
        <f t="shared" si="163"/>
        <v>0.12957436698979991</v>
      </c>
      <c r="AX79" s="40">
        <f t="shared" si="163"/>
        <v>0.14422795817232686</v>
      </c>
      <c r="AY79" s="40">
        <f t="shared" si="163"/>
        <v>0.1947904024123685</v>
      </c>
      <c r="AZ79" s="40">
        <f t="shared" si="163"/>
        <v>0.26337543348200398</v>
      </c>
      <c r="BA79" s="40">
        <f t="shared" si="163"/>
        <v>0.52231961862113385</v>
      </c>
      <c r="BB79" s="40">
        <f t="shared" si="163"/>
        <v>0.2839842964671131</v>
      </c>
      <c r="BC79" s="40">
        <f t="shared" si="163"/>
        <v>0.13764550547033982</v>
      </c>
      <c r="BD79" s="169"/>
      <c r="BF79" s="40"/>
      <c r="BG79" s="40">
        <f t="shared" ref="BG79:BN79" si="164">-BG78/BG77</f>
        <v>-3.9626282617733065E-2</v>
      </c>
      <c r="BH79" s="40">
        <f t="shared" si="164"/>
        <v>-5.160310409859481E-2</v>
      </c>
      <c r="BI79" s="40">
        <f t="shared" si="164"/>
        <v>-0.45123741807308648</v>
      </c>
      <c r="BJ79" s="40">
        <f t="shared" si="164"/>
        <v>-0.24123160322903589</v>
      </c>
      <c r="BK79" s="40">
        <f t="shared" si="164"/>
        <v>-7.8193343219925368E-2</v>
      </c>
      <c r="BL79" s="40">
        <f t="shared" si="164"/>
        <v>-0.16494993043511927</v>
      </c>
      <c r="BM79" s="40">
        <f t="shared" si="164"/>
        <v>-0.14538421422417366</v>
      </c>
      <c r="BN79" s="40">
        <f t="shared" si="164"/>
        <v>-8.9844365784869804E-2</v>
      </c>
    </row>
    <row r="80" spans="3:67" s="45" customFormat="1" x14ac:dyDescent="0.3">
      <c r="C80" s="86" t="s">
        <v>7</v>
      </c>
      <c r="D80" s="118"/>
      <c r="E80" s="87"/>
      <c r="F80" s="87">
        <f t="shared" ref="F80:M80" si="165">SUM(F77:F78)</f>
        <v>19574.798630808174</v>
      </c>
      <c r="G80" s="87">
        <f t="shared" si="165"/>
        <v>173803.26377235848</v>
      </c>
      <c r="H80" s="87">
        <f t="shared" si="165"/>
        <v>283980.44580880698</v>
      </c>
      <c r="I80" s="87">
        <f t="shared" si="165"/>
        <v>294278.36803211085</v>
      </c>
      <c r="J80" s="87">
        <f t="shared" si="165"/>
        <v>80042.439630236855</v>
      </c>
      <c r="K80" s="87">
        <f t="shared" si="165"/>
        <v>98168.45151789501</v>
      </c>
      <c r="L80" s="87">
        <f t="shared" si="165"/>
        <v>113119.15737780655</v>
      </c>
      <c r="M80" s="87">
        <f t="shared" si="165"/>
        <v>179527.71304804692</v>
      </c>
      <c r="N80" s="178">
        <f>M80/I80-1</f>
        <v>-0.38993914418997544</v>
      </c>
      <c r="P80" s="87"/>
      <c r="Q80" s="87">
        <f t="shared" ref="Q80:X80" si="166">SUM(Q77:Q78)</f>
        <v>22856.035245587605</v>
      </c>
      <c r="R80" s="87">
        <f t="shared" si="166"/>
        <v>93476.548090718483</v>
      </c>
      <c r="S80" s="87">
        <f t="shared" si="166"/>
        <v>210261.8637059613</v>
      </c>
      <c r="T80" s="87">
        <f t="shared" si="166"/>
        <v>243292.80865828419</v>
      </c>
      <c r="U80" s="87">
        <f t="shared" si="166"/>
        <v>38901.492240578809</v>
      </c>
      <c r="V80" s="87">
        <f t="shared" si="166"/>
        <v>93517.421314344596</v>
      </c>
      <c r="W80" s="87">
        <f t="shared" si="166"/>
        <v>92129.485950175265</v>
      </c>
      <c r="X80" s="87">
        <f t="shared" si="166"/>
        <v>94689.707773779635</v>
      </c>
      <c r="Y80" s="178">
        <f>W80/S80-1</f>
        <v>-0.5618345413364505</v>
      </c>
      <c r="Z80" s="49"/>
      <c r="AA80" s="87"/>
      <c r="AB80" s="87">
        <f t="shared" ref="AB80:AI80" si="167">SUM(AB77:AB78)</f>
        <v>913.71297480947942</v>
      </c>
      <c r="AC80" s="87">
        <f t="shared" si="167"/>
        <v>82000.522509346236</v>
      </c>
      <c r="AD80" s="87">
        <f t="shared" si="167"/>
        <v>66322.102305393419</v>
      </c>
      <c r="AE80" s="87">
        <f t="shared" si="167"/>
        <v>50616.200878373675</v>
      </c>
      <c r="AF80" s="87">
        <f t="shared" si="167"/>
        <v>46732.655574864752</v>
      </c>
      <c r="AG80" s="87">
        <f t="shared" si="167"/>
        <v>26089.929995890845</v>
      </c>
      <c r="AH80" s="87">
        <f t="shared" si="167"/>
        <v>21524.746197870329</v>
      </c>
      <c r="AI80" s="87">
        <f t="shared" si="167"/>
        <v>85420.608961873964</v>
      </c>
      <c r="AJ80" s="49"/>
      <c r="AK80" s="87"/>
      <c r="AL80" s="87">
        <f t="shared" ref="AL80:AS80" si="168">SUM(AL77:AL78)</f>
        <v>6535.7890499999903</v>
      </c>
      <c r="AM80" s="87">
        <f t="shared" si="168"/>
        <v>6108.4249899999922</v>
      </c>
      <c r="AN80" s="87">
        <f t="shared" si="168"/>
        <v>11363.27608</v>
      </c>
      <c r="AO80" s="87">
        <f t="shared" si="168"/>
        <v>7223.2220000000234</v>
      </c>
      <c r="AP80" s="87">
        <f t="shared" si="168"/>
        <v>5230.0830199999928</v>
      </c>
      <c r="AQ80" s="87">
        <f t="shared" si="168"/>
        <v>-15597.710829999991</v>
      </c>
      <c r="AR80" s="87">
        <f t="shared" si="168"/>
        <v>5049.4877799999786</v>
      </c>
      <c r="AS80" s="87">
        <f t="shared" si="168"/>
        <v>5704.9472300000207</v>
      </c>
      <c r="AT80" s="49"/>
      <c r="AU80" s="87"/>
      <c r="AV80" s="87">
        <f t="shared" ref="AV80:BC80" si="169">SUM(AV77:AV78)</f>
        <v>7449.5020248094697</v>
      </c>
      <c r="AW80" s="87">
        <f t="shared" si="169"/>
        <v>88108.947499346206</v>
      </c>
      <c r="AX80" s="87">
        <f t="shared" si="169"/>
        <v>77685.378385393386</v>
      </c>
      <c r="AY80" s="87">
        <f t="shared" si="169"/>
        <v>57839.42287837372</v>
      </c>
      <c r="AZ80" s="87">
        <f t="shared" si="169"/>
        <v>51962.73859486475</v>
      </c>
      <c r="BA80" s="87">
        <f t="shared" si="169"/>
        <v>10492.21916589086</v>
      </c>
      <c r="BB80" s="87">
        <f t="shared" si="169"/>
        <v>26574.233977870303</v>
      </c>
      <c r="BC80" s="87">
        <f t="shared" si="169"/>
        <v>91125.556191873999</v>
      </c>
      <c r="BD80" s="178">
        <f>BA80/AW80-1</f>
        <v>-0.88091766541679872</v>
      </c>
      <c r="BE80" s="49"/>
      <c r="BF80" s="87"/>
      <c r="BG80" s="87">
        <f t="shared" ref="BG80:BN80" si="170">SUM(BG77:BG78)</f>
        <v>-10730.738639588719</v>
      </c>
      <c r="BH80" s="87">
        <f t="shared" si="170"/>
        <v>-7782.231817706258</v>
      </c>
      <c r="BI80" s="87">
        <f t="shared" si="170"/>
        <v>-3966.7962825477007</v>
      </c>
      <c r="BJ80" s="87">
        <f t="shared" si="170"/>
        <v>-6853.8635045470191</v>
      </c>
      <c r="BK80" s="87">
        <f t="shared" si="170"/>
        <v>-10821.791205206755</v>
      </c>
      <c r="BL80" s="87">
        <f t="shared" si="170"/>
        <v>-5841.1889623405605</v>
      </c>
      <c r="BM80" s="87">
        <f t="shared" si="170"/>
        <v>-5584.5625502389157</v>
      </c>
      <c r="BN80" s="87">
        <f t="shared" si="170"/>
        <v>-6287.5509176068153</v>
      </c>
      <c r="BO80" s="49"/>
    </row>
    <row r="81" spans="2:67" x14ac:dyDescent="0.3">
      <c r="C81" s="36" t="s">
        <v>8</v>
      </c>
      <c r="E81" s="38"/>
      <c r="F81" s="38">
        <f>VLOOKUP($C81,'Segment IFRS17'!$I$460:$N$531,6,0)/1000</f>
        <v>-5168.2990194357471</v>
      </c>
      <c r="G81" s="38">
        <f>VLOOKUP($C81,'Segment IFRS17'!$P$460:$U$531,6,0)/1000</f>
        <v>-20530.716510297319</v>
      </c>
      <c r="H81" s="38">
        <f>VLOOKUP($C81,'Segment IFRS17'!$AD$460:$AI$531,6,0)/1000</f>
        <v>-21015.996754415966</v>
      </c>
      <c r="I81" s="38">
        <f>VLOOKUP($C81,'Segment IFRS17'!$AK$460:$AP$531,6,0)/1000</f>
        <v>-32622.110730245946</v>
      </c>
      <c r="J81" s="38">
        <f>VLOOKUP($C81,'Segment IFRS17'!$I$537:$N$608,6,0)/1000</f>
        <v>-21534.537706263302</v>
      </c>
      <c r="K81" s="38">
        <f>VLOOKUP($C81,'Segment IFRS17'!$P$539:$U$600,6,0)/1000</f>
        <v>-34111.233389957088</v>
      </c>
      <c r="L81" s="38">
        <f>VLOOKUP($C81,'Segment IFRS17'!$AD$539:$AI$600,6,0)/1000</f>
        <v>-31260.525117238958</v>
      </c>
      <c r="M81" s="38">
        <f>VLOOKUP($C81,'Segment IFRS17'!$AK$539:$AP$600,6,0)/1000</f>
        <v>-38856.568998003437</v>
      </c>
      <c r="N81" s="132">
        <f>M81/I81-1</f>
        <v>0.19111143111831641</v>
      </c>
      <c r="P81" s="38"/>
      <c r="Q81" s="38">
        <f>VLOOKUP($C81,'Segment IFRS17'!$I$460:$N$531,2,0)/1000</f>
        <v>-2618.2087300202406</v>
      </c>
      <c r="R81" s="38">
        <f>VLOOKUP($C81,'Segment IFRS17'!$P$460:$U$531,2,0)/1000</f>
        <v>-5145.481579917483</v>
      </c>
      <c r="S81" s="38">
        <f>VLOOKUP($C81,'Segment IFRS17'!$AD$460:$AI$531,2,0)/1000</f>
        <v>-6301.312784805993</v>
      </c>
      <c r="T81" s="38">
        <f>VLOOKUP($C81,'Segment IFRS17'!$AK$460:$AP$531,2,0)/1000</f>
        <v>-22347.276554393149</v>
      </c>
      <c r="U81" s="38">
        <f>VLOOKUP($C81,'Segment IFRS17'!$I$537:$N$608,2,0)/1000</f>
        <v>-12073.471223007764</v>
      </c>
      <c r="V81" s="38">
        <f>VLOOKUP($C81,'Segment IFRS17'!$P$537:$U$608,2,0)/1000</f>
        <v>-31591.900359121439</v>
      </c>
      <c r="W81" s="38">
        <f>VLOOKUP($C81,'Segment IFRS17'!$AD$537:$AI$608,2,0)/1000</f>
        <v>-27390.454114452339</v>
      </c>
      <c r="X81" s="38">
        <f>VLOOKUP($C81,'Segment IFRS17'!$AK$537:$AP$608,2,0)/1000</f>
        <v>-22938.636738750607</v>
      </c>
      <c r="Y81" s="132">
        <f>W81/S81-1</f>
        <v>3.3467853524899489</v>
      </c>
      <c r="AA81" s="38"/>
      <c r="AB81" s="38">
        <f>VLOOKUP($C81,'Segment IFRS17'!$I$460:$N$531,3,0)/1000</f>
        <v>-1073.0578814075084</v>
      </c>
      <c r="AC81" s="38">
        <f>VLOOKUP($C81,'Segment IFRS17'!$P$460:$U$531,3,0)/1000</f>
        <v>-14321.832826443841</v>
      </c>
      <c r="AD81" s="38">
        <f>VLOOKUP($C81,'Segment IFRS17'!$AD$460:$AI$531,3,0)/1000</f>
        <v>-12445.575050817975</v>
      </c>
      <c r="AE81" s="38">
        <f>VLOOKUP($C81,'Segment IFRS17'!$AK$460:$AP$531,3,0)/1000</f>
        <v>-8916.790010788789</v>
      </c>
      <c r="AF81" s="38">
        <f>VLOOKUP($C81,'Segment IFRS17'!$I$537:$N$608,3,0)/1000</f>
        <v>-8327.9919762355385</v>
      </c>
      <c r="AG81" s="38">
        <f>VLOOKUP($C81,'Segment IFRS17'!$P$537:$U$608,3,0)/1000</f>
        <v>-5810.7631922596429</v>
      </c>
      <c r="AH81" s="38">
        <f>VLOOKUP($C81,'Segment IFRS17'!$AD$537:$AI$608,3,0)/1000</f>
        <v>-3130.5071898746191</v>
      </c>
      <c r="AI81" s="38">
        <f>VLOOKUP($C81,'Segment IFRS17'!$AK$537:$AP$608,3,0)/1000</f>
        <v>-14953.467069504835</v>
      </c>
      <c r="AK81" s="38"/>
      <c r="AL81" s="38">
        <f>VLOOKUP($C81,'Segment IFRS17'!$I$460:$N$531,4,0)/1000</f>
        <v>-1476.2814859999985</v>
      </c>
      <c r="AM81" s="38">
        <f>VLOOKUP($C81,'Segment IFRS17'!$P$460:$U$531,4,0)/1000</f>
        <v>-1062.5165959999988</v>
      </c>
      <c r="AN81" s="38">
        <f>VLOOKUP($C81,'Segment IFRS17'!$AD$460:$AI$531,4,0)/1000</f>
        <v>-2268.0609619999977</v>
      </c>
      <c r="AO81" s="38">
        <f>VLOOKUP($C81,'Segment IFRS17'!$AK$460:$AP$531,4,0)/1000</f>
        <v>-1356.8712000000048</v>
      </c>
      <c r="AP81" s="38">
        <f>VLOOKUP($C81,'Segment IFRS17'!$I$537:$N$608,4,0)/1000</f>
        <v>-1132.1479419999982</v>
      </c>
      <c r="AQ81" s="38">
        <f>VLOOKUP($C81,'Segment IFRS17'!$P$537:$U$608,4,0)/1000</f>
        <v>3292.3940759999996</v>
      </c>
      <c r="AR81" s="38">
        <f>VLOOKUP($C81,'Segment IFRS17'!$AD$537:$AI$608,4,0)/1000</f>
        <v>-738.93103399999723</v>
      </c>
      <c r="AS81" s="38">
        <f>VLOOKUP($C81,'Segment IFRS17'!$AK$537:$AP$608,4,0)/1000</f>
        <v>-963.5804679999959</v>
      </c>
      <c r="AU81" s="38"/>
      <c r="AV81" s="38">
        <f t="shared" ref="AV81:BA81" si="171">AB81+AL81</f>
        <v>-2549.3393674075069</v>
      </c>
      <c r="AW81" s="38">
        <f t="shared" si="171"/>
        <v>-15384.34942244384</v>
      </c>
      <c r="AX81" s="38">
        <f t="shared" si="171"/>
        <v>-14713.636012817973</v>
      </c>
      <c r="AY81" s="38">
        <f t="shared" si="171"/>
        <v>-10273.661210788794</v>
      </c>
      <c r="AZ81" s="38">
        <f t="shared" si="171"/>
        <v>-9460.1399182355362</v>
      </c>
      <c r="BA81" s="38">
        <f t="shared" si="171"/>
        <v>-2518.3691162596433</v>
      </c>
      <c r="BB81" s="38">
        <f>AH81+AR81</f>
        <v>-3869.4382238746166</v>
      </c>
      <c r="BC81" s="38">
        <f>AI81+AS81</f>
        <v>-15917.047537504832</v>
      </c>
      <c r="BF81" s="38"/>
      <c r="BG81" s="38">
        <f>VLOOKUP($C81,'Segment IFRS17'!$I$460:$N$531,5,0)/1000</f>
        <v>-0.75092200799991737</v>
      </c>
      <c r="BH81" s="38">
        <f>VLOOKUP($C81,'Segment IFRS17'!$P$460:$U$531,5,0)/1000</f>
        <v>-0.88550793599990207</v>
      </c>
      <c r="BI81" s="38">
        <f>VLOOKUP($C81,'Segment IFRS17'!$AD$460:$AI$531,5,0)/1000</f>
        <v>-1.0479567919998845</v>
      </c>
      <c r="BJ81" s="38">
        <f>VLOOKUP($C81,'Segment IFRS17'!$AK$460:$AP$531,5,0)/1000</f>
        <v>-1.1729650639998712</v>
      </c>
      <c r="BK81" s="38">
        <f>VLOOKUP($C81,'Segment IFRS17'!$I$537:$N$608,5,0)/1000</f>
        <v>-0.92656501999989793</v>
      </c>
      <c r="BL81" s="38">
        <f>VLOOKUP($C81,'Segment IFRS17'!$P$537:$U$608,5,0)/1000</f>
        <v>-0.9639145759998935</v>
      </c>
      <c r="BM81" s="38">
        <f>VLOOKUP($C81,'Segment IFRS17'!$AD$537:$AI$608,5,0)/1000</f>
        <v>-0.63277891199993064</v>
      </c>
      <c r="BN81" s="38">
        <f>VLOOKUP($C81,'Segment IFRS17'!$AK$537:$AP$608,5,0)/1000</f>
        <v>-0.88472174799990211</v>
      </c>
    </row>
    <row r="82" spans="2:67" x14ac:dyDescent="0.3">
      <c r="C82" s="39" t="s">
        <v>66</v>
      </c>
      <c r="D82" s="109"/>
      <c r="E82" s="40"/>
      <c r="F82" s="40">
        <f t="shared" ref="F82:M82" si="172">-F81/F80</f>
        <v>0.26402820876540306</v>
      </c>
      <c r="G82" s="40">
        <f t="shared" si="172"/>
        <v>0.11812618511691325</v>
      </c>
      <c r="H82" s="40">
        <f t="shared" si="172"/>
        <v>7.4005084028092624E-2</v>
      </c>
      <c r="I82" s="40">
        <f t="shared" si="172"/>
        <v>0.11085459984162448</v>
      </c>
      <c r="J82" s="40">
        <f t="shared" si="172"/>
        <v>0.26903899738368803</v>
      </c>
      <c r="K82" s="40">
        <f t="shared" si="172"/>
        <v>0.34747653510393806</v>
      </c>
      <c r="L82" s="40">
        <f t="shared" si="172"/>
        <v>0.27635040643762898</v>
      </c>
      <c r="M82" s="40">
        <f t="shared" si="172"/>
        <v>0.21643772060753802</v>
      </c>
      <c r="N82" s="169"/>
      <c r="P82" s="40"/>
      <c r="Q82" s="40">
        <f t="shared" ref="Q82:X82" si="173">-Q81/Q80</f>
        <v>0.1145521829086998</v>
      </c>
      <c r="R82" s="40">
        <f t="shared" si="173"/>
        <v>5.5045695257422443E-2</v>
      </c>
      <c r="S82" s="40">
        <f t="shared" si="173"/>
        <v>2.9968881059753205E-2</v>
      </c>
      <c r="T82" s="40">
        <f t="shared" si="173"/>
        <v>9.1853420072851036E-2</v>
      </c>
      <c r="U82" s="40">
        <f t="shared" si="173"/>
        <v>0.31036010516876061</v>
      </c>
      <c r="V82" s="40">
        <f t="shared" si="173"/>
        <v>0.33781834352478635</v>
      </c>
      <c r="W82" s="40">
        <f t="shared" si="173"/>
        <v>0.29730388519985257</v>
      </c>
      <c r="X82" s="40">
        <f t="shared" si="173"/>
        <v>0.24225058116720163</v>
      </c>
      <c r="Y82" s="169"/>
      <c r="AA82" s="40"/>
      <c r="AB82" s="40">
        <f t="shared" ref="AB82:AI82" si="174">-AB81/AB80</f>
        <v>1.174392737096958</v>
      </c>
      <c r="AC82" s="40">
        <f t="shared" si="174"/>
        <v>0.17465538496796126</v>
      </c>
      <c r="AD82" s="40">
        <f t="shared" si="174"/>
        <v>0.18765350642097908</v>
      </c>
      <c r="AE82" s="40">
        <f t="shared" si="174"/>
        <v>0.1761647428303649</v>
      </c>
      <c r="AF82" s="40">
        <f t="shared" si="174"/>
        <v>0.17820498051719461</v>
      </c>
      <c r="AG82" s="40">
        <f t="shared" si="174"/>
        <v>0.22272053597594305</v>
      </c>
      <c r="AH82" s="40">
        <f t="shared" si="174"/>
        <v>0.14543758895444506</v>
      </c>
      <c r="AI82" s="40">
        <f t="shared" si="174"/>
        <v>0.17505690080222983</v>
      </c>
      <c r="AK82" s="40"/>
      <c r="AL82" s="40">
        <f t="shared" ref="AL82:AS82" si="175">-AL81/AL80</f>
        <v>0.22587655059032247</v>
      </c>
      <c r="AM82" s="40">
        <f t="shared" si="175"/>
        <v>0.17394280812802454</v>
      </c>
      <c r="AN82" s="40">
        <f t="shared" si="175"/>
        <v>0.19959569282945713</v>
      </c>
      <c r="AO82" s="40">
        <f t="shared" si="175"/>
        <v>0.1878484698379754</v>
      </c>
      <c r="AP82" s="40">
        <f t="shared" si="175"/>
        <v>0.2164684456576752</v>
      </c>
      <c r="AQ82" s="40">
        <f t="shared" si="175"/>
        <v>0.21108187681409923</v>
      </c>
      <c r="AR82" s="40">
        <f t="shared" si="175"/>
        <v>0.14633782003132215</v>
      </c>
      <c r="AS82" s="40">
        <f t="shared" si="175"/>
        <v>0.16890260841203125</v>
      </c>
      <c r="AU82" s="40"/>
      <c r="AV82" s="40">
        <f t="shared" ref="AV82:BC82" si="176">-AV81/AV80</f>
        <v>0.34221607819117406</v>
      </c>
      <c r="AW82" s="40">
        <f t="shared" si="176"/>
        <v>0.17460598337709116</v>
      </c>
      <c r="AX82" s="40">
        <f t="shared" si="176"/>
        <v>0.18940032627278122</v>
      </c>
      <c r="AY82" s="40">
        <f t="shared" si="176"/>
        <v>0.17762385410367118</v>
      </c>
      <c r="AZ82" s="40">
        <f t="shared" si="176"/>
        <v>0.18205622286371259</v>
      </c>
      <c r="BA82" s="40">
        <f t="shared" si="176"/>
        <v>0.24002254208019272</v>
      </c>
      <c r="BB82" s="40">
        <f t="shared" si="176"/>
        <v>0.14560864584457606</v>
      </c>
      <c r="BC82" s="40">
        <f t="shared" si="176"/>
        <v>0.17467160918052332</v>
      </c>
      <c r="BD82" s="169"/>
      <c r="BF82" s="40"/>
      <c r="BG82" s="40">
        <f t="shared" ref="BG82:BN82" si="177">-BG81/BG80</f>
        <v>-6.9978594505093483E-5</v>
      </c>
      <c r="BH82" s="40">
        <f t="shared" si="177"/>
        <v>-1.1378585947352278E-4</v>
      </c>
      <c r="BI82" s="40">
        <f t="shared" si="177"/>
        <v>-2.6418215541102288E-4</v>
      </c>
      <c r="BJ82" s="40">
        <f t="shared" si="177"/>
        <v>-1.7113925061707134E-4</v>
      </c>
      <c r="BK82" s="40">
        <f t="shared" si="177"/>
        <v>-8.5620300967744972E-5</v>
      </c>
      <c r="BL82" s="40">
        <f t="shared" si="177"/>
        <v>-1.6502026936886726E-4</v>
      </c>
      <c r="BM82" s="40">
        <f t="shared" si="177"/>
        <v>-1.1330859065637279E-4</v>
      </c>
      <c r="BN82" s="40">
        <f t="shared" si="177"/>
        <v>-1.4071007290333758E-4</v>
      </c>
    </row>
    <row r="83" spans="2:67" s="45" customFormat="1" x14ac:dyDescent="0.3">
      <c r="C83" s="86" t="s">
        <v>9</v>
      </c>
      <c r="D83" s="118"/>
      <c r="E83" s="87"/>
      <c r="F83" s="87">
        <f t="shared" ref="F83:M83" si="178">SUM(F80:F81)</f>
        <v>14406.499611372426</v>
      </c>
      <c r="G83" s="87">
        <f t="shared" si="178"/>
        <v>153272.54726206115</v>
      </c>
      <c r="H83" s="87">
        <f t="shared" si="178"/>
        <v>262964.44905439101</v>
      </c>
      <c r="I83" s="87">
        <f t="shared" si="178"/>
        <v>261656.25730186491</v>
      </c>
      <c r="J83" s="87">
        <f t="shared" si="178"/>
        <v>58507.90192397355</v>
      </c>
      <c r="K83" s="87">
        <f t="shared" si="178"/>
        <v>64057.218127937922</v>
      </c>
      <c r="L83" s="87">
        <f t="shared" si="178"/>
        <v>81858.632260567596</v>
      </c>
      <c r="M83" s="87">
        <f t="shared" si="178"/>
        <v>140671.14405004348</v>
      </c>
      <c r="N83" s="178">
        <f>M83/I83-1</f>
        <v>-0.4623818841536228</v>
      </c>
      <c r="P83" s="87"/>
      <c r="Q83" s="87">
        <f t="shared" ref="Q83:X83" si="179">SUM(Q80:Q81)</f>
        <v>20237.826515567365</v>
      </c>
      <c r="R83" s="87">
        <f t="shared" si="179"/>
        <v>88331.066510801</v>
      </c>
      <c r="S83" s="87">
        <f t="shared" si="179"/>
        <v>203960.55092115531</v>
      </c>
      <c r="T83" s="87">
        <f t="shared" si="179"/>
        <v>220945.53210389105</v>
      </c>
      <c r="U83" s="87">
        <f t="shared" si="179"/>
        <v>26828.021017571045</v>
      </c>
      <c r="V83" s="87">
        <f t="shared" si="179"/>
        <v>61925.520955223154</v>
      </c>
      <c r="W83" s="87">
        <f t="shared" si="179"/>
        <v>64739.031835722926</v>
      </c>
      <c r="X83" s="87">
        <f t="shared" si="179"/>
        <v>71751.071035029032</v>
      </c>
      <c r="Y83" s="178">
        <f>W83/S83-1</f>
        <v>-0.68259042474959297</v>
      </c>
      <c r="Z83" s="204"/>
      <c r="AA83" s="87"/>
      <c r="AB83" s="87">
        <f t="shared" ref="AB83:AI83" si="180">SUM(AB80:AB81)</f>
        <v>-159.34490659802896</v>
      </c>
      <c r="AC83" s="87">
        <f t="shared" si="180"/>
        <v>67678.68968290239</v>
      </c>
      <c r="AD83" s="87">
        <f t="shared" si="180"/>
        <v>53876.527254575441</v>
      </c>
      <c r="AE83" s="87">
        <f t="shared" si="180"/>
        <v>41699.410867584884</v>
      </c>
      <c r="AF83" s="87">
        <f t="shared" si="180"/>
        <v>38404.663598629209</v>
      </c>
      <c r="AG83" s="87">
        <f t="shared" si="180"/>
        <v>20279.166803631204</v>
      </c>
      <c r="AH83" s="87">
        <f t="shared" si="180"/>
        <v>18394.239007995711</v>
      </c>
      <c r="AI83" s="87">
        <f t="shared" si="180"/>
        <v>70467.141892369124</v>
      </c>
      <c r="AJ83" s="49"/>
      <c r="AK83" s="87"/>
      <c r="AL83" s="87">
        <f t="shared" ref="AL83:AS83" si="181">SUM(AL80:AL81)</f>
        <v>5059.5075639999923</v>
      </c>
      <c r="AM83" s="87">
        <f t="shared" si="181"/>
        <v>5045.9083939999937</v>
      </c>
      <c r="AN83" s="87">
        <f t="shared" si="181"/>
        <v>9095.2151180000019</v>
      </c>
      <c r="AO83" s="87">
        <f t="shared" si="181"/>
        <v>5866.3508000000184</v>
      </c>
      <c r="AP83" s="87">
        <f t="shared" si="181"/>
        <v>4097.935077999995</v>
      </c>
      <c r="AQ83" s="87">
        <f t="shared" si="181"/>
        <v>-12305.316753999992</v>
      </c>
      <c r="AR83" s="87">
        <f t="shared" si="181"/>
        <v>4310.5567459999811</v>
      </c>
      <c r="AS83" s="87">
        <f t="shared" si="181"/>
        <v>4741.3667620000251</v>
      </c>
      <c r="AT83" s="49"/>
      <c r="AU83" s="87"/>
      <c r="AV83" s="87">
        <f t="shared" ref="AV83:BC83" si="182">SUM(AV80:AV81)</f>
        <v>4900.1626574019629</v>
      </c>
      <c r="AW83" s="87">
        <f t="shared" si="182"/>
        <v>72724.598076902359</v>
      </c>
      <c r="AX83" s="87">
        <f t="shared" si="182"/>
        <v>62971.742372575412</v>
      </c>
      <c r="AY83" s="87">
        <f t="shared" si="182"/>
        <v>47565.761667584928</v>
      </c>
      <c r="AZ83" s="87">
        <f t="shared" si="182"/>
        <v>42502.598676629212</v>
      </c>
      <c r="BA83" s="87">
        <f t="shared" si="182"/>
        <v>7973.8500496312163</v>
      </c>
      <c r="BB83" s="87">
        <f t="shared" si="182"/>
        <v>22704.795753995684</v>
      </c>
      <c r="BC83" s="87">
        <f t="shared" si="182"/>
        <v>75208.508654369172</v>
      </c>
      <c r="BD83" s="178">
        <f>BA83/AW83-1</f>
        <v>-0.89035552948399521</v>
      </c>
      <c r="BE83" s="259"/>
      <c r="BF83" s="87"/>
      <c r="BG83" s="87">
        <f t="shared" ref="BG83:BN83" si="183">SUM(BG80:BG81)</f>
        <v>-10731.489561596718</v>
      </c>
      <c r="BH83" s="87">
        <f t="shared" si="183"/>
        <v>-7783.117325642258</v>
      </c>
      <c r="BI83" s="87">
        <f t="shared" si="183"/>
        <v>-3967.8442393397004</v>
      </c>
      <c r="BJ83" s="87">
        <f t="shared" si="183"/>
        <v>-6855.0364696110191</v>
      </c>
      <c r="BK83" s="87">
        <f t="shared" si="183"/>
        <v>-10822.717770226755</v>
      </c>
      <c r="BL83" s="87">
        <f t="shared" si="183"/>
        <v>-5842.1528769165607</v>
      </c>
      <c r="BM83" s="87">
        <f t="shared" si="183"/>
        <v>-5585.1953291509153</v>
      </c>
      <c r="BN83" s="87">
        <f t="shared" si="183"/>
        <v>-6288.4356393548151</v>
      </c>
      <c r="BO83" s="49"/>
    </row>
    <row r="84" spans="2:67" x14ac:dyDescent="0.3">
      <c r="C84" s="59" t="s">
        <v>51</v>
      </c>
      <c r="D84" s="119"/>
      <c r="E84" s="60"/>
      <c r="F84" s="60">
        <f>F83-'Segment IFRS17'!N527/1000</f>
        <v>6.5998636273434386E-5</v>
      </c>
      <c r="G84" s="60">
        <f>G83-'Segment IFRS17'!U527/1000</f>
        <v>-3.6987446947023273E-5</v>
      </c>
      <c r="H84" s="60">
        <f>H83-'Segment IFRS17'!AI527/1000</f>
        <v>3.6082864971831441E-4</v>
      </c>
      <c r="I84" s="60">
        <f>I83-'Segment IFRS17'!AP527/1000</f>
        <v>1.1314963921904564E-4</v>
      </c>
      <c r="J84" s="60">
        <f>J83-'Segment IFRS17'!N600/1000</f>
        <v>-4.5891989429946989E-4</v>
      </c>
      <c r="K84" s="60">
        <f>K83-'Segment IFRS17'!U600/1000</f>
        <v>-3.5348784149391577E-4</v>
      </c>
      <c r="L84" s="60">
        <f>L83-'Segment IFRS17'!AI600/1000</f>
        <v>-4.5756605686619878E-5</v>
      </c>
      <c r="M84" s="60">
        <f>M83-'Segment IFRS17'!AP600/1000</f>
        <v>4.3155738967470825E-4</v>
      </c>
      <c r="N84" s="179"/>
      <c r="O84" s="59"/>
      <c r="P84" s="60"/>
      <c r="Q84" s="60">
        <f>Q83-'Segment IFRS17'!J527/1000</f>
        <v>4.2558756467769854E-4</v>
      </c>
      <c r="R84" s="60">
        <f>R83-'Segment IFRS17'!Q527/1000</f>
        <v>-2.3928126029204577E-4</v>
      </c>
      <c r="S84" s="60">
        <f>S83-'Segment IFRS17'!AE527/1000</f>
        <v>-4.4662345317192376E-4</v>
      </c>
      <c r="T84" s="60">
        <f>T83-'Segment IFRS17'!AL527/1000</f>
        <v>2.5931940763257444E-4</v>
      </c>
      <c r="U84" s="60">
        <f>U83-'Segment IFRS17'!J600/1000</f>
        <v>2.8171178928459994E-4</v>
      </c>
      <c r="V84" s="60">
        <f>V83-'Segment IFRS17'!Q600/1000</f>
        <v>-1.7669233784545213E-4</v>
      </c>
      <c r="W84" s="60">
        <f>W83-'Segment IFRS17'!AE600/1000</f>
        <v>-2.9241223819553852E-4</v>
      </c>
      <c r="X84" s="60">
        <f>X83-'Segment IFRS17'!AL600/1000</f>
        <v>-1.7609173664823174E-4</v>
      </c>
      <c r="Y84" s="179"/>
      <c r="Z84" s="59"/>
      <c r="AA84" s="60"/>
      <c r="AB84" s="60">
        <f>AB83-'Segment IFRS17'!K527/1000</f>
        <v>-1.3926637620897964E-12</v>
      </c>
      <c r="AC84" s="60">
        <f>AC83-'Segment IFRS17'!R527/1000</f>
        <v>0</v>
      </c>
      <c r="AD84" s="60">
        <f>AD83-'Segment IFRS17'!AF527/1000</f>
        <v>0</v>
      </c>
      <c r="AE84" s="60">
        <f>AE83-'Segment IFRS17'!AM527/1000</f>
        <v>-6.5483618527650833E-11</v>
      </c>
      <c r="AF84" s="60">
        <f>AF83-'Segment IFRS17'!K600/1000</f>
        <v>1.0186340659856796E-10</v>
      </c>
      <c r="AG84" s="60">
        <f>AG83-'Segment IFRS17'!R600/1000</f>
        <v>0</v>
      </c>
      <c r="AH84" s="60">
        <f>AH83-'Segment IFRS17'!AF600/1000</f>
        <v>-5.0931703299283981E-11</v>
      </c>
      <c r="AI84" s="60">
        <f>AI83-'Segment IFRS17'!AM600/1000</f>
        <v>0</v>
      </c>
      <c r="AJ84" s="59"/>
      <c r="AK84" s="60"/>
      <c r="AL84" s="60">
        <f>AL83-'Segment IFRS17'!L527/1000</f>
        <v>0</v>
      </c>
      <c r="AM84" s="60">
        <f>AM83-'Segment IFRS17'!S527/1000</f>
        <v>0</v>
      </c>
      <c r="AN84" s="60">
        <f>AN83-'Segment IFRS17'!AG527/1000</f>
        <v>0</v>
      </c>
      <c r="AO84" s="60">
        <f>AO83-'Segment IFRS17'!AN527/1000</f>
        <v>0</v>
      </c>
      <c r="AP84" s="60">
        <f>AP83-'Segment IFRS17'!L600/1000</f>
        <v>0</v>
      </c>
      <c r="AQ84" s="60">
        <f>AQ83-'Segment IFRS17'!S600/1000</f>
        <v>0</v>
      </c>
      <c r="AR84" s="60">
        <f>AR83-'Segment IFRS17'!AG600/1000</f>
        <v>0</v>
      </c>
      <c r="AS84" s="60">
        <f>AS83-'Segment IFRS17'!AN600/1000</f>
        <v>0</v>
      </c>
      <c r="AT84" s="59"/>
      <c r="AU84" s="60"/>
      <c r="AV84" s="60">
        <f t="shared" ref="AV84:BA84" si="184">AV83-AB83-AL83</f>
        <v>0</v>
      </c>
      <c r="AW84" s="60">
        <f t="shared" si="184"/>
        <v>-2.4556356947869062E-11</v>
      </c>
      <c r="AX84" s="60">
        <f t="shared" si="184"/>
        <v>-3.092281986027956E-11</v>
      </c>
      <c r="AY84" s="60">
        <f t="shared" si="184"/>
        <v>2.5465851649641991E-11</v>
      </c>
      <c r="AZ84" s="60">
        <f t="shared" si="184"/>
        <v>7.2759576141834259E-12</v>
      </c>
      <c r="BA84" s="60">
        <f t="shared" si="184"/>
        <v>0</v>
      </c>
      <c r="BB84" s="60">
        <f>BB83-AH83-AR83</f>
        <v>-8.1854523159563541E-12</v>
      </c>
      <c r="BC84" s="60">
        <f>BC83-AI83-AS83</f>
        <v>2.3646862246096134E-11</v>
      </c>
      <c r="BD84" s="179"/>
      <c r="BE84" s="59"/>
      <c r="BF84" s="60"/>
      <c r="BG84" s="60">
        <f>BG83-'Segment IFRS17'!M527/1000</f>
        <v>-3.5958871922048274E-4</v>
      </c>
      <c r="BH84" s="60">
        <f>BH83-'Segment IFRS17'!T527/1000</f>
        <v>2.0229374513291987E-4</v>
      </c>
      <c r="BI84" s="60">
        <f>BI83-'Segment IFRS17'!AH527/1000</f>
        <v>-1.9254770177212777E-4</v>
      </c>
      <c r="BJ84" s="60">
        <f>BJ83-'Segment IFRS17'!AO527/1000</f>
        <v>-1.4616960288549308E-4</v>
      </c>
      <c r="BK84" s="60">
        <f>BK83-'Segment IFRS17'!M600/1000</f>
        <v>2.5936824567907024E-4</v>
      </c>
      <c r="BL84" s="60">
        <f>BL83-'Segment IFRS17'!T600/1000</f>
        <v>-1.7679556367511395E-4</v>
      </c>
      <c r="BM84" s="60">
        <f>BM83-'Segment IFRS17'!AH600/1000</f>
        <v>2.4665569162607426E-4</v>
      </c>
      <c r="BN84" s="60">
        <f>BN83-'Segment IFRS17'!AO600/1000</f>
        <v>-3.9235104577528546E-4</v>
      </c>
      <c r="BO84" s="59"/>
    </row>
    <row r="85" spans="2:67" x14ac:dyDescent="0.3">
      <c r="C85" s="39" t="s">
        <v>83</v>
      </c>
      <c r="D85" s="109"/>
      <c r="E85" s="40"/>
      <c r="F85" s="40">
        <f t="shared" ref="F85:M85" si="185">F83/AVERAGE(E100:F100)*4</f>
        <v>1.9934494666249764E-2</v>
      </c>
      <c r="G85" s="40">
        <f t="shared" si="185"/>
        <v>0.20754364012418711</v>
      </c>
      <c r="H85" s="40">
        <f t="shared" si="185"/>
        <v>0.33547255984484103</v>
      </c>
      <c r="I85" s="40">
        <f t="shared" si="185"/>
        <v>0.31160624532368264</v>
      </c>
      <c r="J85" s="40">
        <f t="shared" si="185"/>
        <v>6.6916987346190157E-2</v>
      </c>
      <c r="K85" s="40">
        <f t="shared" si="185"/>
        <v>7.2146536498149283E-2</v>
      </c>
      <c r="L85" s="40">
        <f t="shared" si="185"/>
        <v>9.0262796133623549E-2</v>
      </c>
      <c r="M85" s="40">
        <f t="shared" si="185"/>
        <v>0.1501926547644172</v>
      </c>
      <c r="N85" s="169"/>
      <c r="P85" s="40"/>
      <c r="Q85" s="40">
        <f t="shared" ref="Q85:X85" si="186">Q83/AVERAGE(P101:Q101)*4</f>
        <v>3.1093066924393349E-2</v>
      </c>
      <c r="R85" s="40">
        <f t="shared" si="186"/>
        <v>0.13391698012843903</v>
      </c>
      <c r="S85" s="40">
        <f t="shared" si="186"/>
        <v>0.29348875075999509</v>
      </c>
      <c r="T85" s="40">
        <f t="shared" si="186"/>
        <v>0.29645722067314656</v>
      </c>
      <c r="U85" s="40">
        <f t="shared" si="186"/>
        <v>3.4616061822363375E-2</v>
      </c>
      <c r="V85" s="40">
        <f t="shared" si="186"/>
        <v>7.9478182265343658E-2</v>
      </c>
      <c r="W85" s="40">
        <f t="shared" si="186"/>
        <v>8.2844833884322233E-2</v>
      </c>
      <c r="X85" s="40">
        <f t="shared" si="186"/>
        <v>9.1848928912867625E-2</v>
      </c>
      <c r="Y85" s="169"/>
      <c r="AA85" s="40"/>
      <c r="AB85" s="40">
        <f t="shared" ref="AB85:AI85" si="187">AB83/AVERAGE(AA102:AB102)*4</f>
        <v>-2.3447597822977549E-3</v>
      </c>
      <c r="AC85" s="40">
        <f t="shared" si="187"/>
        <v>0.88715415663512176</v>
      </c>
      <c r="AD85" s="40">
        <f t="shared" si="187"/>
        <v>0.63667891670472532</v>
      </c>
      <c r="AE85" s="40">
        <f t="shared" si="187"/>
        <v>0.47217749326071135</v>
      </c>
      <c r="AF85" s="40">
        <f t="shared" si="187"/>
        <v>0.4052736218114919</v>
      </c>
      <c r="AG85" s="40">
        <f t="shared" si="187"/>
        <v>0.18770267003188401</v>
      </c>
      <c r="AH85" s="40">
        <f t="shared" si="187"/>
        <v>0.1459475757794349</v>
      </c>
      <c r="AI85" s="40">
        <f t="shared" si="187"/>
        <v>0.45416415081514949</v>
      </c>
      <c r="AK85" s="40"/>
      <c r="AL85" s="40">
        <f t="shared" ref="AL85:AS85" si="188">AL83/AVERAGE(AK103:AL103)*4</f>
        <v>1.3124405973383433</v>
      </c>
      <c r="AM85" s="40">
        <f t="shared" si="188"/>
        <v>1.9226633858996873</v>
      </c>
      <c r="AN85" s="40">
        <f t="shared" si="188"/>
        <v>2.1202324288301839</v>
      </c>
      <c r="AO85" s="40">
        <f t="shared" si="188"/>
        <v>0.96135146220324275</v>
      </c>
      <c r="AP85" s="40">
        <f t="shared" si="188"/>
        <v>0.89932056994829102</v>
      </c>
      <c r="AQ85" s="40">
        <f t="shared" si="188"/>
        <v>-17.922676247490987</v>
      </c>
      <c r="AR85" s="40">
        <f t="shared" si="188"/>
        <v>-7.3041288762471703</v>
      </c>
      <c r="AS85" s="40">
        <f t="shared" si="188"/>
        <v>18.159037555224685</v>
      </c>
      <c r="AU85" s="40"/>
      <c r="AV85" s="40">
        <f t="shared" ref="AV85:BC85" si="189">AV83/AVERAGE(SUM(AU102:AU103),SUM(AV102:AV103))*4</f>
        <v>6.8235113653087084E-2</v>
      </c>
      <c r="AW85" s="40">
        <f t="shared" si="189"/>
        <v>0.92159294731444552</v>
      </c>
      <c r="AX85" s="40">
        <f t="shared" si="189"/>
        <v>0.70825660020654779</v>
      </c>
      <c r="AY85" s="40">
        <f t="shared" si="189"/>
        <v>0.50379352063662686</v>
      </c>
      <c r="AZ85" s="40">
        <f t="shared" si="189"/>
        <v>0.42794022236700568</v>
      </c>
      <c r="BA85" s="40">
        <f t="shared" si="189"/>
        <v>7.3339379621592357E-2</v>
      </c>
      <c r="BB85" s="40">
        <f t="shared" si="189"/>
        <v>0.18099685566903506</v>
      </c>
      <c r="BC85" s="40">
        <f t="shared" si="189"/>
        <v>0.48390816086924687</v>
      </c>
      <c r="BD85" s="169"/>
      <c r="BF85" s="40"/>
      <c r="BG85" s="40"/>
      <c r="BH85" s="40"/>
      <c r="BI85" s="40"/>
      <c r="BJ85" s="40"/>
      <c r="BK85" s="40"/>
      <c r="BL85" s="40"/>
      <c r="BM85" s="40"/>
      <c r="BN85" s="40"/>
    </row>
    <row r="86" spans="2:67" x14ac:dyDescent="0.3">
      <c r="C86" s="39" t="s">
        <v>132</v>
      </c>
      <c r="D86" s="109"/>
      <c r="E86" s="40"/>
      <c r="F86" s="40">
        <f t="shared" ref="F86:M86" si="190">F83/F105*4</f>
        <v>1.9797163116270656E-2</v>
      </c>
      <c r="G86" s="40">
        <f t="shared" si="190"/>
        <v>0.20494159195244877</v>
      </c>
      <c r="H86" s="40">
        <f t="shared" si="190"/>
        <v>0.33382711711112811</v>
      </c>
      <c r="I86" s="40">
        <f t="shared" si="190"/>
        <v>0.30996727204216884</v>
      </c>
      <c r="J86" s="40">
        <f t="shared" si="190"/>
        <v>6.8381101051480375E-2</v>
      </c>
      <c r="K86" s="40">
        <f t="shared" si="190"/>
        <v>7.3156277346493201E-2</v>
      </c>
      <c r="L86" s="40">
        <f t="shared" si="190"/>
        <v>8.952668816810648E-2</v>
      </c>
      <c r="M86" s="40">
        <f t="shared" si="190"/>
        <v>0.15348581469684966</v>
      </c>
      <c r="N86" s="169"/>
      <c r="P86" s="40"/>
      <c r="Q86" s="40">
        <f t="shared" ref="Q86:X86" si="191">Q83/Q106*4</f>
        <v>3.1067628592664889E-2</v>
      </c>
      <c r="R86" s="40">
        <f t="shared" si="191"/>
        <v>0.13228354327131722</v>
      </c>
      <c r="S86" s="40">
        <f t="shared" si="191"/>
        <v>0.292007697122947</v>
      </c>
      <c r="T86" s="40">
        <f t="shared" si="191"/>
        <v>0.29494702098143599</v>
      </c>
      <c r="U86" s="40">
        <f t="shared" si="191"/>
        <v>3.5643473810771119E-2</v>
      </c>
      <c r="V86" s="40">
        <f t="shared" si="191"/>
        <v>8.0518516924320493E-2</v>
      </c>
      <c r="W86" s="40">
        <f t="shared" si="191"/>
        <v>8.3062013352602465E-2</v>
      </c>
      <c r="X86" s="40">
        <f t="shared" si="191"/>
        <v>9.4700929495565037E-2</v>
      </c>
      <c r="Y86" s="169"/>
      <c r="AA86" s="40"/>
      <c r="AB86" s="40">
        <f t="shared" ref="AB86:AI86" si="192">AB83/AB107*4</f>
        <v>-2.2487699503706497E-3</v>
      </c>
      <c r="AC86" s="40">
        <f t="shared" si="192"/>
        <v>0.87911022779549897</v>
      </c>
      <c r="AD86" s="40">
        <f t="shared" si="192"/>
        <v>0.63416981210079393</v>
      </c>
      <c r="AE86" s="40">
        <f t="shared" si="192"/>
        <v>0.47134168634226631</v>
      </c>
      <c r="AF86" s="40">
        <f t="shared" si="192"/>
        <v>0.39518384732046496</v>
      </c>
      <c r="AG86" s="40">
        <f t="shared" si="192"/>
        <v>0.19010607924030959</v>
      </c>
      <c r="AH86" s="40">
        <f t="shared" si="192"/>
        <v>0.13599362178720742</v>
      </c>
      <c r="AI86" s="40">
        <f t="shared" si="192"/>
        <v>0.44483144192355295</v>
      </c>
      <c r="AK86" s="40"/>
      <c r="AL86" s="40">
        <f t="shared" ref="AL86:AS86" si="193">AL83/AL108*4</f>
        <v>0.93099033346867432</v>
      </c>
      <c r="AM86" s="40">
        <f t="shared" si="193"/>
        <v>1.5977155461906205</v>
      </c>
      <c r="AN86" s="40">
        <f t="shared" si="193"/>
        <v>2.1182070682911265</v>
      </c>
      <c r="AO86" s="40">
        <f t="shared" si="193"/>
        <v>0.89296424970138821</v>
      </c>
      <c r="AP86" s="40">
        <f t="shared" si="193"/>
        <v>0.7118945628651735</v>
      </c>
      <c r="AQ86" s="40">
        <f t="shared" si="193"/>
        <v>90.813049327316079</v>
      </c>
      <c r="AR86" s="40">
        <f t="shared" si="193"/>
        <v>-13.677108513356378</v>
      </c>
      <c r="AS86" s="40">
        <f t="shared" si="193"/>
        <v>10.866523264611002</v>
      </c>
      <c r="AU86" s="40"/>
      <c r="AV86" s="40">
        <f t="shared" ref="AV86:BC86" si="194">AV83/SUM(AV107:AV108)*4</f>
        <v>6.422800596529242E-2</v>
      </c>
      <c r="AW86" s="40">
        <f t="shared" si="194"/>
        <v>0.90742814068390387</v>
      </c>
      <c r="AX86" s="40">
        <f t="shared" si="194"/>
        <v>0.70556714813413457</v>
      </c>
      <c r="AY86" s="40">
        <f t="shared" si="194"/>
        <v>0.5004861031658564</v>
      </c>
      <c r="AZ86" s="40">
        <f t="shared" si="194"/>
        <v>0.41289455123625934</v>
      </c>
      <c r="BA86" s="40">
        <f t="shared" si="194"/>
        <v>7.4845548726091116E-2</v>
      </c>
      <c r="BB86" s="40">
        <f t="shared" si="194"/>
        <v>0.16825479412934136</v>
      </c>
      <c r="BC86" s="40">
        <f t="shared" si="194"/>
        <v>0.47345775529348899</v>
      </c>
      <c r="BD86" s="169"/>
      <c r="BF86" s="40"/>
      <c r="BG86" s="40"/>
      <c r="BH86" s="40"/>
      <c r="BI86" s="40"/>
      <c r="BJ86" s="40"/>
      <c r="BK86" s="40"/>
      <c r="BL86" s="40"/>
      <c r="BM86" s="40"/>
      <c r="BN86" s="40"/>
    </row>
    <row r="87" spans="2:67" x14ac:dyDescent="0.3">
      <c r="C87" s="39" t="s">
        <v>84</v>
      </c>
      <c r="D87" s="109"/>
      <c r="E87" s="40"/>
      <c r="F87" s="40"/>
      <c r="G87" s="40"/>
      <c r="H87" s="40"/>
      <c r="I87" s="40"/>
      <c r="J87" s="40"/>
      <c r="K87" s="40"/>
      <c r="L87" s="40"/>
      <c r="M87" s="40"/>
      <c r="N87" s="145"/>
      <c r="P87" s="40"/>
      <c r="Q87" s="40">
        <f t="shared" ref="Q87:X87" si="195">Q80/AVERAGE(P123:Q123)*4</f>
        <v>4.3528895704777453E-3</v>
      </c>
      <c r="R87" s="40">
        <f t="shared" si="195"/>
        <v>1.8144936820938273E-2</v>
      </c>
      <c r="S87" s="40">
        <f t="shared" si="195"/>
        <v>4.0845890234215455E-2</v>
      </c>
      <c r="T87" s="40">
        <f t="shared" si="195"/>
        <v>4.6408597689469332E-2</v>
      </c>
      <c r="U87" s="40">
        <f t="shared" si="195"/>
        <v>7.520788545068058E-3</v>
      </c>
      <c r="V87" s="40">
        <f t="shared" si="195"/>
        <v>1.8462461803712048E-2</v>
      </c>
      <c r="W87" s="40">
        <f t="shared" si="195"/>
        <v>1.8341595186593389E-2</v>
      </c>
      <c r="X87" s="40">
        <f t="shared" si="195"/>
        <v>1.9109048157908714E-2</v>
      </c>
      <c r="Y87" s="169"/>
      <c r="AA87" s="40"/>
      <c r="AB87" s="40"/>
      <c r="AC87" s="40"/>
      <c r="AD87" s="40"/>
      <c r="AE87" s="40"/>
      <c r="AF87" s="40"/>
      <c r="AG87" s="40"/>
      <c r="AH87" s="40"/>
      <c r="AI87" s="40"/>
      <c r="AK87" s="40"/>
      <c r="AL87" s="40"/>
      <c r="AM87" s="40"/>
      <c r="AN87" s="40"/>
      <c r="AO87" s="40"/>
      <c r="AP87" s="40"/>
      <c r="AQ87" s="40"/>
      <c r="AR87" s="40"/>
      <c r="AS87" s="40"/>
      <c r="AU87" s="40"/>
      <c r="AV87" s="40"/>
      <c r="AW87" s="40"/>
      <c r="AX87" s="40"/>
      <c r="AY87" s="40"/>
      <c r="AZ87" s="40"/>
      <c r="BA87" s="40"/>
      <c r="BB87" s="40"/>
      <c r="BC87" s="40"/>
      <c r="BD87" s="169"/>
      <c r="BF87" s="40"/>
      <c r="BG87" s="40"/>
      <c r="BH87" s="40"/>
      <c r="BI87" s="40"/>
      <c r="BJ87" s="40"/>
      <c r="BK87" s="40"/>
      <c r="BL87" s="40"/>
      <c r="BM87" s="40"/>
      <c r="BN87" s="40"/>
    </row>
    <row r="88" spans="2:67" ht="14.5" x14ac:dyDescent="0.45">
      <c r="C88" s="45"/>
      <c r="D88" s="112"/>
      <c r="E88" s="62"/>
      <c r="F88" s="257"/>
      <c r="G88" s="257"/>
      <c r="H88" s="257"/>
      <c r="I88" s="257"/>
      <c r="J88" s="257"/>
      <c r="K88" s="257"/>
      <c r="L88" s="257"/>
      <c r="M88" s="257"/>
      <c r="N88" s="145"/>
      <c r="P88" s="62"/>
      <c r="Q88" s="62"/>
      <c r="R88" s="62"/>
      <c r="S88" s="62"/>
      <c r="T88" s="62"/>
      <c r="U88" s="62"/>
      <c r="V88" s="62"/>
      <c r="W88" s="62"/>
      <c r="X88" s="62"/>
      <c r="Y88" s="62"/>
      <c r="AA88" s="62"/>
      <c r="AB88" s="62"/>
      <c r="AC88" s="62"/>
      <c r="AD88" s="62"/>
      <c r="AE88" s="62"/>
      <c r="AF88" s="62"/>
      <c r="AG88" s="62"/>
      <c r="AH88" s="62"/>
      <c r="AI88" s="62"/>
      <c r="AK88" s="62"/>
      <c r="AL88" s="62"/>
      <c r="AM88" s="62"/>
      <c r="AN88" s="62"/>
      <c r="AO88" s="62"/>
      <c r="AP88" s="62"/>
      <c r="AQ88" s="62"/>
      <c r="AR88" s="62"/>
      <c r="AS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F88" s="62"/>
      <c r="BG88" s="62"/>
      <c r="BH88" s="62"/>
      <c r="BI88" s="62"/>
      <c r="BJ88" s="62"/>
      <c r="BK88" s="62"/>
      <c r="BL88" s="62"/>
      <c r="BM88" s="62"/>
      <c r="BN88" s="62"/>
    </row>
    <row r="89" spans="2:67" s="32" customFormat="1" x14ac:dyDescent="0.3">
      <c r="B89" s="29"/>
      <c r="C89" s="30" t="s">
        <v>171</v>
      </c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P89" s="31"/>
      <c r="Q89" s="31"/>
      <c r="R89" s="31"/>
      <c r="S89" s="31"/>
      <c r="T89" s="31"/>
      <c r="U89" s="31"/>
      <c r="V89" s="31"/>
      <c r="W89" s="31"/>
      <c r="X89" s="31"/>
      <c r="Y89" s="30"/>
      <c r="Z89" s="36"/>
      <c r="AA89" s="31"/>
      <c r="AB89" s="31"/>
      <c r="AC89" s="31"/>
      <c r="AD89" s="31"/>
      <c r="AE89" s="31"/>
      <c r="AF89" s="31"/>
      <c r="AG89" s="31"/>
      <c r="AH89" s="31"/>
      <c r="AI89" s="31"/>
      <c r="AJ89" s="36"/>
      <c r="AK89" s="31"/>
      <c r="AL89" s="31"/>
      <c r="AM89" s="31"/>
      <c r="AN89" s="31"/>
      <c r="AO89" s="31"/>
      <c r="AP89" s="31"/>
      <c r="AQ89" s="31"/>
      <c r="AR89" s="31"/>
      <c r="AS89" s="31"/>
      <c r="AT89" s="36"/>
      <c r="AU89" s="31"/>
      <c r="AV89" s="31"/>
      <c r="AW89" s="31"/>
      <c r="AX89" s="31"/>
      <c r="AY89" s="31"/>
      <c r="AZ89" s="31"/>
      <c r="BA89" s="31"/>
      <c r="BB89" s="31"/>
      <c r="BC89" s="31"/>
      <c r="BD89" s="30"/>
      <c r="BE89" s="36"/>
      <c r="BF89" s="31"/>
      <c r="BG89" s="31"/>
      <c r="BH89" s="31"/>
      <c r="BI89" s="31"/>
      <c r="BJ89" s="31"/>
      <c r="BK89" s="31"/>
      <c r="BL89" s="31"/>
      <c r="BM89" s="31"/>
      <c r="BN89" s="31"/>
      <c r="BO89" s="36"/>
    </row>
    <row r="90" spans="2:67" s="35" customFormat="1" x14ac:dyDescent="0.3">
      <c r="B90" s="33"/>
      <c r="C90" s="63" t="s">
        <v>172</v>
      </c>
      <c r="D90" s="63"/>
      <c r="E90" s="150"/>
      <c r="F90" s="150">
        <f t="shared" ref="F90:M90" si="196">F83</f>
        <v>14406.499611372426</v>
      </c>
      <c r="G90" s="150">
        <f t="shared" si="196"/>
        <v>153272.54726206115</v>
      </c>
      <c r="H90" s="150">
        <f t="shared" si="196"/>
        <v>262964.44905439101</v>
      </c>
      <c r="I90" s="150">
        <f t="shared" si="196"/>
        <v>261656.25730186491</v>
      </c>
      <c r="J90" s="150">
        <f t="shared" si="196"/>
        <v>58507.90192397355</v>
      </c>
      <c r="K90" s="150">
        <f t="shared" si="196"/>
        <v>64057.218127937922</v>
      </c>
      <c r="L90" s="150">
        <f t="shared" si="196"/>
        <v>81858.632260567596</v>
      </c>
      <c r="M90" s="150">
        <f t="shared" si="196"/>
        <v>140671.14405004348</v>
      </c>
      <c r="N90" s="168">
        <f>M90/I90-1</f>
        <v>-0.4623818841536228</v>
      </c>
      <c r="P90" s="150"/>
      <c r="Q90" s="150"/>
      <c r="R90" s="150"/>
      <c r="S90" s="150"/>
      <c r="T90" s="150"/>
      <c r="U90" s="150"/>
      <c r="V90" s="150"/>
      <c r="W90" s="150"/>
      <c r="X90" s="150"/>
      <c r="Y90" s="168"/>
      <c r="Z90" s="205"/>
      <c r="AA90" s="150"/>
      <c r="AB90" s="150"/>
      <c r="AC90" s="150"/>
      <c r="AD90" s="150"/>
      <c r="AE90" s="150"/>
      <c r="AF90" s="150"/>
      <c r="AG90" s="150"/>
      <c r="AH90" s="150"/>
      <c r="AI90" s="150"/>
      <c r="AJ90" s="205"/>
      <c r="AK90" s="150"/>
      <c r="AL90" s="150"/>
      <c r="AM90" s="150"/>
      <c r="AN90" s="150"/>
      <c r="AO90" s="150"/>
      <c r="AP90" s="150"/>
      <c r="AQ90" s="150"/>
      <c r="AR90" s="150"/>
      <c r="AS90" s="150"/>
      <c r="AT90" s="205"/>
      <c r="AU90" s="150"/>
      <c r="AV90" s="150"/>
      <c r="AW90" s="150"/>
      <c r="AX90" s="150"/>
      <c r="AY90" s="150"/>
      <c r="AZ90" s="150"/>
      <c r="BA90" s="150"/>
      <c r="BB90" s="150"/>
      <c r="BC90" s="150"/>
      <c r="BD90" s="168"/>
      <c r="BE90" s="205"/>
      <c r="BF90" s="150"/>
      <c r="BG90" s="150"/>
      <c r="BH90" s="150"/>
      <c r="BI90" s="150"/>
      <c r="BJ90" s="150"/>
      <c r="BK90" s="150"/>
      <c r="BL90" s="150"/>
      <c r="BM90" s="150"/>
      <c r="BN90" s="150"/>
      <c r="BO90" s="205"/>
    </row>
    <row r="91" spans="2:67" s="64" customFormat="1" x14ac:dyDescent="0.3">
      <c r="C91" s="65" t="s">
        <v>187</v>
      </c>
      <c r="D91" s="77"/>
      <c r="E91" s="203"/>
      <c r="F91" s="203">
        <v>5262.4189999999999</v>
      </c>
      <c r="G91" s="203">
        <v>7087.5810000000001</v>
      </c>
      <c r="H91" s="203">
        <v>6218</v>
      </c>
      <c r="I91" s="203">
        <v>5709.1171317560002</v>
      </c>
      <c r="J91" s="203">
        <v>8078</v>
      </c>
      <c r="K91" s="203">
        <f>9762980.07123569/1000</f>
        <v>9762.98007123569</v>
      </c>
      <c r="L91" s="203">
        <v>8321.0199287643118</v>
      </c>
      <c r="M91" s="203">
        <v>21806.624182298103</v>
      </c>
      <c r="N91" s="201"/>
      <c r="O91" s="42"/>
      <c r="P91" s="38"/>
      <c r="Q91" s="38"/>
      <c r="R91" s="38"/>
      <c r="S91" s="38"/>
      <c r="T91" s="38"/>
      <c r="U91" s="38"/>
      <c r="V91" s="38"/>
      <c r="W91" s="38"/>
      <c r="X91" s="38"/>
      <c r="Y91" s="201"/>
      <c r="AA91" s="38"/>
      <c r="AB91" s="38"/>
      <c r="AC91" s="38"/>
      <c r="AD91" s="38"/>
      <c r="AE91" s="38"/>
      <c r="AF91" s="38"/>
      <c r="AG91" s="38"/>
      <c r="AH91" s="38"/>
      <c r="AI91" s="38"/>
      <c r="AK91" s="38"/>
      <c r="AL91" s="38"/>
      <c r="AM91" s="38"/>
      <c r="AN91" s="38"/>
      <c r="AO91" s="38"/>
      <c r="AP91" s="38"/>
      <c r="AQ91" s="38"/>
      <c r="AR91" s="38"/>
      <c r="AS91" s="38"/>
      <c r="AU91" s="38"/>
      <c r="AV91" s="38"/>
      <c r="AW91" s="38"/>
      <c r="AX91" s="38"/>
      <c r="AY91" s="38"/>
      <c r="AZ91" s="38"/>
      <c r="BA91" s="38"/>
      <c r="BB91" s="38"/>
      <c r="BC91" s="38"/>
      <c r="BD91" s="201"/>
      <c r="BF91" s="38"/>
      <c r="BG91" s="38"/>
      <c r="BH91" s="38"/>
      <c r="BI91" s="38"/>
      <c r="BJ91" s="38"/>
      <c r="BK91" s="38"/>
      <c r="BL91" s="38"/>
      <c r="BM91" s="38"/>
      <c r="BN91" s="38"/>
    </row>
    <row r="92" spans="2:67" s="64" customFormat="1" x14ac:dyDescent="0.3">
      <c r="C92" s="65" t="s">
        <v>192</v>
      </c>
      <c r="D92" s="77"/>
      <c r="E92" s="203"/>
      <c r="F92" s="203">
        <v>14125</v>
      </c>
      <c r="G92" s="203">
        <v>8237</v>
      </c>
      <c r="H92" s="203">
        <v>6625</v>
      </c>
      <c r="I92" s="203">
        <v>8178.6782097786927</v>
      </c>
      <c r="J92" s="203">
        <v>12858.078373190141</v>
      </c>
      <c r="K92" s="203">
        <f>21120.5059798414-J92</f>
        <v>8262.4276066512593</v>
      </c>
      <c r="L92" s="203">
        <v>7324.4940201585996</v>
      </c>
      <c r="M92" s="203">
        <v>8255.9490217677885</v>
      </c>
      <c r="N92" s="201"/>
      <c r="O92" s="42"/>
      <c r="P92" s="38"/>
      <c r="Q92" s="38"/>
      <c r="R92" s="38"/>
      <c r="S92" s="38"/>
      <c r="T92" s="38"/>
      <c r="U92" s="38"/>
      <c r="V92" s="38"/>
      <c r="W92" s="38"/>
      <c r="X92" s="38"/>
      <c r="Y92" s="201"/>
      <c r="AA92" s="38"/>
      <c r="AB92" s="38"/>
      <c r="AC92" s="38"/>
      <c r="AD92" s="38"/>
      <c r="AE92" s="38"/>
      <c r="AF92" s="38"/>
      <c r="AG92" s="38"/>
      <c r="AH92" s="38"/>
      <c r="AI92" s="38"/>
      <c r="AK92" s="38"/>
      <c r="AL92" s="38"/>
      <c r="AM92" s="38"/>
      <c r="AN92" s="38"/>
      <c r="AO92" s="38"/>
      <c r="AP92" s="38"/>
      <c r="AQ92" s="38"/>
      <c r="AR92" s="38"/>
      <c r="AS92" s="38"/>
      <c r="AU92" s="38"/>
      <c r="AV92" s="38"/>
      <c r="AW92" s="38"/>
      <c r="AX92" s="38"/>
      <c r="AY92" s="38"/>
      <c r="AZ92" s="38"/>
      <c r="BA92" s="38"/>
      <c r="BB92" s="38"/>
      <c r="BC92" s="38"/>
      <c r="BD92" s="201"/>
      <c r="BF92" s="38"/>
      <c r="BG92" s="38"/>
      <c r="BH92" s="38"/>
      <c r="BI92" s="38"/>
      <c r="BJ92" s="38"/>
      <c r="BK92" s="38"/>
      <c r="BL92" s="38"/>
      <c r="BM92" s="38"/>
      <c r="BN92" s="38"/>
    </row>
    <row r="93" spans="2:67" s="64" customFormat="1" x14ac:dyDescent="0.3">
      <c r="C93" s="65" t="s">
        <v>189</v>
      </c>
      <c r="D93" s="77"/>
      <c r="E93" s="203"/>
      <c r="F93" s="203">
        <v>762</v>
      </c>
      <c r="G93" s="203">
        <v>803</v>
      </c>
      <c r="H93" s="203">
        <v>846</v>
      </c>
      <c r="I93" s="203">
        <v>598</v>
      </c>
      <c r="J93" s="203">
        <v>711.88063199999999</v>
      </c>
      <c r="K93" s="203">
        <f>1263.50914725-J93</f>
        <v>551.62851525000008</v>
      </c>
      <c r="L93" s="203">
        <v>770.49085274999993</v>
      </c>
      <c r="M93" s="203">
        <v>637.54617825000014</v>
      </c>
      <c r="N93" s="201"/>
      <c r="O93" s="42"/>
      <c r="P93" s="38"/>
      <c r="Q93" s="38"/>
      <c r="R93" s="38"/>
      <c r="S93" s="38"/>
      <c r="T93" s="38"/>
      <c r="U93" s="38"/>
      <c r="V93" s="38"/>
      <c r="W93" s="38"/>
      <c r="X93" s="38"/>
      <c r="Y93" s="201"/>
      <c r="AA93" s="38"/>
      <c r="AB93" s="38"/>
      <c r="AC93" s="38"/>
      <c r="AD93" s="38"/>
      <c r="AE93" s="38"/>
      <c r="AF93" s="38"/>
      <c r="AG93" s="38"/>
      <c r="AH93" s="38"/>
      <c r="AI93" s="38"/>
      <c r="AK93" s="38"/>
      <c r="AL93" s="38"/>
      <c r="AM93" s="38"/>
      <c r="AN93" s="38"/>
      <c r="AO93" s="38"/>
      <c r="AP93" s="38"/>
      <c r="AQ93" s="38"/>
      <c r="AR93" s="38"/>
      <c r="AS93" s="38"/>
      <c r="AU93" s="38"/>
      <c r="AV93" s="38"/>
      <c r="AW93" s="38"/>
      <c r="AX93" s="38"/>
      <c r="AY93" s="38"/>
      <c r="AZ93" s="38"/>
      <c r="BA93" s="38"/>
      <c r="BB93" s="38"/>
      <c r="BC93" s="38"/>
      <c r="BD93" s="201"/>
      <c r="BF93" s="38"/>
      <c r="BG93" s="38"/>
      <c r="BH93" s="38"/>
      <c r="BI93" s="38"/>
      <c r="BJ93" s="38"/>
      <c r="BK93" s="38"/>
      <c r="BL93" s="38"/>
      <c r="BM93" s="38"/>
      <c r="BN93" s="38"/>
    </row>
    <row r="94" spans="2:67" s="64" customFormat="1" x14ac:dyDescent="0.3">
      <c r="C94" s="65" t="s">
        <v>211</v>
      </c>
      <c r="D94" s="77"/>
      <c r="E94" s="203"/>
      <c r="F94" s="203">
        <v>7494</v>
      </c>
      <c r="G94" s="203">
        <v>118</v>
      </c>
      <c r="H94" s="203">
        <v>24269.7678910879</v>
      </c>
      <c r="I94" s="203">
        <v>3457.5075795555799</v>
      </c>
      <c r="J94" s="203">
        <v>-13968.901894048209</v>
      </c>
      <c r="K94" s="203">
        <v>2273.2882862796087</v>
      </c>
      <c r="L94" s="203">
        <v>24157.613607768602</v>
      </c>
      <c r="M94" s="203">
        <v>25235.900213123423</v>
      </c>
      <c r="N94" s="201"/>
      <c r="O94" s="42"/>
      <c r="P94" s="38"/>
      <c r="Q94" s="38"/>
      <c r="R94" s="38"/>
      <c r="S94" s="38"/>
      <c r="T94" s="38"/>
      <c r="U94" s="38"/>
      <c r="V94" s="38"/>
      <c r="W94" s="38"/>
      <c r="X94" s="38"/>
      <c r="Y94" s="201"/>
      <c r="AA94" s="38"/>
      <c r="AB94" s="38"/>
      <c r="AC94" s="38"/>
      <c r="AD94" s="38"/>
      <c r="AE94" s="38"/>
      <c r="AF94" s="38"/>
      <c r="AG94" s="38"/>
      <c r="AH94" s="38"/>
      <c r="AI94" s="38"/>
      <c r="AK94" s="38"/>
      <c r="AL94" s="38"/>
      <c r="AM94" s="38"/>
      <c r="AN94" s="38"/>
      <c r="AO94" s="38"/>
      <c r="AP94" s="38"/>
      <c r="AQ94" s="38"/>
      <c r="AR94" s="38"/>
      <c r="AS94" s="38"/>
      <c r="AU94" s="38"/>
      <c r="AV94" s="38"/>
      <c r="AW94" s="38"/>
      <c r="AX94" s="38"/>
      <c r="AY94" s="38"/>
      <c r="AZ94" s="38"/>
      <c r="BA94" s="38"/>
      <c r="BB94" s="38"/>
      <c r="BC94" s="38"/>
      <c r="BD94" s="201"/>
      <c r="BF94" s="38"/>
      <c r="BG94" s="38"/>
      <c r="BH94" s="38"/>
      <c r="BI94" s="38"/>
      <c r="BJ94" s="38"/>
      <c r="BK94" s="38"/>
      <c r="BL94" s="38"/>
      <c r="BM94" s="38"/>
      <c r="BN94" s="38"/>
    </row>
    <row r="95" spans="2:67" s="64" customFormat="1" x14ac:dyDescent="0.3">
      <c r="C95" s="65" t="s">
        <v>209</v>
      </c>
      <c r="D95" s="77"/>
      <c r="E95" s="203"/>
      <c r="F95" s="203">
        <v>-14800</v>
      </c>
      <c r="G95" s="203">
        <v>0</v>
      </c>
      <c r="H95" s="203">
        <v>0</v>
      </c>
      <c r="I95" s="203">
        <v>-7080</v>
      </c>
      <c r="J95" s="203">
        <v>0</v>
      </c>
      <c r="K95" s="203">
        <v>12500</v>
      </c>
      <c r="L95" s="203">
        <v>-6500</v>
      </c>
      <c r="M95" s="203">
        <v>-1000</v>
      </c>
      <c r="N95" s="201"/>
      <c r="O95" s="42"/>
      <c r="P95" s="38"/>
      <c r="Q95" s="38"/>
      <c r="R95" s="38"/>
      <c r="S95" s="38"/>
      <c r="T95" s="38"/>
      <c r="U95" s="38"/>
      <c r="V95" s="38"/>
      <c r="W95" s="38"/>
      <c r="X95" s="38"/>
      <c r="Y95" s="201"/>
      <c r="AA95" s="38"/>
      <c r="AB95" s="38"/>
      <c r="AC95" s="38"/>
      <c r="AD95" s="38"/>
      <c r="AE95" s="38"/>
      <c r="AF95" s="38"/>
      <c r="AG95" s="38"/>
      <c r="AH95" s="38"/>
      <c r="AI95" s="38"/>
      <c r="AK95" s="38"/>
      <c r="AL95" s="38"/>
      <c r="AM95" s="38"/>
      <c r="AN95" s="38"/>
      <c r="AO95" s="38"/>
      <c r="AP95" s="38"/>
      <c r="AQ95" s="38"/>
      <c r="AR95" s="38"/>
      <c r="AS95" s="38"/>
      <c r="AU95" s="38"/>
      <c r="AV95" s="38"/>
      <c r="AW95" s="38"/>
      <c r="AX95" s="38"/>
      <c r="AY95" s="38"/>
      <c r="AZ95" s="38"/>
      <c r="BA95" s="38"/>
      <c r="BB95" s="38"/>
      <c r="BC95" s="38"/>
      <c r="BD95" s="201"/>
      <c r="BF95" s="38"/>
      <c r="BG95" s="38"/>
      <c r="BH95" s="38"/>
      <c r="BI95" s="38"/>
      <c r="BJ95" s="38"/>
      <c r="BK95" s="38"/>
      <c r="BL95" s="38"/>
      <c r="BM95" s="38"/>
      <c r="BN95" s="38"/>
    </row>
    <row r="96" spans="2:67" s="64" customFormat="1" ht="13.5" thickBot="1" x14ac:dyDescent="0.35">
      <c r="C96" s="151" t="s">
        <v>171</v>
      </c>
      <c r="D96" s="152"/>
      <c r="E96" s="154"/>
      <c r="F96" s="154">
        <f t="shared" ref="F96:M96" si="197">SUM(F90:F95)</f>
        <v>27249.918611372428</v>
      </c>
      <c r="G96" s="154">
        <f t="shared" si="197"/>
        <v>169518.12826206116</v>
      </c>
      <c r="H96" s="154">
        <f t="shared" si="197"/>
        <v>300923.21694547893</v>
      </c>
      <c r="I96" s="154">
        <f t="shared" si="197"/>
        <v>272519.56022295513</v>
      </c>
      <c r="J96" s="154">
        <f t="shared" si="197"/>
        <v>66186.959035115491</v>
      </c>
      <c r="K96" s="154">
        <f t="shared" si="197"/>
        <v>97407.54260735448</v>
      </c>
      <c r="L96" s="154">
        <f t="shared" si="197"/>
        <v>115932.25067000912</v>
      </c>
      <c r="M96" s="154">
        <f t="shared" si="197"/>
        <v>195607.1636454828</v>
      </c>
      <c r="N96" s="175">
        <f>M96/I96-1</f>
        <v>-0.28222706845170442</v>
      </c>
      <c r="O96" s="132"/>
      <c r="P96" s="157"/>
      <c r="Q96" s="157"/>
      <c r="R96" s="157"/>
      <c r="S96" s="157"/>
      <c r="T96" s="157"/>
      <c r="U96" s="157"/>
      <c r="V96" s="157"/>
      <c r="W96" s="157"/>
      <c r="X96" s="157"/>
      <c r="Y96" s="204"/>
      <c r="AA96" s="157"/>
      <c r="AB96" s="157"/>
      <c r="AC96" s="157"/>
      <c r="AD96" s="157"/>
      <c r="AE96" s="157"/>
      <c r="AF96" s="157"/>
      <c r="AG96" s="157"/>
      <c r="AH96" s="157"/>
      <c r="AI96" s="157"/>
      <c r="AK96" s="157"/>
      <c r="AL96" s="157"/>
      <c r="AM96" s="157"/>
      <c r="AN96" s="157"/>
      <c r="AO96" s="157"/>
      <c r="AP96" s="157"/>
      <c r="AQ96" s="157"/>
      <c r="AR96" s="157"/>
      <c r="AS96" s="157"/>
      <c r="AU96" s="157"/>
      <c r="AV96" s="157"/>
      <c r="AW96" s="157"/>
      <c r="AX96" s="157"/>
      <c r="AY96" s="157"/>
      <c r="AZ96" s="157"/>
      <c r="BA96" s="157"/>
      <c r="BB96" s="157"/>
      <c r="BC96" s="157"/>
      <c r="BD96" s="204"/>
      <c r="BF96" s="157"/>
      <c r="BG96" s="157"/>
      <c r="BH96" s="157"/>
      <c r="BI96" s="157"/>
      <c r="BJ96" s="157"/>
      <c r="BK96" s="157"/>
      <c r="BL96" s="157"/>
      <c r="BM96" s="157"/>
      <c r="BN96" s="157"/>
    </row>
    <row r="97" spans="2:67" ht="15" thickTop="1" x14ac:dyDescent="0.35">
      <c r="C97" s="45"/>
      <c r="D97" s="112"/>
      <c r="E97" s="228"/>
      <c r="F97" s="297"/>
      <c r="G97" s="297"/>
      <c r="H97" s="297"/>
      <c r="I97" s="297"/>
      <c r="J97" s="228"/>
      <c r="K97" s="228"/>
      <c r="L97" s="228"/>
      <c r="M97" s="228"/>
      <c r="N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AA97" s="62"/>
      <c r="AB97" s="62"/>
      <c r="AC97" s="62"/>
      <c r="AD97" s="62"/>
      <c r="AE97" s="62"/>
      <c r="AF97" s="62"/>
      <c r="AG97" s="62"/>
      <c r="AH97" s="62"/>
      <c r="AI97" s="62"/>
      <c r="AK97" s="62"/>
      <c r="AL97" s="62"/>
      <c r="AM97" s="62"/>
      <c r="AN97" s="62"/>
      <c r="AO97" s="62"/>
      <c r="AP97" s="62"/>
      <c r="AQ97" s="62"/>
      <c r="AR97" s="62"/>
      <c r="AS97" s="62"/>
      <c r="AU97" s="62"/>
      <c r="AV97" s="62"/>
      <c r="AW97" s="62"/>
      <c r="AX97" s="62"/>
      <c r="AY97" s="62"/>
      <c r="AZ97" s="62"/>
      <c r="BA97" s="62"/>
      <c r="BB97" s="62"/>
      <c r="BC97" s="62"/>
      <c r="BD97" s="62"/>
      <c r="BF97" s="62"/>
      <c r="BG97" s="62"/>
      <c r="BH97" s="62"/>
      <c r="BI97" s="62"/>
      <c r="BJ97" s="62"/>
      <c r="BK97" s="62"/>
      <c r="BL97" s="62"/>
      <c r="BM97" s="62"/>
      <c r="BN97" s="62"/>
    </row>
    <row r="98" spans="2:67" s="32" customFormat="1" x14ac:dyDescent="0.3">
      <c r="B98" s="29"/>
      <c r="C98" s="30" t="s">
        <v>102</v>
      </c>
      <c r="D98" s="30"/>
      <c r="E98" s="31"/>
      <c r="F98" s="31"/>
      <c r="G98" s="31"/>
      <c r="H98" s="31"/>
      <c r="I98" s="31"/>
      <c r="J98" s="31"/>
      <c r="K98" s="31"/>
      <c r="L98" s="31"/>
      <c r="M98" s="31"/>
      <c r="N98" s="180"/>
      <c r="P98" s="31"/>
      <c r="Q98" s="31"/>
      <c r="R98" s="31"/>
      <c r="S98" s="31"/>
      <c r="T98" s="31"/>
      <c r="U98" s="31"/>
      <c r="V98" s="31"/>
      <c r="W98" s="31"/>
      <c r="X98" s="31"/>
      <c r="Y98" s="180"/>
      <c r="Z98" s="36"/>
      <c r="AA98" s="31"/>
      <c r="AB98" s="31"/>
      <c r="AC98" s="31"/>
      <c r="AD98" s="31"/>
      <c r="AE98" s="31"/>
      <c r="AF98" s="31"/>
      <c r="AG98" s="31"/>
      <c r="AH98" s="31"/>
      <c r="AI98" s="31"/>
      <c r="AJ98" s="36"/>
      <c r="AK98" s="31"/>
      <c r="AL98" s="31"/>
      <c r="AM98" s="31"/>
      <c r="AN98" s="31"/>
      <c r="AO98" s="31"/>
      <c r="AP98" s="31"/>
      <c r="AQ98" s="31"/>
      <c r="AR98" s="31"/>
      <c r="AS98" s="31"/>
      <c r="AT98" s="36"/>
      <c r="AU98" s="31"/>
      <c r="AV98" s="31"/>
      <c r="AW98" s="31"/>
      <c r="AX98" s="31"/>
      <c r="AY98" s="31"/>
      <c r="AZ98" s="31"/>
      <c r="BA98" s="31"/>
      <c r="BB98" s="31"/>
      <c r="BC98" s="31"/>
      <c r="BD98" s="180"/>
      <c r="BE98" s="36"/>
      <c r="BF98" s="31"/>
      <c r="BG98" s="31"/>
      <c r="BH98" s="31"/>
      <c r="BI98" s="31"/>
      <c r="BJ98" s="31"/>
      <c r="BK98" s="31"/>
      <c r="BL98" s="31"/>
      <c r="BM98" s="31"/>
      <c r="BN98" s="31"/>
      <c r="BO98" s="36"/>
    </row>
    <row r="99" spans="2:67" s="35" customFormat="1" x14ac:dyDescent="0.3">
      <c r="B99" s="33"/>
      <c r="C99" s="63" t="s">
        <v>103</v>
      </c>
      <c r="D99" s="63"/>
      <c r="E99" s="34"/>
      <c r="F99" s="34"/>
      <c r="G99" s="34"/>
      <c r="H99" s="34"/>
      <c r="I99" s="34"/>
      <c r="J99" s="34"/>
      <c r="K99" s="34"/>
      <c r="L99" s="34"/>
      <c r="M99" s="34"/>
      <c r="N99" s="168"/>
      <c r="P99" s="34"/>
      <c r="Q99" s="34"/>
      <c r="R99" s="34"/>
      <c r="S99" s="34"/>
      <c r="T99" s="34"/>
      <c r="U99" s="34"/>
      <c r="V99" s="34"/>
      <c r="W99" s="34"/>
      <c r="X99" s="34"/>
      <c r="Y99" s="168"/>
      <c r="Z99" s="205"/>
      <c r="AA99" s="34"/>
      <c r="AB99" s="34"/>
      <c r="AC99" s="34"/>
      <c r="AD99" s="34"/>
      <c r="AE99" s="34"/>
      <c r="AF99" s="34"/>
      <c r="AG99" s="34"/>
      <c r="AH99" s="34"/>
      <c r="AI99" s="34"/>
      <c r="AJ99" s="205"/>
      <c r="AK99" s="34"/>
      <c r="AL99" s="34"/>
      <c r="AM99" s="34"/>
      <c r="AN99" s="34"/>
      <c r="AO99" s="34"/>
      <c r="AP99" s="34"/>
      <c r="AQ99" s="34"/>
      <c r="AR99" s="34"/>
      <c r="AS99" s="34"/>
      <c r="AT99" s="205"/>
      <c r="AU99" s="34"/>
      <c r="AV99" s="34"/>
      <c r="AW99" s="34"/>
      <c r="AX99" s="34"/>
      <c r="AY99" s="34"/>
      <c r="AZ99" s="34"/>
      <c r="BA99" s="34"/>
      <c r="BB99" s="34"/>
      <c r="BC99" s="34"/>
      <c r="BD99" s="168"/>
      <c r="BE99" s="205"/>
      <c r="BF99" s="34"/>
      <c r="BG99" s="34"/>
      <c r="BH99" s="34"/>
      <c r="BI99" s="34"/>
      <c r="BJ99" s="34"/>
      <c r="BK99" s="34"/>
      <c r="BL99" s="34"/>
      <c r="BM99" s="34"/>
      <c r="BN99" s="34"/>
      <c r="BO99" s="205"/>
    </row>
    <row r="100" spans="2:67" s="64" customFormat="1" x14ac:dyDescent="0.3">
      <c r="C100" s="65" t="s">
        <v>81</v>
      </c>
      <c r="D100" s="77"/>
      <c r="E100" s="69">
        <v>2904358.2520794603</v>
      </c>
      <c r="F100" s="69">
        <v>2877177.6644596034</v>
      </c>
      <c r="G100" s="69">
        <v>3030882.8155569583</v>
      </c>
      <c r="H100" s="69">
        <v>3240019.3214408178</v>
      </c>
      <c r="I100" s="69">
        <v>3477593.3382173507</v>
      </c>
      <c r="J100" s="69">
        <v>3517091.1799349301</v>
      </c>
      <c r="K100" s="69">
        <v>3585921.2430751338</v>
      </c>
      <c r="L100" s="69">
        <v>3669216.9327363432</v>
      </c>
      <c r="M100" s="69">
        <v>3823620.544339559</v>
      </c>
      <c r="N100" s="182">
        <f>M100/I100-1</f>
        <v>9.9501917696790176E-2</v>
      </c>
      <c r="O100" s="36"/>
      <c r="P100" s="67">
        <f>$E100</f>
        <v>2904358.2520794603</v>
      </c>
      <c r="Q100" s="67">
        <f>$F100</f>
        <v>2877177.6644596034</v>
      </c>
      <c r="R100" s="67">
        <f>$G100</f>
        <v>3030882.8155569583</v>
      </c>
      <c r="S100" s="67">
        <f>$H100</f>
        <v>3240019.3214408178</v>
      </c>
      <c r="T100" s="67">
        <f>$I100</f>
        <v>3477593.3382173507</v>
      </c>
      <c r="U100" s="67">
        <f>$J100</f>
        <v>3517091.1799349301</v>
      </c>
      <c r="V100" s="67">
        <f>$K100</f>
        <v>3585921.2430751338</v>
      </c>
      <c r="W100" s="67">
        <f>$L100</f>
        <v>3669216.9327363432</v>
      </c>
      <c r="X100" s="67">
        <f>$M100</f>
        <v>3823620.544339559</v>
      </c>
      <c r="Y100" s="182">
        <f>X100/T100-1</f>
        <v>9.9501917696790176E-2</v>
      </c>
      <c r="AA100" s="67">
        <f>$E100</f>
        <v>2904358.2520794603</v>
      </c>
      <c r="AB100" s="67">
        <f>$F100</f>
        <v>2877177.6644596034</v>
      </c>
      <c r="AC100" s="67">
        <f>$G100</f>
        <v>3030882.8155569583</v>
      </c>
      <c r="AD100" s="67">
        <f>$H100</f>
        <v>3240019.3214408178</v>
      </c>
      <c r="AE100" s="67">
        <f>$I100</f>
        <v>3477593.3382173507</v>
      </c>
      <c r="AF100" s="67">
        <f>$J100</f>
        <v>3517091.1799349301</v>
      </c>
      <c r="AG100" s="67">
        <f>$K100</f>
        <v>3585921.2430751338</v>
      </c>
      <c r="AH100" s="67">
        <f>$L100</f>
        <v>3669216.9327363432</v>
      </c>
      <c r="AI100" s="67">
        <f>$M100</f>
        <v>3823620.544339559</v>
      </c>
      <c r="AK100" s="67">
        <f>$E100</f>
        <v>2904358.2520794603</v>
      </c>
      <c r="AL100" s="67">
        <f>$F100</f>
        <v>2877177.6644596034</v>
      </c>
      <c r="AM100" s="67">
        <f>$G100</f>
        <v>3030882.8155569583</v>
      </c>
      <c r="AN100" s="67">
        <f>$H100</f>
        <v>3240019.3214408178</v>
      </c>
      <c r="AO100" s="67">
        <f>$I100</f>
        <v>3477593.3382173507</v>
      </c>
      <c r="AP100" s="67">
        <f>$J100</f>
        <v>3517091.1799349301</v>
      </c>
      <c r="AQ100" s="67">
        <f>$K100</f>
        <v>3585921.2430751338</v>
      </c>
      <c r="AR100" s="67">
        <f>$L100</f>
        <v>3669216.9327363432</v>
      </c>
      <c r="AS100" s="67">
        <f>$M100</f>
        <v>3823620.544339559</v>
      </c>
      <c r="AU100" s="67">
        <f>$E100</f>
        <v>2904358.2520794603</v>
      </c>
      <c r="AV100" s="67">
        <f>$F100</f>
        <v>2877177.6644596034</v>
      </c>
      <c r="AW100" s="67">
        <f>$G100</f>
        <v>3030882.8155569583</v>
      </c>
      <c r="AX100" s="67">
        <f>$H100</f>
        <v>3240019.3214408178</v>
      </c>
      <c r="AY100" s="67">
        <f>$I100</f>
        <v>3477593.3382173507</v>
      </c>
      <c r="AZ100" s="67">
        <f>$J100</f>
        <v>3517091.1799349301</v>
      </c>
      <c r="BA100" s="67">
        <f>$K100</f>
        <v>3585921.2430751338</v>
      </c>
      <c r="BB100" s="67">
        <f>$L100</f>
        <v>3669216.9327363432</v>
      </c>
      <c r="BC100" s="67">
        <f>$M100</f>
        <v>3823620.544339559</v>
      </c>
      <c r="BD100" s="182">
        <f>BC100/AY100-1</f>
        <v>9.9501917696790176E-2</v>
      </c>
      <c r="BF100" s="67">
        <f>$E100</f>
        <v>2904358.2520794603</v>
      </c>
      <c r="BG100" s="67">
        <f>$F100</f>
        <v>2877177.6644596034</v>
      </c>
      <c r="BH100" s="67">
        <f>$G100</f>
        <v>3030882.8155569583</v>
      </c>
      <c r="BI100" s="67">
        <f>$H100</f>
        <v>3240019.3214408178</v>
      </c>
      <c r="BJ100" s="67">
        <f>$I100</f>
        <v>3477593.3382173507</v>
      </c>
      <c r="BK100" s="67">
        <f>$J100</f>
        <v>3517091.1799349301</v>
      </c>
      <c r="BL100" s="67">
        <f>$K100</f>
        <v>3585921.2430751338</v>
      </c>
      <c r="BM100" s="67">
        <f>$L100</f>
        <v>3669216.9327363432</v>
      </c>
      <c r="BN100" s="67">
        <f>$M100</f>
        <v>3823620.544339559</v>
      </c>
    </row>
    <row r="101" spans="2:67" s="64" customFormat="1" x14ac:dyDescent="0.3">
      <c r="C101" s="65" t="s">
        <v>82</v>
      </c>
      <c r="D101" s="77"/>
      <c r="E101" s="67">
        <f t="shared" ref="E101:J101" si="198">E100-E102-E103</f>
        <v>2617152.4164260603</v>
      </c>
      <c r="F101" s="67">
        <f t="shared" si="198"/>
        <v>2589880.151902603</v>
      </c>
      <c r="G101" s="67">
        <f t="shared" si="198"/>
        <v>2686885.5831719586</v>
      </c>
      <c r="H101" s="67">
        <f t="shared" si="198"/>
        <v>2872729.2339001177</v>
      </c>
      <c r="I101" s="67">
        <f t="shared" si="198"/>
        <v>3089561.8947073505</v>
      </c>
      <c r="J101" s="67">
        <f t="shared" si="198"/>
        <v>3110570.5536901299</v>
      </c>
      <c r="K101" s="67">
        <f>K100-K102-K103</f>
        <v>3122639.0331602911</v>
      </c>
      <c r="L101" s="67">
        <f>L100-L102-L103</f>
        <v>3128954.8249305324</v>
      </c>
      <c r="M101" s="67">
        <f>M100-M102-M103</f>
        <v>3120530.8802840034</v>
      </c>
      <c r="N101" s="183">
        <f>M101/I101-1</f>
        <v>1.0023746612652484E-2</v>
      </c>
      <c r="O101" s="36"/>
      <c r="P101" s="67">
        <f>$E101</f>
        <v>2617152.4164260603</v>
      </c>
      <c r="Q101" s="67">
        <f>$F101</f>
        <v>2589880.151902603</v>
      </c>
      <c r="R101" s="67">
        <f>$G101</f>
        <v>2686885.5831719586</v>
      </c>
      <c r="S101" s="67">
        <f>$H101</f>
        <v>2872729.2339001177</v>
      </c>
      <c r="T101" s="67">
        <f>$I101</f>
        <v>3089561.8947073505</v>
      </c>
      <c r="U101" s="67">
        <f>$J101</f>
        <v>3110570.5536901299</v>
      </c>
      <c r="V101" s="67">
        <f t="shared" ref="V101:X108" si="199">$K101</f>
        <v>3122639.0331602911</v>
      </c>
      <c r="W101" s="67">
        <f>$L101</f>
        <v>3128954.8249305324</v>
      </c>
      <c r="X101" s="67">
        <f>$M101</f>
        <v>3120530.8802840034</v>
      </c>
      <c r="Y101" s="183">
        <f>X101/T101-1</f>
        <v>1.0023746612652484E-2</v>
      </c>
      <c r="AA101" s="67">
        <f>$E101</f>
        <v>2617152.4164260603</v>
      </c>
      <c r="AB101" s="67">
        <f>$F101</f>
        <v>2589880.151902603</v>
      </c>
      <c r="AC101" s="67">
        <f>$G101</f>
        <v>2686885.5831719586</v>
      </c>
      <c r="AD101" s="67">
        <f>$H101</f>
        <v>2872729.2339001177</v>
      </c>
      <c r="AE101" s="67">
        <f>$I101</f>
        <v>3089561.8947073505</v>
      </c>
      <c r="AF101" s="67">
        <f>$J101</f>
        <v>3110570.5536901299</v>
      </c>
      <c r="AG101" s="67">
        <f t="shared" ref="AG101:AI108" si="200">$K101</f>
        <v>3122639.0331602911</v>
      </c>
      <c r="AH101" s="67">
        <f>$L101</f>
        <v>3128954.8249305324</v>
      </c>
      <c r="AI101" s="67">
        <f>$M101</f>
        <v>3120530.8802840034</v>
      </c>
      <c r="AK101" s="67">
        <f>$E101</f>
        <v>2617152.4164260603</v>
      </c>
      <c r="AL101" s="67">
        <f>$F101</f>
        <v>2589880.151902603</v>
      </c>
      <c r="AM101" s="67">
        <f>$G101</f>
        <v>2686885.5831719586</v>
      </c>
      <c r="AN101" s="67">
        <f>$H101</f>
        <v>2872729.2339001177</v>
      </c>
      <c r="AO101" s="67">
        <f>$I101</f>
        <v>3089561.8947073505</v>
      </c>
      <c r="AP101" s="67">
        <f>$J101</f>
        <v>3110570.5536901299</v>
      </c>
      <c r="AQ101" s="67">
        <f t="shared" ref="AQ101:AS108" si="201">$K101</f>
        <v>3122639.0331602911</v>
      </c>
      <c r="AR101" s="67">
        <f>$L101</f>
        <v>3128954.8249305324</v>
      </c>
      <c r="AS101" s="67">
        <f>$M101</f>
        <v>3120530.8802840034</v>
      </c>
      <c r="AU101" s="67">
        <f>$E101</f>
        <v>2617152.4164260603</v>
      </c>
      <c r="AV101" s="67">
        <f>$F101</f>
        <v>2589880.151902603</v>
      </c>
      <c r="AW101" s="67">
        <f>$G101</f>
        <v>2686885.5831719586</v>
      </c>
      <c r="AX101" s="67">
        <f>$H101</f>
        <v>2872729.2339001177</v>
      </c>
      <c r="AY101" s="67">
        <f>$I101</f>
        <v>3089561.8947073505</v>
      </c>
      <c r="AZ101" s="67">
        <f>$J101</f>
        <v>3110570.5536901299</v>
      </c>
      <c r="BA101" s="67">
        <f t="shared" ref="BA101:BC108" si="202">$K101</f>
        <v>3122639.0331602911</v>
      </c>
      <c r="BB101" s="67">
        <f>$L101</f>
        <v>3128954.8249305324</v>
      </c>
      <c r="BC101" s="67">
        <f>$M101</f>
        <v>3120530.8802840034</v>
      </c>
      <c r="BD101" s="183">
        <f>BC101/AY101-1</f>
        <v>1.0023746612652484E-2</v>
      </c>
      <c r="BF101" s="67">
        <f>$E101</f>
        <v>2617152.4164260603</v>
      </c>
      <c r="BG101" s="67">
        <f>$F101</f>
        <v>2589880.151902603</v>
      </c>
      <c r="BH101" s="67">
        <f>$G101</f>
        <v>2686885.5831719586</v>
      </c>
      <c r="BI101" s="67">
        <f>$H101</f>
        <v>2872729.2339001177</v>
      </c>
      <c r="BJ101" s="67">
        <f>$I101</f>
        <v>3089561.8947073505</v>
      </c>
      <c r="BK101" s="67">
        <f>$J101</f>
        <v>3110570.5536901299</v>
      </c>
      <c r="BL101" s="67">
        <f t="shared" ref="BL101:BN108" si="203">$K101</f>
        <v>3122639.0331602911</v>
      </c>
      <c r="BM101" s="67">
        <f>$L101</f>
        <v>3128954.8249305324</v>
      </c>
      <c r="BN101" s="67">
        <f>$M101</f>
        <v>3120530.8802840034</v>
      </c>
    </row>
    <row r="102" spans="2:67" s="64" customFormat="1" x14ac:dyDescent="0.3">
      <c r="C102" s="65" t="s">
        <v>80</v>
      </c>
      <c r="D102" s="77"/>
      <c r="E102" s="69">
        <v>264738.25029579998</v>
      </c>
      <c r="F102" s="69">
        <v>278924.79886099999</v>
      </c>
      <c r="G102" s="69">
        <v>331374.45230499998</v>
      </c>
      <c r="H102" s="69">
        <v>345595.06361269997</v>
      </c>
      <c r="I102" s="69">
        <v>360908.93478200003</v>
      </c>
      <c r="J102" s="69">
        <v>397189.52574879996</v>
      </c>
      <c r="K102" s="69">
        <v>467120.6857228427</v>
      </c>
      <c r="L102" s="69">
        <v>541144.85947781126</v>
      </c>
      <c r="M102" s="69">
        <v>700118.09385555552</v>
      </c>
      <c r="N102" s="182">
        <f>M102/I102-1</f>
        <v>0.93987465086850275</v>
      </c>
      <c r="O102" s="36"/>
      <c r="P102" s="67">
        <f>$E102</f>
        <v>264738.25029579998</v>
      </c>
      <c r="Q102" s="67">
        <f>$F102</f>
        <v>278924.79886099999</v>
      </c>
      <c r="R102" s="67">
        <f>$G102</f>
        <v>331374.45230499998</v>
      </c>
      <c r="S102" s="67">
        <f>$H102</f>
        <v>345595.06361269997</v>
      </c>
      <c r="T102" s="67">
        <f>$I102</f>
        <v>360908.93478200003</v>
      </c>
      <c r="U102" s="67">
        <f>$J102</f>
        <v>397189.52574879996</v>
      </c>
      <c r="V102" s="67">
        <f t="shared" si="199"/>
        <v>467120.6857228427</v>
      </c>
      <c r="W102" s="67">
        <f>$L102</f>
        <v>541144.85947781126</v>
      </c>
      <c r="X102" s="67">
        <f>$M102</f>
        <v>700118.09385555552</v>
      </c>
      <c r="Y102" s="182">
        <f>X102/T102-1</f>
        <v>0.93987465086850275</v>
      </c>
      <c r="AA102" s="67">
        <f>$E102</f>
        <v>264738.25029579998</v>
      </c>
      <c r="AB102" s="67">
        <f>$F102</f>
        <v>278924.79886099999</v>
      </c>
      <c r="AC102" s="67">
        <f>$G102</f>
        <v>331374.45230499998</v>
      </c>
      <c r="AD102" s="67">
        <f>$H102</f>
        <v>345595.06361269997</v>
      </c>
      <c r="AE102" s="67">
        <f>$I102</f>
        <v>360908.93478200003</v>
      </c>
      <c r="AF102" s="67">
        <f>$J102</f>
        <v>397189.52574879996</v>
      </c>
      <c r="AG102" s="67">
        <f t="shared" si="200"/>
        <v>467120.6857228427</v>
      </c>
      <c r="AH102" s="67">
        <f>$L102</f>
        <v>541144.85947781126</v>
      </c>
      <c r="AI102" s="67">
        <f>$M102</f>
        <v>700118.09385555552</v>
      </c>
      <c r="AK102" s="67">
        <f>$E102</f>
        <v>264738.25029579998</v>
      </c>
      <c r="AL102" s="67">
        <f>$F102</f>
        <v>278924.79886099999</v>
      </c>
      <c r="AM102" s="67">
        <f>$G102</f>
        <v>331374.45230499998</v>
      </c>
      <c r="AN102" s="67">
        <f>$H102</f>
        <v>345595.06361269997</v>
      </c>
      <c r="AO102" s="67">
        <f>$I102</f>
        <v>360908.93478200003</v>
      </c>
      <c r="AP102" s="67">
        <f>$J102</f>
        <v>397189.52574879996</v>
      </c>
      <c r="AQ102" s="67">
        <f t="shared" si="201"/>
        <v>467120.6857228427</v>
      </c>
      <c r="AR102" s="67">
        <f>$L102</f>
        <v>541144.85947781126</v>
      </c>
      <c r="AS102" s="67">
        <f>$M102</f>
        <v>700118.09385555552</v>
      </c>
      <c r="AU102" s="67">
        <f>$E102</f>
        <v>264738.25029579998</v>
      </c>
      <c r="AV102" s="67">
        <f>$F102</f>
        <v>278924.79886099999</v>
      </c>
      <c r="AW102" s="67">
        <f>$G102</f>
        <v>331374.45230499998</v>
      </c>
      <c r="AX102" s="67">
        <f>$H102</f>
        <v>345595.06361269997</v>
      </c>
      <c r="AY102" s="67">
        <f>$I102</f>
        <v>360908.93478200003</v>
      </c>
      <c r="AZ102" s="67">
        <f>$J102</f>
        <v>397189.52574879996</v>
      </c>
      <c r="BA102" s="67">
        <f t="shared" si="202"/>
        <v>467120.6857228427</v>
      </c>
      <c r="BB102" s="67">
        <f>$L102</f>
        <v>541144.85947781126</v>
      </c>
      <c r="BC102" s="67">
        <f>$M102</f>
        <v>700118.09385555552</v>
      </c>
      <c r="BD102" s="182">
        <f>BC102/AY102-1</f>
        <v>0.93987465086850275</v>
      </c>
      <c r="BF102" s="67">
        <f>$E102</f>
        <v>264738.25029579998</v>
      </c>
      <c r="BG102" s="67">
        <f>$F102</f>
        <v>278924.79886099999</v>
      </c>
      <c r="BH102" s="67">
        <f>$G102</f>
        <v>331374.45230499998</v>
      </c>
      <c r="BI102" s="67">
        <f>$H102</f>
        <v>345595.06361269997</v>
      </c>
      <c r="BJ102" s="67">
        <f>$I102</f>
        <v>360908.93478200003</v>
      </c>
      <c r="BK102" s="67">
        <f>$J102</f>
        <v>397189.52574879996</v>
      </c>
      <c r="BL102" s="67">
        <f t="shared" si="203"/>
        <v>467120.6857228427</v>
      </c>
      <c r="BM102" s="67">
        <f>$L102</f>
        <v>541144.85947781126</v>
      </c>
      <c r="BN102" s="67">
        <f>$M102</f>
        <v>700118.09385555552</v>
      </c>
    </row>
    <row r="103" spans="2:67" s="64" customFormat="1" x14ac:dyDescent="0.3">
      <c r="C103" s="105" t="s">
        <v>190</v>
      </c>
      <c r="D103" s="128"/>
      <c r="E103" s="210">
        <v>22467.585357600008</v>
      </c>
      <c r="F103" s="210">
        <v>8372.7136959999971</v>
      </c>
      <c r="G103" s="210">
        <v>12622.780079999993</v>
      </c>
      <c r="H103" s="210">
        <v>21695.023927999988</v>
      </c>
      <c r="I103" s="210">
        <v>27122.508728000004</v>
      </c>
      <c r="J103" s="210">
        <v>9331.1004959999937</v>
      </c>
      <c r="K103" s="210">
        <v>-3838.4758080000074</v>
      </c>
      <c r="L103" s="210">
        <v>-882.75167200001852</v>
      </c>
      <c r="M103" s="210">
        <v>2971.5701999999665</v>
      </c>
      <c r="N103" s="211">
        <f>M103/I103-1</f>
        <v>-0.89043896234671471</v>
      </c>
      <c r="O103" s="36"/>
      <c r="P103" s="67">
        <f>$E103</f>
        <v>22467.585357600008</v>
      </c>
      <c r="Q103" s="67">
        <f>$F103</f>
        <v>8372.7136959999971</v>
      </c>
      <c r="R103" s="67">
        <f>$G103</f>
        <v>12622.780079999993</v>
      </c>
      <c r="S103" s="67">
        <f>$H103</f>
        <v>21695.023927999988</v>
      </c>
      <c r="T103" s="67">
        <f>$I103</f>
        <v>27122.508728000004</v>
      </c>
      <c r="U103" s="67">
        <f>$J103</f>
        <v>9331.1004959999937</v>
      </c>
      <c r="V103" s="67">
        <f t="shared" si="199"/>
        <v>-3838.4758080000074</v>
      </c>
      <c r="W103" s="67">
        <f>$L103</f>
        <v>-882.75167200001852</v>
      </c>
      <c r="X103" s="67">
        <f>$M103</f>
        <v>2971.5701999999665</v>
      </c>
      <c r="Y103" s="211">
        <f>X103/T103-1</f>
        <v>-0.89043896234671471</v>
      </c>
      <c r="AA103" s="67">
        <f>$E103</f>
        <v>22467.585357600008</v>
      </c>
      <c r="AB103" s="67">
        <f>$F103</f>
        <v>8372.7136959999971</v>
      </c>
      <c r="AC103" s="67">
        <f>$G103</f>
        <v>12622.780079999993</v>
      </c>
      <c r="AD103" s="67">
        <f>$H103</f>
        <v>21695.023927999988</v>
      </c>
      <c r="AE103" s="67">
        <f>$I103</f>
        <v>27122.508728000004</v>
      </c>
      <c r="AF103" s="67">
        <f>$J103</f>
        <v>9331.1004959999937</v>
      </c>
      <c r="AG103" s="67">
        <f t="shared" si="200"/>
        <v>-3838.4758080000074</v>
      </c>
      <c r="AH103" s="67">
        <f>$L103</f>
        <v>-882.75167200001852</v>
      </c>
      <c r="AI103" s="67">
        <f>$M103</f>
        <v>2971.5701999999665</v>
      </c>
      <c r="AK103" s="67">
        <f>$E103</f>
        <v>22467.585357600008</v>
      </c>
      <c r="AL103" s="67">
        <f>$F103</f>
        <v>8372.7136959999971</v>
      </c>
      <c r="AM103" s="67">
        <f>$G103</f>
        <v>12622.780079999993</v>
      </c>
      <c r="AN103" s="67">
        <f>$H103</f>
        <v>21695.023927999988</v>
      </c>
      <c r="AO103" s="67">
        <f>$I103</f>
        <v>27122.508728000004</v>
      </c>
      <c r="AP103" s="67">
        <f>$J103</f>
        <v>9331.1004959999937</v>
      </c>
      <c r="AQ103" s="67">
        <f t="shared" si="201"/>
        <v>-3838.4758080000074</v>
      </c>
      <c r="AR103" s="67">
        <f>$L103</f>
        <v>-882.75167200001852</v>
      </c>
      <c r="AS103" s="67">
        <f>$M103</f>
        <v>2971.5701999999665</v>
      </c>
      <c r="AU103" s="67">
        <f>$E103</f>
        <v>22467.585357600008</v>
      </c>
      <c r="AV103" s="67">
        <f>$F103</f>
        <v>8372.7136959999971</v>
      </c>
      <c r="AW103" s="67">
        <f>$G103</f>
        <v>12622.780079999993</v>
      </c>
      <c r="AX103" s="67">
        <f>$H103</f>
        <v>21695.023927999988</v>
      </c>
      <c r="AY103" s="67">
        <f>$I103</f>
        <v>27122.508728000004</v>
      </c>
      <c r="AZ103" s="67">
        <f>$J103</f>
        <v>9331.1004959999937</v>
      </c>
      <c r="BA103" s="67">
        <f t="shared" si="202"/>
        <v>-3838.4758080000074</v>
      </c>
      <c r="BB103" s="67">
        <f>$L103</f>
        <v>-882.75167200001852</v>
      </c>
      <c r="BC103" s="67">
        <f>$M103</f>
        <v>2971.5701999999665</v>
      </c>
      <c r="BD103" s="211">
        <f>BC103/AY103-1</f>
        <v>-0.89043896234671471</v>
      </c>
      <c r="BF103" s="67">
        <f>$E103</f>
        <v>22467.585357600008</v>
      </c>
      <c r="BG103" s="67">
        <f>$F103</f>
        <v>8372.7136959999971</v>
      </c>
      <c r="BH103" s="67">
        <f>$G103</f>
        <v>12622.780079999993</v>
      </c>
      <c r="BI103" s="67">
        <f>$H103</f>
        <v>21695.023927999988</v>
      </c>
      <c r="BJ103" s="67">
        <f>$I103</f>
        <v>27122.508728000004</v>
      </c>
      <c r="BK103" s="67">
        <f>$J103</f>
        <v>9331.1004959999937</v>
      </c>
      <c r="BL103" s="67">
        <f t="shared" si="203"/>
        <v>-3838.4758080000074</v>
      </c>
      <c r="BM103" s="67">
        <f>$L103</f>
        <v>-882.75167200001852</v>
      </c>
      <c r="BN103" s="67">
        <f>$M103</f>
        <v>2971.5701999999665</v>
      </c>
    </row>
    <row r="104" spans="2:67" x14ac:dyDescent="0.3">
      <c r="C104" s="71"/>
      <c r="D104" s="120"/>
      <c r="E104" s="68"/>
      <c r="F104" s="68"/>
      <c r="G104" s="68"/>
      <c r="H104" s="68"/>
      <c r="I104" s="68"/>
      <c r="J104" s="68"/>
      <c r="K104" s="68"/>
      <c r="L104" s="68"/>
      <c r="M104" s="68"/>
      <c r="N104" s="209"/>
      <c r="P104" s="70"/>
      <c r="Q104" s="70"/>
      <c r="R104" s="70"/>
      <c r="S104" s="70"/>
      <c r="T104" s="70"/>
      <c r="U104" s="70"/>
      <c r="V104" s="70"/>
      <c r="W104" s="70"/>
      <c r="X104" s="70"/>
      <c r="Y104" s="209"/>
      <c r="AA104" s="70"/>
      <c r="AB104" s="70"/>
      <c r="AC104" s="70"/>
      <c r="AD104" s="70"/>
      <c r="AE104" s="70"/>
      <c r="AF104" s="70"/>
      <c r="AG104" s="70"/>
      <c r="AH104" s="70"/>
      <c r="AI104" s="70"/>
      <c r="AK104" s="70"/>
      <c r="AL104" s="70"/>
      <c r="AM104" s="70"/>
      <c r="AN104" s="70"/>
      <c r="AO104" s="70"/>
      <c r="AP104" s="70"/>
      <c r="AQ104" s="70"/>
      <c r="AR104" s="70"/>
      <c r="AS104" s="70"/>
      <c r="AU104" s="70"/>
      <c r="AV104" s="70"/>
      <c r="AW104" s="70"/>
      <c r="AX104" s="70"/>
      <c r="AY104" s="70"/>
      <c r="AZ104" s="70"/>
      <c r="BA104" s="70"/>
      <c r="BB104" s="70"/>
      <c r="BC104" s="70"/>
      <c r="BD104" s="209"/>
      <c r="BF104" s="70"/>
      <c r="BG104" s="70"/>
      <c r="BH104" s="70"/>
      <c r="BI104" s="70"/>
      <c r="BJ104" s="70"/>
      <c r="BK104" s="70"/>
      <c r="BL104" s="70"/>
      <c r="BM104" s="70"/>
      <c r="BN104" s="70"/>
    </row>
    <row r="105" spans="2:67" s="64" customFormat="1" x14ac:dyDescent="0.3">
      <c r="C105" s="65" t="s">
        <v>129</v>
      </c>
      <c r="D105" s="77"/>
      <c r="E105" s="69">
        <v>2729428.4309264366</v>
      </c>
      <c r="F105" s="69">
        <v>2910821.0154680568</v>
      </c>
      <c r="G105" s="69">
        <v>2991536.189445117</v>
      </c>
      <c r="H105" s="69">
        <v>3150905.7901590713</v>
      </c>
      <c r="I105" s="69">
        <v>3376566.2494364046</v>
      </c>
      <c r="J105" s="69">
        <v>3422460.3596204841</v>
      </c>
      <c r="K105" s="69">
        <v>3502486.4824403781</v>
      </c>
      <c r="L105" s="69">
        <v>3657395.7525094468</v>
      </c>
      <c r="M105" s="69">
        <v>3666036.3520337963</v>
      </c>
      <c r="N105" s="182"/>
      <c r="O105" s="36"/>
      <c r="P105" s="67">
        <f>$E105</f>
        <v>2729428.4309264366</v>
      </c>
      <c r="Q105" s="67">
        <f>$F105</f>
        <v>2910821.0154680568</v>
      </c>
      <c r="R105" s="67">
        <f>$G105</f>
        <v>2991536.189445117</v>
      </c>
      <c r="S105" s="67">
        <f>$H105</f>
        <v>3150905.7901590713</v>
      </c>
      <c r="T105" s="67">
        <f>$I105</f>
        <v>3376566.2494364046</v>
      </c>
      <c r="U105" s="67">
        <f>$J105</f>
        <v>3422460.3596204841</v>
      </c>
      <c r="V105" s="67">
        <f t="shared" si="199"/>
        <v>3502486.4824403781</v>
      </c>
      <c r="W105" s="67">
        <f>$L105</f>
        <v>3657395.7525094468</v>
      </c>
      <c r="X105" s="67">
        <f>$M105</f>
        <v>3666036.3520337963</v>
      </c>
      <c r="Y105" s="182"/>
      <c r="AA105" s="67">
        <f>$E105</f>
        <v>2729428.4309264366</v>
      </c>
      <c r="AB105" s="67">
        <f>$F105</f>
        <v>2910821.0154680568</v>
      </c>
      <c r="AC105" s="67">
        <f>$G105</f>
        <v>2991536.189445117</v>
      </c>
      <c r="AD105" s="67">
        <f>$H105</f>
        <v>3150905.7901590713</v>
      </c>
      <c r="AE105" s="67">
        <f>$I105</f>
        <v>3376566.2494364046</v>
      </c>
      <c r="AF105" s="67">
        <f>$J105</f>
        <v>3422460.3596204841</v>
      </c>
      <c r="AG105" s="67">
        <f t="shared" si="200"/>
        <v>3502486.4824403781</v>
      </c>
      <c r="AH105" s="67">
        <f>$L105</f>
        <v>3657395.7525094468</v>
      </c>
      <c r="AI105" s="67">
        <f>$M105</f>
        <v>3666036.3520337963</v>
      </c>
      <c r="AK105" s="67">
        <f>$E105</f>
        <v>2729428.4309264366</v>
      </c>
      <c r="AL105" s="67">
        <f>$F105</f>
        <v>2910821.0154680568</v>
      </c>
      <c r="AM105" s="67">
        <f>$G105</f>
        <v>2991536.189445117</v>
      </c>
      <c r="AN105" s="67">
        <f>$H105</f>
        <v>3150905.7901590713</v>
      </c>
      <c r="AO105" s="67">
        <f>$I105</f>
        <v>3376566.2494364046</v>
      </c>
      <c r="AP105" s="67">
        <f>$J105</f>
        <v>3422460.3596204841</v>
      </c>
      <c r="AQ105" s="67">
        <f t="shared" si="201"/>
        <v>3502486.4824403781</v>
      </c>
      <c r="AR105" s="67">
        <f>$L105</f>
        <v>3657395.7525094468</v>
      </c>
      <c r="AS105" s="67">
        <f>$M105</f>
        <v>3666036.3520337963</v>
      </c>
      <c r="AU105" s="67">
        <f>$E105</f>
        <v>2729428.4309264366</v>
      </c>
      <c r="AV105" s="67">
        <f>$F105</f>
        <v>2910821.0154680568</v>
      </c>
      <c r="AW105" s="67">
        <f>$G105</f>
        <v>2991536.189445117</v>
      </c>
      <c r="AX105" s="67">
        <f>$H105</f>
        <v>3150905.7901590713</v>
      </c>
      <c r="AY105" s="67">
        <f>$I105</f>
        <v>3376566.2494364046</v>
      </c>
      <c r="AZ105" s="67">
        <f>$J105</f>
        <v>3422460.3596204841</v>
      </c>
      <c r="BA105" s="67">
        <f t="shared" si="202"/>
        <v>3502486.4824403781</v>
      </c>
      <c r="BB105" s="67">
        <f>$L105</f>
        <v>3657395.7525094468</v>
      </c>
      <c r="BC105" s="67">
        <f>$M105</f>
        <v>3666036.3520337963</v>
      </c>
      <c r="BD105" s="182"/>
      <c r="BF105" s="67">
        <f>$E105</f>
        <v>2729428.4309264366</v>
      </c>
      <c r="BG105" s="67">
        <f>$F105</f>
        <v>2910821.0154680568</v>
      </c>
      <c r="BH105" s="67">
        <f>$G105</f>
        <v>2991536.189445117</v>
      </c>
      <c r="BI105" s="67">
        <f>$H105</f>
        <v>3150905.7901590713</v>
      </c>
      <c r="BJ105" s="67">
        <f>$I105</f>
        <v>3376566.2494364046</v>
      </c>
      <c r="BK105" s="67">
        <f>$J105</f>
        <v>3422460.3596204841</v>
      </c>
      <c r="BL105" s="67">
        <f t="shared" si="203"/>
        <v>3502486.4824403781</v>
      </c>
      <c r="BM105" s="67">
        <f>$L105</f>
        <v>3657395.7525094468</v>
      </c>
      <c r="BN105" s="67">
        <f>$M105</f>
        <v>3666036.3520337963</v>
      </c>
    </row>
    <row r="106" spans="2:67" s="64" customFormat="1" x14ac:dyDescent="0.3">
      <c r="C106" s="65" t="s">
        <v>130</v>
      </c>
      <c r="D106" s="77"/>
      <c r="E106" s="67">
        <f t="shared" ref="E106:J106" si="204">E105-E107-E108</f>
        <v>2458233.5001276033</v>
      </c>
      <c r="F106" s="67">
        <f t="shared" si="204"/>
        <v>2605648.0564912567</v>
      </c>
      <c r="G106" s="67">
        <f t="shared" si="204"/>
        <v>2670961.6125002499</v>
      </c>
      <c r="H106" s="67">
        <f t="shared" si="204"/>
        <v>2793906.5022012717</v>
      </c>
      <c r="I106" s="67">
        <f t="shared" si="204"/>
        <v>2996409.7466547713</v>
      </c>
      <c r="J106" s="67">
        <f t="shared" si="204"/>
        <v>3010707.7845441508</v>
      </c>
      <c r="K106" s="67">
        <f>K105-K107-K108</f>
        <v>3076336.8884912306</v>
      </c>
      <c r="L106" s="67">
        <f>L105-L107-L108</f>
        <v>3117624.01235821</v>
      </c>
      <c r="M106" s="67">
        <f>M105-M107-M108</f>
        <v>3030638.5129362103</v>
      </c>
      <c r="N106" s="181"/>
      <c r="O106" s="36"/>
      <c r="P106" s="67">
        <f>$E106</f>
        <v>2458233.5001276033</v>
      </c>
      <c r="Q106" s="67">
        <f>$F106</f>
        <v>2605648.0564912567</v>
      </c>
      <c r="R106" s="67">
        <f>$G106</f>
        <v>2670961.6125002499</v>
      </c>
      <c r="S106" s="67">
        <f>$H106</f>
        <v>2793906.5022012717</v>
      </c>
      <c r="T106" s="67">
        <f>$I106</f>
        <v>2996409.7466547713</v>
      </c>
      <c r="U106" s="67">
        <f>$J106</f>
        <v>3010707.7845441508</v>
      </c>
      <c r="V106" s="67">
        <f t="shared" si="199"/>
        <v>3076336.8884912306</v>
      </c>
      <c r="W106" s="67">
        <f>$L106</f>
        <v>3117624.01235821</v>
      </c>
      <c r="X106" s="67">
        <f>$M106</f>
        <v>3030638.5129362103</v>
      </c>
      <c r="Y106" s="181"/>
      <c r="AA106" s="67">
        <f>$E106</f>
        <v>2458233.5001276033</v>
      </c>
      <c r="AB106" s="67">
        <f>$F106</f>
        <v>2605648.0564912567</v>
      </c>
      <c r="AC106" s="67">
        <f>$G106</f>
        <v>2670961.6125002499</v>
      </c>
      <c r="AD106" s="67">
        <f>$H106</f>
        <v>2793906.5022012717</v>
      </c>
      <c r="AE106" s="67">
        <f>$I106</f>
        <v>2996409.7466547713</v>
      </c>
      <c r="AF106" s="67">
        <f>$J106</f>
        <v>3010707.7845441508</v>
      </c>
      <c r="AG106" s="67">
        <f t="shared" si="200"/>
        <v>3076336.8884912306</v>
      </c>
      <c r="AH106" s="67">
        <f>$L106</f>
        <v>3117624.01235821</v>
      </c>
      <c r="AI106" s="67">
        <f>$M106</f>
        <v>3030638.5129362103</v>
      </c>
      <c r="AK106" s="67">
        <f>$E106</f>
        <v>2458233.5001276033</v>
      </c>
      <c r="AL106" s="67">
        <f>$F106</f>
        <v>2605648.0564912567</v>
      </c>
      <c r="AM106" s="67">
        <f>$G106</f>
        <v>2670961.6125002499</v>
      </c>
      <c r="AN106" s="67">
        <f>$H106</f>
        <v>2793906.5022012717</v>
      </c>
      <c r="AO106" s="67">
        <f>$I106</f>
        <v>2996409.7466547713</v>
      </c>
      <c r="AP106" s="67">
        <f>$J106</f>
        <v>3010707.7845441508</v>
      </c>
      <c r="AQ106" s="67">
        <f t="shared" si="201"/>
        <v>3076336.8884912306</v>
      </c>
      <c r="AR106" s="67">
        <f>$L106</f>
        <v>3117624.01235821</v>
      </c>
      <c r="AS106" s="67">
        <f>$M106</f>
        <v>3030638.5129362103</v>
      </c>
      <c r="AU106" s="67">
        <f>$E106</f>
        <v>2458233.5001276033</v>
      </c>
      <c r="AV106" s="67">
        <f>$F106</f>
        <v>2605648.0564912567</v>
      </c>
      <c r="AW106" s="67">
        <f>$G106</f>
        <v>2670961.6125002499</v>
      </c>
      <c r="AX106" s="67">
        <f>$H106</f>
        <v>2793906.5022012717</v>
      </c>
      <c r="AY106" s="67">
        <f>$I106</f>
        <v>2996409.7466547713</v>
      </c>
      <c r="AZ106" s="67">
        <f>$J106</f>
        <v>3010707.7845441508</v>
      </c>
      <c r="BA106" s="67">
        <f t="shared" si="202"/>
        <v>3076336.8884912306</v>
      </c>
      <c r="BB106" s="67">
        <f>$L106</f>
        <v>3117624.01235821</v>
      </c>
      <c r="BC106" s="67">
        <f>$M106</f>
        <v>3030638.5129362103</v>
      </c>
      <c r="BD106" s="181"/>
      <c r="BF106" s="67">
        <f>$E106</f>
        <v>2458233.5001276033</v>
      </c>
      <c r="BG106" s="67">
        <f>$F106</f>
        <v>2605648.0564912567</v>
      </c>
      <c r="BH106" s="67">
        <f>$G106</f>
        <v>2670961.6125002499</v>
      </c>
      <c r="BI106" s="67">
        <f>$H106</f>
        <v>2793906.5022012717</v>
      </c>
      <c r="BJ106" s="67">
        <f>$I106</f>
        <v>2996409.7466547713</v>
      </c>
      <c r="BK106" s="67">
        <f>$J106</f>
        <v>3010707.7845441508</v>
      </c>
      <c r="BL106" s="67">
        <f t="shared" si="203"/>
        <v>3076336.8884912306</v>
      </c>
      <c r="BM106" s="67">
        <f>$L106</f>
        <v>3117624.01235821</v>
      </c>
      <c r="BN106" s="67">
        <f>$M106</f>
        <v>3030638.5129362103</v>
      </c>
    </row>
    <row r="107" spans="2:67" s="64" customFormat="1" x14ac:dyDescent="0.3">
      <c r="C107" s="65" t="s">
        <v>131</v>
      </c>
      <c r="D107" s="77"/>
      <c r="E107" s="69">
        <v>259687.12407856667</v>
      </c>
      <c r="F107" s="69">
        <v>283434.7845528</v>
      </c>
      <c r="G107" s="69">
        <v>307941.76904353336</v>
      </c>
      <c r="H107" s="69">
        <v>339823.97917113337</v>
      </c>
      <c r="I107" s="69">
        <v>353878.40350963332</v>
      </c>
      <c r="J107" s="69">
        <v>388727.05814300006</v>
      </c>
      <c r="K107" s="69">
        <v>426691.6004931475</v>
      </c>
      <c r="L107" s="69">
        <v>541032.40332190378</v>
      </c>
      <c r="M107" s="69">
        <v>633652.52768691955</v>
      </c>
      <c r="N107" s="182"/>
      <c r="O107" s="36"/>
      <c r="P107" s="67">
        <f>$E107</f>
        <v>259687.12407856667</v>
      </c>
      <c r="Q107" s="67">
        <f>$F107</f>
        <v>283434.7845528</v>
      </c>
      <c r="R107" s="67">
        <f>$G107</f>
        <v>307941.76904353336</v>
      </c>
      <c r="S107" s="67">
        <f>$H107</f>
        <v>339823.97917113337</v>
      </c>
      <c r="T107" s="67">
        <f>$I107</f>
        <v>353878.40350963332</v>
      </c>
      <c r="U107" s="67">
        <f>$J107</f>
        <v>388727.05814300006</v>
      </c>
      <c r="V107" s="67">
        <f t="shared" si="199"/>
        <v>426691.6004931475</v>
      </c>
      <c r="W107" s="67">
        <f>$L107</f>
        <v>541032.40332190378</v>
      </c>
      <c r="X107" s="67">
        <f>$M107</f>
        <v>633652.52768691955</v>
      </c>
      <c r="Y107" s="182"/>
      <c r="AA107" s="67">
        <f>$E107</f>
        <v>259687.12407856667</v>
      </c>
      <c r="AB107" s="67">
        <f>$F107</f>
        <v>283434.7845528</v>
      </c>
      <c r="AC107" s="67">
        <f>$G107</f>
        <v>307941.76904353336</v>
      </c>
      <c r="AD107" s="67">
        <f>$H107</f>
        <v>339823.97917113337</v>
      </c>
      <c r="AE107" s="67">
        <f>$I107</f>
        <v>353878.40350963332</v>
      </c>
      <c r="AF107" s="67">
        <f>$J107</f>
        <v>388727.05814300006</v>
      </c>
      <c r="AG107" s="67">
        <f t="shared" si="200"/>
        <v>426691.6004931475</v>
      </c>
      <c r="AH107" s="67">
        <f>$L107</f>
        <v>541032.40332190378</v>
      </c>
      <c r="AI107" s="67">
        <f>$M107</f>
        <v>633652.52768691955</v>
      </c>
      <c r="AK107" s="67">
        <f>$E107</f>
        <v>259687.12407856667</v>
      </c>
      <c r="AL107" s="67">
        <f>$F107</f>
        <v>283434.7845528</v>
      </c>
      <c r="AM107" s="67">
        <f>$G107</f>
        <v>307941.76904353336</v>
      </c>
      <c r="AN107" s="67">
        <f>$H107</f>
        <v>339823.97917113337</v>
      </c>
      <c r="AO107" s="67">
        <f>$I107</f>
        <v>353878.40350963332</v>
      </c>
      <c r="AP107" s="67">
        <f>$J107</f>
        <v>388727.05814300006</v>
      </c>
      <c r="AQ107" s="67">
        <f t="shared" si="201"/>
        <v>426691.6004931475</v>
      </c>
      <c r="AR107" s="67">
        <f>$L107</f>
        <v>541032.40332190378</v>
      </c>
      <c r="AS107" s="67">
        <f>$M107</f>
        <v>633652.52768691955</v>
      </c>
      <c r="AU107" s="67">
        <f>$E107</f>
        <v>259687.12407856667</v>
      </c>
      <c r="AV107" s="67">
        <f>$F107</f>
        <v>283434.7845528</v>
      </c>
      <c r="AW107" s="67">
        <f>$G107</f>
        <v>307941.76904353336</v>
      </c>
      <c r="AX107" s="67">
        <f>$H107</f>
        <v>339823.97917113337</v>
      </c>
      <c r="AY107" s="67">
        <f>$I107</f>
        <v>353878.40350963332</v>
      </c>
      <c r="AZ107" s="67">
        <f>$J107</f>
        <v>388727.05814300006</v>
      </c>
      <c r="BA107" s="67">
        <f t="shared" si="202"/>
        <v>426691.6004931475</v>
      </c>
      <c r="BB107" s="67">
        <f>$L107</f>
        <v>541032.40332190378</v>
      </c>
      <c r="BC107" s="67">
        <f>$M107</f>
        <v>633652.52768691955</v>
      </c>
      <c r="BD107" s="182"/>
      <c r="BF107" s="67">
        <f>$E107</f>
        <v>259687.12407856667</v>
      </c>
      <c r="BG107" s="67">
        <f>$F107</f>
        <v>283434.7845528</v>
      </c>
      <c r="BH107" s="67">
        <f>$G107</f>
        <v>307941.76904353336</v>
      </c>
      <c r="BI107" s="67">
        <f>$H107</f>
        <v>339823.97917113337</v>
      </c>
      <c r="BJ107" s="67">
        <f>$I107</f>
        <v>353878.40350963332</v>
      </c>
      <c r="BK107" s="67">
        <f>$J107</f>
        <v>388727.05814300006</v>
      </c>
      <c r="BL107" s="67">
        <f t="shared" si="203"/>
        <v>426691.6004931475</v>
      </c>
      <c r="BM107" s="67">
        <f>$L107</f>
        <v>541032.40332190378</v>
      </c>
      <c r="BN107" s="67">
        <f>$M107</f>
        <v>633652.52768691955</v>
      </c>
    </row>
    <row r="108" spans="2:67" s="64" customFormat="1" x14ac:dyDescent="0.3">
      <c r="C108" s="65" t="s">
        <v>191</v>
      </c>
      <c r="D108" s="77"/>
      <c r="E108" s="69">
        <v>11507.806720266666</v>
      </c>
      <c r="F108" s="69">
        <v>21738.174424000001</v>
      </c>
      <c r="G108" s="69">
        <v>12632.807901333334</v>
      </c>
      <c r="H108" s="69">
        <v>17175.308786666657</v>
      </c>
      <c r="I108" s="69">
        <v>26278.099271999996</v>
      </c>
      <c r="J108" s="69">
        <v>23025.516933333329</v>
      </c>
      <c r="K108" s="69">
        <v>-542.00654399999837</v>
      </c>
      <c r="L108" s="69">
        <v>-1260.6631706666676</v>
      </c>
      <c r="M108" s="69">
        <v>1745.311410666641</v>
      </c>
      <c r="N108" s="182"/>
      <c r="O108" s="36"/>
      <c r="P108" s="67">
        <f>$E108</f>
        <v>11507.806720266666</v>
      </c>
      <c r="Q108" s="67">
        <f>$F108</f>
        <v>21738.174424000001</v>
      </c>
      <c r="R108" s="67">
        <f>$G108</f>
        <v>12632.807901333334</v>
      </c>
      <c r="S108" s="67">
        <f>$H108</f>
        <v>17175.308786666657</v>
      </c>
      <c r="T108" s="67">
        <f>$I108</f>
        <v>26278.099271999996</v>
      </c>
      <c r="U108" s="67">
        <f>$J108</f>
        <v>23025.516933333329</v>
      </c>
      <c r="V108" s="67">
        <f t="shared" si="199"/>
        <v>-542.00654399999837</v>
      </c>
      <c r="W108" s="67">
        <f>$L108</f>
        <v>-1260.6631706666676</v>
      </c>
      <c r="X108" s="67">
        <f>$M108</f>
        <v>1745.311410666641</v>
      </c>
      <c r="Y108" s="182"/>
      <c r="AA108" s="67">
        <f>$E108</f>
        <v>11507.806720266666</v>
      </c>
      <c r="AB108" s="67">
        <f>$F108</f>
        <v>21738.174424000001</v>
      </c>
      <c r="AC108" s="67">
        <f>$G108</f>
        <v>12632.807901333334</v>
      </c>
      <c r="AD108" s="67">
        <f>$H108</f>
        <v>17175.308786666657</v>
      </c>
      <c r="AE108" s="67">
        <f>$I108</f>
        <v>26278.099271999996</v>
      </c>
      <c r="AF108" s="67">
        <f>$J108</f>
        <v>23025.516933333329</v>
      </c>
      <c r="AG108" s="67">
        <f t="shared" si="200"/>
        <v>-542.00654399999837</v>
      </c>
      <c r="AH108" s="67">
        <f>$L108</f>
        <v>-1260.6631706666676</v>
      </c>
      <c r="AI108" s="67">
        <f>$M108</f>
        <v>1745.311410666641</v>
      </c>
      <c r="AK108" s="67">
        <f>$E108</f>
        <v>11507.806720266666</v>
      </c>
      <c r="AL108" s="67">
        <f>$F108</f>
        <v>21738.174424000001</v>
      </c>
      <c r="AM108" s="67">
        <f>$G108</f>
        <v>12632.807901333334</v>
      </c>
      <c r="AN108" s="67">
        <f>$H108</f>
        <v>17175.308786666657</v>
      </c>
      <c r="AO108" s="67">
        <f>$I108</f>
        <v>26278.099271999996</v>
      </c>
      <c r="AP108" s="67">
        <f>$J108</f>
        <v>23025.516933333329</v>
      </c>
      <c r="AQ108" s="67">
        <f t="shared" si="201"/>
        <v>-542.00654399999837</v>
      </c>
      <c r="AR108" s="67">
        <f>$L108</f>
        <v>-1260.6631706666676</v>
      </c>
      <c r="AS108" s="67">
        <f>$M108</f>
        <v>1745.311410666641</v>
      </c>
      <c r="AU108" s="67">
        <f>$E108</f>
        <v>11507.806720266666</v>
      </c>
      <c r="AV108" s="67">
        <f>$F108</f>
        <v>21738.174424000001</v>
      </c>
      <c r="AW108" s="67">
        <f>$G108</f>
        <v>12632.807901333334</v>
      </c>
      <c r="AX108" s="67">
        <f>$H108</f>
        <v>17175.308786666657</v>
      </c>
      <c r="AY108" s="67">
        <f>$I108</f>
        <v>26278.099271999996</v>
      </c>
      <c r="AZ108" s="67">
        <f>$J108</f>
        <v>23025.516933333329</v>
      </c>
      <c r="BA108" s="67">
        <f t="shared" si="202"/>
        <v>-542.00654399999837</v>
      </c>
      <c r="BB108" s="67">
        <f>$L108</f>
        <v>-1260.6631706666676</v>
      </c>
      <c r="BC108" s="67">
        <f>$M108</f>
        <v>1745.311410666641</v>
      </c>
      <c r="BD108" s="182"/>
      <c r="BF108" s="67">
        <f>$E108</f>
        <v>11507.806720266666</v>
      </c>
      <c r="BG108" s="67">
        <f>$F108</f>
        <v>21738.174424000001</v>
      </c>
      <c r="BH108" s="67">
        <f>$G108</f>
        <v>12632.807901333334</v>
      </c>
      <c r="BI108" s="67">
        <f>$H108</f>
        <v>17175.308786666657</v>
      </c>
      <c r="BJ108" s="67">
        <f>$I108</f>
        <v>26278.099271999996</v>
      </c>
      <c r="BK108" s="67">
        <f>$J108</f>
        <v>23025.516933333329</v>
      </c>
      <c r="BL108" s="67">
        <f t="shared" si="203"/>
        <v>-542.00654399999837</v>
      </c>
      <c r="BM108" s="67">
        <f>$L108</f>
        <v>-1260.6631706666676</v>
      </c>
      <c r="BN108" s="67">
        <f>$M108</f>
        <v>1745.311410666641</v>
      </c>
    </row>
    <row r="109" spans="2:67" x14ac:dyDescent="0.3">
      <c r="C109" s="39" t="s">
        <v>104</v>
      </c>
      <c r="D109" s="109"/>
      <c r="E109" s="40">
        <f t="shared" ref="E109:M109" si="205">E85</f>
        <v>0</v>
      </c>
      <c r="F109" s="40">
        <f t="shared" si="205"/>
        <v>1.9934494666249764E-2</v>
      </c>
      <c r="G109" s="40">
        <f t="shared" si="205"/>
        <v>0.20754364012418711</v>
      </c>
      <c r="H109" s="40">
        <f t="shared" si="205"/>
        <v>0.33547255984484103</v>
      </c>
      <c r="I109" s="40">
        <f t="shared" si="205"/>
        <v>0.31160624532368264</v>
      </c>
      <c r="J109" s="40">
        <f t="shared" si="205"/>
        <v>6.6916987346190157E-2</v>
      </c>
      <c r="K109" s="40">
        <f t="shared" si="205"/>
        <v>7.2146536498149283E-2</v>
      </c>
      <c r="L109" s="40">
        <f t="shared" si="205"/>
        <v>9.0262796133623549E-2</v>
      </c>
      <c r="M109" s="40">
        <f t="shared" si="205"/>
        <v>0.1501926547644172</v>
      </c>
      <c r="N109" s="169"/>
      <c r="P109" s="40">
        <f t="shared" ref="P109:X109" si="206">P85</f>
        <v>0</v>
      </c>
      <c r="Q109" s="40">
        <f t="shared" si="206"/>
        <v>3.1093066924393349E-2</v>
      </c>
      <c r="R109" s="40">
        <f t="shared" si="206"/>
        <v>0.13391698012843903</v>
      </c>
      <c r="S109" s="40">
        <f t="shared" si="206"/>
        <v>0.29348875075999509</v>
      </c>
      <c r="T109" s="40">
        <f t="shared" si="206"/>
        <v>0.29645722067314656</v>
      </c>
      <c r="U109" s="40">
        <f t="shared" si="206"/>
        <v>3.4616061822363375E-2</v>
      </c>
      <c r="V109" s="40">
        <f t="shared" si="206"/>
        <v>7.9478182265343658E-2</v>
      </c>
      <c r="W109" s="40">
        <f t="shared" si="206"/>
        <v>8.2844833884322233E-2</v>
      </c>
      <c r="X109" s="40">
        <f t="shared" si="206"/>
        <v>9.1848928912867625E-2</v>
      </c>
      <c r="Y109" s="169"/>
      <c r="AA109" s="40">
        <f t="shared" ref="AA109:AI109" si="207">AA85</f>
        <v>0</v>
      </c>
      <c r="AB109" s="40">
        <f t="shared" si="207"/>
        <v>-2.3447597822977549E-3</v>
      </c>
      <c r="AC109" s="40">
        <f t="shared" si="207"/>
        <v>0.88715415663512176</v>
      </c>
      <c r="AD109" s="40">
        <f t="shared" si="207"/>
        <v>0.63667891670472532</v>
      </c>
      <c r="AE109" s="40">
        <f t="shared" si="207"/>
        <v>0.47217749326071135</v>
      </c>
      <c r="AF109" s="40">
        <f t="shared" si="207"/>
        <v>0.4052736218114919</v>
      </c>
      <c r="AG109" s="40">
        <f t="shared" si="207"/>
        <v>0.18770267003188401</v>
      </c>
      <c r="AH109" s="40">
        <f t="shared" si="207"/>
        <v>0.1459475757794349</v>
      </c>
      <c r="AI109" s="40">
        <f t="shared" si="207"/>
        <v>0.45416415081514949</v>
      </c>
      <c r="AK109" s="40">
        <f t="shared" ref="AK109:AS109" si="208">AK85</f>
        <v>0</v>
      </c>
      <c r="AL109" s="40">
        <f t="shared" si="208"/>
        <v>1.3124405973383433</v>
      </c>
      <c r="AM109" s="40">
        <f t="shared" si="208"/>
        <v>1.9226633858996873</v>
      </c>
      <c r="AN109" s="40">
        <f t="shared" si="208"/>
        <v>2.1202324288301839</v>
      </c>
      <c r="AO109" s="40">
        <f t="shared" si="208"/>
        <v>0.96135146220324275</v>
      </c>
      <c r="AP109" s="40">
        <f t="shared" si="208"/>
        <v>0.89932056994829102</v>
      </c>
      <c r="AQ109" s="40">
        <f t="shared" si="208"/>
        <v>-17.922676247490987</v>
      </c>
      <c r="AR109" s="40">
        <f t="shared" si="208"/>
        <v>-7.3041288762471703</v>
      </c>
      <c r="AS109" s="40">
        <f t="shared" si="208"/>
        <v>18.159037555224685</v>
      </c>
      <c r="AU109" s="40">
        <f t="shared" ref="AU109:BC109" si="209">AU85</f>
        <v>0</v>
      </c>
      <c r="AV109" s="40">
        <f t="shared" si="209"/>
        <v>6.8235113653087084E-2</v>
      </c>
      <c r="AW109" s="40">
        <f t="shared" si="209"/>
        <v>0.92159294731444552</v>
      </c>
      <c r="AX109" s="40">
        <f t="shared" si="209"/>
        <v>0.70825660020654779</v>
      </c>
      <c r="AY109" s="40">
        <f t="shared" si="209"/>
        <v>0.50379352063662686</v>
      </c>
      <c r="AZ109" s="40">
        <f t="shared" si="209"/>
        <v>0.42794022236700568</v>
      </c>
      <c r="BA109" s="40">
        <f t="shared" si="209"/>
        <v>7.3339379621592357E-2</v>
      </c>
      <c r="BB109" s="40">
        <f t="shared" si="209"/>
        <v>0.18099685566903506</v>
      </c>
      <c r="BC109" s="40">
        <f t="shared" si="209"/>
        <v>0.48390816086924687</v>
      </c>
      <c r="BD109" s="169"/>
      <c r="BF109" s="40">
        <f t="shared" ref="BF109:BN109" si="210">BF85</f>
        <v>0</v>
      </c>
      <c r="BG109" s="40">
        <f t="shared" si="210"/>
        <v>0</v>
      </c>
      <c r="BH109" s="40">
        <f t="shared" si="210"/>
        <v>0</v>
      </c>
      <c r="BI109" s="40">
        <f t="shared" si="210"/>
        <v>0</v>
      </c>
      <c r="BJ109" s="40">
        <f t="shared" si="210"/>
        <v>0</v>
      </c>
      <c r="BK109" s="40">
        <f t="shared" si="210"/>
        <v>0</v>
      </c>
      <c r="BL109" s="40">
        <f t="shared" si="210"/>
        <v>0</v>
      </c>
      <c r="BM109" s="40">
        <f t="shared" si="210"/>
        <v>0</v>
      </c>
      <c r="BN109" s="40">
        <f t="shared" si="210"/>
        <v>0</v>
      </c>
    </row>
    <row r="110" spans="2:67" x14ac:dyDescent="0.3">
      <c r="C110" s="39" t="s">
        <v>132</v>
      </c>
      <c r="D110" s="109"/>
      <c r="E110" s="40">
        <f t="shared" ref="E110:M110" si="211">E86</f>
        <v>0</v>
      </c>
      <c r="F110" s="40">
        <f t="shared" si="211"/>
        <v>1.9797163116270656E-2</v>
      </c>
      <c r="G110" s="40">
        <f t="shared" si="211"/>
        <v>0.20494159195244877</v>
      </c>
      <c r="H110" s="40">
        <f t="shared" si="211"/>
        <v>0.33382711711112811</v>
      </c>
      <c r="I110" s="40">
        <f t="shared" si="211"/>
        <v>0.30996727204216884</v>
      </c>
      <c r="J110" s="40">
        <f t="shared" si="211"/>
        <v>6.8381101051480375E-2</v>
      </c>
      <c r="K110" s="40">
        <f t="shared" si="211"/>
        <v>7.3156277346493201E-2</v>
      </c>
      <c r="L110" s="40">
        <f t="shared" si="211"/>
        <v>8.952668816810648E-2</v>
      </c>
      <c r="M110" s="40">
        <f t="shared" si="211"/>
        <v>0.15348581469684966</v>
      </c>
      <c r="N110" s="169"/>
      <c r="P110" s="40">
        <f t="shared" ref="P110:X110" si="212">P86</f>
        <v>0</v>
      </c>
      <c r="Q110" s="40">
        <f t="shared" si="212"/>
        <v>3.1067628592664889E-2</v>
      </c>
      <c r="R110" s="40">
        <f t="shared" si="212"/>
        <v>0.13228354327131722</v>
      </c>
      <c r="S110" s="40">
        <f t="shared" si="212"/>
        <v>0.292007697122947</v>
      </c>
      <c r="T110" s="40">
        <f t="shared" si="212"/>
        <v>0.29494702098143599</v>
      </c>
      <c r="U110" s="40">
        <f t="shared" si="212"/>
        <v>3.5643473810771119E-2</v>
      </c>
      <c r="V110" s="40">
        <f t="shared" si="212"/>
        <v>8.0518516924320493E-2</v>
      </c>
      <c r="W110" s="40">
        <f t="shared" si="212"/>
        <v>8.3062013352602465E-2</v>
      </c>
      <c r="X110" s="40">
        <f t="shared" si="212"/>
        <v>9.4700929495565037E-2</v>
      </c>
      <c r="Y110" s="169"/>
      <c r="AA110" s="40">
        <f t="shared" ref="AA110:AI110" si="213">AA86</f>
        <v>0</v>
      </c>
      <c r="AB110" s="40">
        <f t="shared" si="213"/>
        <v>-2.2487699503706497E-3</v>
      </c>
      <c r="AC110" s="40">
        <f t="shared" si="213"/>
        <v>0.87911022779549897</v>
      </c>
      <c r="AD110" s="40">
        <f t="shared" si="213"/>
        <v>0.63416981210079393</v>
      </c>
      <c r="AE110" s="40">
        <f t="shared" si="213"/>
        <v>0.47134168634226631</v>
      </c>
      <c r="AF110" s="40">
        <f t="shared" si="213"/>
        <v>0.39518384732046496</v>
      </c>
      <c r="AG110" s="40">
        <f t="shared" si="213"/>
        <v>0.19010607924030959</v>
      </c>
      <c r="AH110" s="40">
        <f t="shared" si="213"/>
        <v>0.13599362178720742</v>
      </c>
      <c r="AI110" s="40">
        <f t="shared" si="213"/>
        <v>0.44483144192355295</v>
      </c>
      <c r="AK110" s="40">
        <f t="shared" ref="AK110:AS110" si="214">AK86</f>
        <v>0</v>
      </c>
      <c r="AL110" s="40">
        <f t="shared" si="214"/>
        <v>0.93099033346867432</v>
      </c>
      <c r="AM110" s="40">
        <f t="shared" si="214"/>
        <v>1.5977155461906205</v>
      </c>
      <c r="AN110" s="40">
        <f t="shared" si="214"/>
        <v>2.1182070682911265</v>
      </c>
      <c r="AO110" s="40">
        <f t="shared" si="214"/>
        <v>0.89296424970138821</v>
      </c>
      <c r="AP110" s="40">
        <f t="shared" si="214"/>
        <v>0.7118945628651735</v>
      </c>
      <c r="AQ110" s="40">
        <f t="shared" si="214"/>
        <v>90.813049327316079</v>
      </c>
      <c r="AR110" s="40">
        <f t="shared" si="214"/>
        <v>-13.677108513356378</v>
      </c>
      <c r="AS110" s="40">
        <f t="shared" si="214"/>
        <v>10.866523264611002</v>
      </c>
      <c r="AU110" s="40">
        <f t="shared" ref="AU110:BC110" si="215">AU86</f>
        <v>0</v>
      </c>
      <c r="AV110" s="40">
        <f t="shared" si="215"/>
        <v>6.422800596529242E-2</v>
      </c>
      <c r="AW110" s="40">
        <f t="shared" si="215"/>
        <v>0.90742814068390387</v>
      </c>
      <c r="AX110" s="40">
        <f t="shared" si="215"/>
        <v>0.70556714813413457</v>
      </c>
      <c r="AY110" s="40">
        <f t="shared" si="215"/>
        <v>0.5004861031658564</v>
      </c>
      <c r="AZ110" s="40">
        <f t="shared" si="215"/>
        <v>0.41289455123625934</v>
      </c>
      <c r="BA110" s="40">
        <f t="shared" si="215"/>
        <v>7.4845548726091116E-2</v>
      </c>
      <c r="BB110" s="40">
        <f t="shared" si="215"/>
        <v>0.16825479412934136</v>
      </c>
      <c r="BC110" s="40">
        <f t="shared" si="215"/>
        <v>0.47345775529348899</v>
      </c>
      <c r="BD110" s="169"/>
      <c r="BF110" s="40">
        <f t="shared" ref="BF110:BN110" si="216">BF86</f>
        <v>0</v>
      </c>
      <c r="BG110" s="40">
        <f t="shared" si="216"/>
        <v>0</v>
      </c>
      <c r="BH110" s="40">
        <f t="shared" si="216"/>
        <v>0</v>
      </c>
      <c r="BI110" s="40">
        <f t="shared" si="216"/>
        <v>0</v>
      </c>
      <c r="BJ110" s="40">
        <f t="shared" si="216"/>
        <v>0</v>
      </c>
      <c r="BK110" s="40">
        <f t="shared" si="216"/>
        <v>0</v>
      </c>
      <c r="BL110" s="40">
        <f t="shared" si="216"/>
        <v>0</v>
      </c>
      <c r="BM110" s="40">
        <f t="shared" si="216"/>
        <v>0</v>
      </c>
      <c r="BN110" s="40">
        <f t="shared" si="216"/>
        <v>0</v>
      </c>
    </row>
    <row r="111" spans="2:67" s="64" customFormat="1" x14ac:dyDescent="0.3">
      <c r="C111" s="65"/>
      <c r="D111" s="77"/>
      <c r="E111" s="66"/>
      <c r="F111" s="66"/>
      <c r="G111" s="66"/>
      <c r="H111" s="66"/>
      <c r="I111" s="66"/>
      <c r="J111" s="66"/>
      <c r="K111" s="66"/>
      <c r="L111" s="66"/>
      <c r="M111" s="66"/>
      <c r="N111" s="184"/>
      <c r="O111" s="36"/>
      <c r="P111" s="66"/>
      <c r="Q111" s="66"/>
      <c r="R111" s="66"/>
      <c r="S111" s="66"/>
      <c r="T111" s="66"/>
      <c r="U111" s="66"/>
      <c r="V111" s="66"/>
      <c r="W111" s="66"/>
      <c r="X111" s="66"/>
      <c r="Y111" s="184"/>
      <c r="AA111" s="66"/>
      <c r="AB111" s="66"/>
      <c r="AC111" s="66"/>
      <c r="AD111" s="66"/>
      <c r="AE111" s="66"/>
      <c r="AF111" s="66"/>
      <c r="AG111" s="66"/>
      <c r="AH111" s="66"/>
      <c r="AI111" s="66"/>
      <c r="AK111" s="66"/>
      <c r="AL111" s="66"/>
      <c r="AM111" s="66"/>
      <c r="AN111" s="66"/>
      <c r="AO111" s="66"/>
      <c r="AP111" s="66"/>
      <c r="AQ111" s="66"/>
      <c r="AR111" s="66"/>
      <c r="AS111" s="66"/>
      <c r="AU111" s="66"/>
      <c r="AV111" s="66"/>
      <c r="AW111" s="66"/>
      <c r="AX111" s="66"/>
      <c r="AY111" s="66"/>
      <c r="AZ111" s="66"/>
      <c r="BA111" s="66"/>
      <c r="BB111" s="66"/>
      <c r="BC111" s="66"/>
      <c r="BD111" s="184"/>
      <c r="BF111" s="66"/>
      <c r="BG111" s="66"/>
      <c r="BH111" s="66"/>
      <c r="BI111" s="66"/>
      <c r="BJ111" s="66"/>
      <c r="BK111" s="66"/>
      <c r="BL111" s="66"/>
      <c r="BM111" s="66"/>
      <c r="BN111" s="66"/>
    </row>
    <row r="112" spans="2:67" s="82" customFormat="1" x14ac:dyDescent="0.3">
      <c r="B112" s="81"/>
      <c r="C112" s="30" t="s">
        <v>116</v>
      </c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185"/>
      <c r="P112" s="30"/>
      <c r="Q112" s="30"/>
      <c r="R112" s="30"/>
      <c r="S112" s="30"/>
      <c r="T112" s="30"/>
      <c r="U112" s="30"/>
      <c r="V112" s="30"/>
      <c r="W112" s="30"/>
      <c r="X112" s="30"/>
      <c r="Y112" s="185"/>
      <c r="Z112" s="110"/>
      <c r="AA112" s="30"/>
      <c r="AB112" s="30"/>
      <c r="AC112" s="30"/>
      <c r="AD112" s="30"/>
      <c r="AE112" s="30"/>
      <c r="AF112" s="30"/>
      <c r="AG112" s="30"/>
      <c r="AH112" s="30"/>
      <c r="AI112" s="30"/>
      <c r="AJ112" s="110"/>
      <c r="AK112" s="30"/>
      <c r="AL112" s="30"/>
      <c r="AM112" s="30"/>
      <c r="AN112" s="30"/>
      <c r="AO112" s="30"/>
      <c r="AP112" s="30"/>
      <c r="AQ112" s="30"/>
      <c r="AR112" s="30"/>
      <c r="AS112" s="30"/>
      <c r="AT112" s="110"/>
      <c r="AU112" s="30"/>
      <c r="AV112" s="30"/>
      <c r="AW112" s="30"/>
      <c r="AX112" s="30"/>
      <c r="AY112" s="30"/>
      <c r="AZ112" s="30"/>
      <c r="BA112" s="30"/>
      <c r="BB112" s="30"/>
      <c r="BC112" s="30"/>
      <c r="BD112" s="185"/>
      <c r="BE112" s="110"/>
      <c r="BF112" s="30"/>
      <c r="BG112" s="30"/>
      <c r="BH112" s="30"/>
      <c r="BI112" s="30"/>
      <c r="BJ112" s="30"/>
      <c r="BK112" s="30"/>
      <c r="BL112" s="30"/>
      <c r="BM112" s="30"/>
      <c r="BN112" s="30"/>
      <c r="BO112" s="110"/>
    </row>
    <row r="113" spans="2:67" s="85" customFormat="1" x14ac:dyDescent="0.3">
      <c r="B113" s="84"/>
      <c r="C113" s="63" t="s">
        <v>105</v>
      </c>
      <c r="D113" s="63"/>
      <c r="E113" s="63" t="str">
        <f t="shared" ref="E113:M113" si="217">E3</f>
        <v>Q4-2023</v>
      </c>
      <c r="F113" s="63" t="str">
        <f t="shared" si="217"/>
        <v>Q1-2024</v>
      </c>
      <c r="G113" s="63" t="str">
        <f t="shared" si="217"/>
        <v>Q2-2024</v>
      </c>
      <c r="H113" s="63" t="str">
        <f t="shared" si="217"/>
        <v>Q3-2024</v>
      </c>
      <c r="I113" s="63" t="str">
        <f t="shared" si="217"/>
        <v>Q4-2024</v>
      </c>
      <c r="J113" s="63" t="str">
        <f t="shared" si="217"/>
        <v>Q1-2025</v>
      </c>
      <c r="K113" s="63" t="str">
        <f t="shared" si="217"/>
        <v>Q2-2025</v>
      </c>
      <c r="L113" s="63" t="str">
        <f t="shared" si="217"/>
        <v>Q3-2025</v>
      </c>
      <c r="M113" s="63" t="str">
        <f t="shared" si="217"/>
        <v>Q4-2025</v>
      </c>
      <c r="N113" s="186"/>
      <c r="P113" s="63"/>
      <c r="Q113" s="63"/>
      <c r="R113" s="63"/>
      <c r="S113" s="63"/>
      <c r="T113" s="63"/>
      <c r="U113" s="63"/>
      <c r="V113" s="63"/>
      <c r="W113" s="63"/>
      <c r="X113" s="63"/>
      <c r="Y113" s="186"/>
      <c r="Z113" s="110"/>
      <c r="AA113" s="63"/>
      <c r="AB113" s="63"/>
      <c r="AC113" s="63"/>
      <c r="AD113" s="63"/>
      <c r="AE113" s="63"/>
      <c r="AF113" s="63"/>
      <c r="AG113" s="63"/>
      <c r="AH113" s="63"/>
      <c r="AI113" s="63"/>
      <c r="AJ113" s="110"/>
      <c r="AK113" s="63"/>
      <c r="AL113" s="63"/>
      <c r="AM113" s="63"/>
      <c r="AN113" s="63"/>
      <c r="AO113" s="63"/>
      <c r="AP113" s="63"/>
      <c r="AQ113" s="63"/>
      <c r="AR113" s="63"/>
      <c r="AS113" s="63"/>
      <c r="AT113" s="110"/>
      <c r="AU113" s="63"/>
      <c r="AV113" s="63"/>
      <c r="AW113" s="63"/>
      <c r="AX113" s="63"/>
      <c r="AY113" s="63"/>
      <c r="AZ113" s="63"/>
      <c r="BA113" s="63"/>
      <c r="BB113" s="63"/>
      <c r="BC113" s="63"/>
      <c r="BD113" s="186"/>
      <c r="BE113" s="110"/>
      <c r="BF113" s="63"/>
      <c r="BG113" s="63"/>
      <c r="BH113" s="63"/>
      <c r="BI113" s="63"/>
      <c r="BJ113" s="63"/>
      <c r="BK113" s="63"/>
      <c r="BL113" s="63"/>
      <c r="BM113" s="63"/>
      <c r="BN113" s="63"/>
      <c r="BO113" s="110"/>
    </row>
    <row r="114" spans="2:67" x14ac:dyDescent="0.3">
      <c r="C114" s="71"/>
      <c r="D114" s="120"/>
      <c r="E114" s="38"/>
      <c r="F114" s="133"/>
      <c r="G114" s="38"/>
      <c r="H114" s="38"/>
      <c r="I114" s="38"/>
      <c r="J114" s="38"/>
      <c r="K114" s="38"/>
      <c r="L114" s="38"/>
      <c r="M114" s="38"/>
      <c r="P114" s="132"/>
      <c r="Q114" s="132"/>
      <c r="R114" s="132"/>
      <c r="S114" s="132"/>
      <c r="T114" s="132"/>
      <c r="U114" s="132"/>
      <c r="V114" s="132"/>
      <c r="W114" s="132"/>
      <c r="X114" s="132"/>
      <c r="AA114" s="132"/>
      <c r="AB114" s="132"/>
      <c r="AC114" s="132"/>
      <c r="AD114" s="132"/>
      <c r="AE114" s="132"/>
      <c r="AF114" s="132"/>
      <c r="AG114" s="132"/>
      <c r="AH114" s="132"/>
      <c r="AI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U114" s="132"/>
      <c r="AV114" s="132"/>
      <c r="AW114" s="132"/>
      <c r="AX114" s="132"/>
      <c r="AY114" s="132"/>
      <c r="AZ114" s="132"/>
      <c r="BA114" s="132"/>
      <c r="BB114" s="132"/>
      <c r="BC114" s="132"/>
      <c r="BF114" s="132"/>
      <c r="BG114" s="132"/>
      <c r="BH114" s="132"/>
      <c r="BI114" s="132"/>
      <c r="BJ114" s="132"/>
      <c r="BK114" s="132"/>
      <c r="BL114" s="132"/>
      <c r="BM114" s="132"/>
      <c r="BN114" s="132"/>
    </row>
    <row r="115" spans="2:67" x14ac:dyDescent="0.3">
      <c r="C115" s="79" t="s">
        <v>110</v>
      </c>
      <c r="D115" s="121"/>
      <c r="E115" s="100">
        <f t="shared" ref="E115:M115" si="218">E116</f>
        <v>8354568.9297779948</v>
      </c>
      <c r="F115" s="100">
        <f t="shared" si="218"/>
        <v>8842172.9218599945</v>
      </c>
      <c r="G115" s="100">
        <f t="shared" si="218"/>
        <v>8116323.7262507882</v>
      </c>
      <c r="H115" s="100">
        <f t="shared" si="218"/>
        <v>8897723.1690299939</v>
      </c>
      <c r="I115" s="100">
        <f t="shared" si="218"/>
        <v>8725704.3984800037</v>
      </c>
      <c r="J115" s="100">
        <f t="shared" si="218"/>
        <v>8872262.1210800204</v>
      </c>
      <c r="K115" s="100">
        <f t="shared" si="218"/>
        <v>9177613.4942699969</v>
      </c>
      <c r="L115" s="100">
        <f t="shared" si="218"/>
        <v>8401417.4849700034</v>
      </c>
      <c r="M115" s="100">
        <f t="shared" si="218"/>
        <v>8693308.974330008</v>
      </c>
      <c r="N115" s="187">
        <f>M115/I115-1</f>
        <v>-3.7126428618918794E-3</v>
      </c>
      <c r="P115" s="100">
        <f t="shared" ref="P115:BN115" si="219">P116</f>
        <v>8354568.9297779948</v>
      </c>
      <c r="Q115" s="100">
        <f t="shared" si="219"/>
        <v>8842172.9218599945</v>
      </c>
      <c r="R115" s="100">
        <f t="shared" si="219"/>
        <v>8116323.7262507882</v>
      </c>
      <c r="S115" s="100">
        <f t="shared" si="219"/>
        <v>8897723.1690299939</v>
      </c>
      <c r="T115" s="100">
        <f t="shared" si="219"/>
        <v>8725704.3984800037</v>
      </c>
      <c r="U115" s="100">
        <f t="shared" si="219"/>
        <v>8872262.1210800204</v>
      </c>
      <c r="V115" s="100">
        <f t="shared" si="219"/>
        <v>9177613.4942699969</v>
      </c>
      <c r="W115" s="100">
        <f t="shared" si="219"/>
        <v>8401417.4849700034</v>
      </c>
      <c r="X115" s="100">
        <f t="shared" si="219"/>
        <v>8693308.974330008</v>
      </c>
      <c r="Y115" s="187">
        <f>X115/T115-1</f>
        <v>-3.7126428618918794E-3</v>
      </c>
      <c r="AA115" s="100">
        <f t="shared" si="219"/>
        <v>8354568.9297779948</v>
      </c>
      <c r="AB115" s="100">
        <f t="shared" si="219"/>
        <v>8842172.9218599945</v>
      </c>
      <c r="AC115" s="100">
        <f t="shared" si="219"/>
        <v>8116323.7262507882</v>
      </c>
      <c r="AD115" s="100">
        <f t="shared" si="219"/>
        <v>8897723.1690299939</v>
      </c>
      <c r="AE115" s="100">
        <f t="shared" si="219"/>
        <v>8725704.3984800037</v>
      </c>
      <c r="AF115" s="100">
        <f t="shared" si="219"/>
        <v>8872262.1210800204</v>
      </c>
      <c r="AG115" s="100">
        <f t="shared" si="219"/>
        <v>9177613.4942699969</v>
      </c>
      <c r="AH115" s="100">
        <f t="shared" si="219"/>
        <v>8401417.4849700034</v>
      </c>
      <c r="AI115" s="100">
        <f t="shared" si="219"/>
        <v>8693308.974330008</v>
      </c>
      <c r="AK115" s="100">
        <f t="shared" si="219"/>
        <v>8354568.9297779948</v>
      </c>
      <c r="AL115" s="100">
        <f t="shared" si="219"/>
        <v>8842172.9218599945</v>
      </c>
      <c r="AM115" s="100">
        <f t="shared" si="219"/>
        <v>8116323.7262507882</v>
      </c>
      <c r="AN115" s="100">
        <f t="shared" si="219"/>
        <v>8897723.1690299939</v>
      </c>
      <c r="AO115" s="100">
        <f t="shared" si="219"/>
        <v>8725704.3984800037</v>
      </c>
      <c r="AP115" s="100">
        <f t="shared" si="219"/>
        <v>8872262.1210800204</v>
      </c>
      <c r="AQ115" s="100">
        <f t="shared" si="219"/>
        <v>9177613.4942699969</v>
      </c>
      <c r="AR115" s="100">
        <f t="shared" si="219"/>
        <v>8401417.4849700034</v>
      </c>
      <c r="AS115" s="100">
        <f t="shared" si="219"/>
        <v>8693308.974330008</v>
      </c>
      <c r="AU115" s="100">
        <f t="shared" si="219"/>
        <v>8354568.9297779948</v>
      </c>
      <c r="AV115" s="100">
        <f t="shared" si="219"/>
        <v>8842172.9218599945</v>
      </c>
      <c r="AW115" s="100">
        <f t="shared" si="219"/>
        <v>8116323.7262507882</v>
      </c>
      <c r="AX115" s="100">
        <f t="shared" si="219"/>
        <v>8897723.1690299939</v>
      </c>
      <c r="AY115" s="100">
        <f t="shared" si="219"/>
        <v>8725704.3984800037</v>
      </c>
      <c r="AZ115" s="100">
        <f t="shared" si="219"/>
        <v>8872262.1210800204</v>
      </c>
      <c r="BA115" s="100">
        <f t="shared" si="219"/>
        <v>9177613.4942699969</v>
      </c>
      <c r="BB115" s="100">
        <f t="shared" si="219"/>
        <v>8401417.4849700034</v>
      </c>
      <c r="BC115" s="100">
        <f t="shared" si="219"/>
        <v>8693308.974330008</v>
      </c>
      <c r="BD115" s="187">
        <f>BC115/AY115-1</f>
        <v>-3.7126428618918794E-3</v>
      </c>
      <c r="BF115" s="100">
        <f t="shared" si="219"/>
        <v>8354568.9297779948</v>
      </c>
      <c r="BG115" s="100">
        <f t="shared" si="219"/>
        <v>8842172.9218599945</v>
      </c>
      <c r="BH115" s="100">
        <f t="shared" si="219"/>
        <v>8116323.7262507882</v>
      </c>
      <c r="BI115" s="100">
        <f t="shared" si="219"/>
        <v>8897723.1690299939</v>
      </c>
      <c r="BJ115" s="100">
        <f t="shared" si="219"/>
        <v>8725704.3984800037</v>
      </c>
      <c r="BK115" s="100">
        <f t="shared" si="219"/>
        <v>8872262.1210800204</v>
      </c>
      <c r="BL115" s="100">
        <f t="shared" si="219"/>
        <v>9177613.4942699969</v>
      </c>
      <c r="BM115" s="100">
        <f t="shared" si="219"/>
        <v>8401417.4849700034</v>
      </c>
      <c r="BN115" s="100">
        <f t="shared" si="219"/>
        <v>8693308.974330008</v>
      </c>
    </row>
    <row r="116" spans="2:67" x14ac:dyDescent="0.3">
      <c r="C116" s="65" t="s">
        <v>106</v>
      </c>
      <c r="D116" s="77"/>
      <c r="E116" s="69">
        <v>8354568.9297779948</v>
      </c>
      <c r="F116" s="69">
        <v>8842172.9218599945</v>
      </c>
      <c r="G116" s="69">
        <v>8116323.7262507882</v>
      </c>
      <c r="H116" s="69">
        <v>8897723.1690299939</v>
      </c>
      <c r="I116" s="69">
        <v>8725704.3984800037</v>
      </c>
      <c r="J116" s="69">
        <v>8872262.1210800204</v>
      </c>
      <c r="K116" s="69">
        <v>9177613.4942699969</v>
      </c>
      <c r="L116" s="69">
        <v>8401417.4849700034</v>
      </c>
      <c r="M116" s="69">
        <v>8693308.974330008</v>
      </c>
      <c r="N116" s="182"/>
      <c r="O116" s="197"/>
      <c r="P116" s="70">
        <f>$E116</f>
        <v>8354568.9297779948</v>
      </c>
      <c r="Q116" s="70">
        <f>$F116</f>
        <v>8842172.9218599945</v>
      </c>
      <c r="R116" s="70">
        <f>$G116</f>
        <v>8116323.7262507882</v>
      </c>
      <c r="S116" s="70">
        <f>$H116</f>
        <v>8897723.1690299939</v>
      </c>
      <c r="T116" s="70">
        <f>$I116</f>
        <v>8725704.3984800037</v>
      </c>
      <c r="U116" s="70">
        <f>$J116</f>
        <v>8872262.1210800204</v>
      </c>
      <c r="V116" s="70">
        <f>$K116</f>
        <v>9177613.4942699969</v>
      </c>
      <c r="W116" s="70">
        <f>$L116</f>
        <v>8401417.4849700034</v>
      </c>
      <c r="X116" s="70">
        <f>$M116</f>
        <v>8693308.974330008</v>
      </c>
      <c r="Y116" s="182"/>
      <c r="Z116" s="64"/>
      <c r="AA116" s="70">
        <f>$E116</f>
        <v>8354568.9297779948</v>
      </c>
      <c r="AB116" s="70">
        <f>$F116</f>
        <v>8842172.9218599945</v>
      </c>
      <c r="AC116" s="70">
        <f>$G116</f>
        <v>8116323.7262507882</v>
      </c>
      <c r="AD116" s="70">
        <f>$H116</f>
        <v>8897723.1690299939</v>
      </c>
      <c r="AE116" s="70">
        <f>$I116</f>
        <v>8725704.3984800037</v>
      </c>
      <c r="AF116" s="70">
        <f>$J116</f>
        <v>8872262.1210800204</v>
      </c>
      <c r="AG116" s="70">
        <f>$K116</f>
        <v>9177613.4942699969</v>
      </c>
      <c r="AH116" s="70">
        <f>$L116</f>
        <v>8401417.4849700034</v>
      </c>
      <c r="AI116" s="70">
        <f>$M116</f>
        <v>8693308.974330008</v>
      </c>
      <c r="AJ116" s="64"/>
      <c r="AK116" s="70">
        <f>$E116</f>
        <v>8354568.9297779948</v>
      </c>
      <c r="AL116" s="70">
        <f>$F116</f>
        <v>8842172.9218599945</v>
      </c>
      <c r="AM116" s="70">
        <f>$G116</f>
        <v>8116323.7262507882</v>
      </c>
      <c r="AN116" s="70">
        <f>$H116</f>
        <v>8897723.1690299939</v>
      </c>
      <c r="AO116" s="70">
        <f>$I116</f>
        <v>8725704.3984800037</v>
      </c>
      <c r="AP116" s="70">
        <f>$J116</f>
        <v>8872262.1210800204</v>
      </c>
      <c r="AQ116" s="70">
        <f>$K116</f>
        <v>9177613.4942699969</v>
      </c>
      <c r="AR116" s="70">
        <f>$L116</f>
        <v>8401417.4849700034</v>
      </c>
      <c r="AS116" s="70">
        <f>$M116</f>
        <v>8693308.974330008</v>
      </c>
      <c r="AT116" s="64"/>
      <c r="AU116" s="70">
        <f>$E116</f>
        <v>8354568.9297779948</v>
      </c>
      <c r="AV116" s="70">
        <f>$F116</f>
        <v>8842172.9218599945</v>
      </c>
      <c r="AW116" s="70">
        <f>$G116</f>
        <v>8116323.7262507882</v>
      </c>
      <c r="AX116" s="70">
        <f>$H116</f>
        <v>8897723.1690299939</v>
      </c>
      <c r="AY116" s="70">
        <f>$I116</f>
        <v>8725704.3984800037</v>
      </c>
      <c r="AZ116" s="70">
        <f>$J116</f>
        <v>8872262.1210800204</v>
      </c>
      <c r="BA116" s="70">
        <f>$K116</f>
        <v>9177613.4942699969</v>
      </c>
      <c r="BB116" s="70">
        <f>$L116</f>
        <v>8401417.4849700034</v>
      </c>
      <c r="BC116" s="70">
        <f>$M116</f>
        <v>8693308.974330008</v>
      </c>
      <c r="BD116" s="182"/>
      <c r="BE116" s="64"/>
      <c r="BF116" s="70">
        <f>$E116</f>
        <v>8354568.9297779948</v>
      </c>
      <c r="BG116" s="70">
        <f>$F116</f>
        <v>8842172.9218599945</v>
      </c>
      <c r="BH116" s="70">
        <f>$G116</f>
        <v>8116323.7262507882</v>
      </c>
      <c r="BI116" s="70">
        <f>$H116</f>
        <v>8897723.1690299939</v>
      </c>
      <c r="BJ116" s="70">
        <f>$I116</f>
        <v>8725704.3984800037</v>
      </c>
      <c r="BK116" s="70">
        <f>$J116</f>
        <v>8872262.1210800204</v>
      </c>
      <c r="BL116" s="70">
        <f>$K116</f>
        <v>9177613.4942699969</v>
      </c>
      <c r="BM116" s="70">
        <f>$L116</f>
        <v>8401417.4849700034</v>
      </c>
      <c r="BN116" s="70">
        <f>$M116</f>
        <v>8693308.974330008</v>
      </c>
      <c r="BO116" s="64"/>
    </row>
    <row r="117" spans="2:67" x14ac:dyDescent="0.3">
      <c r="C117" s="71"/>
      <c r="D117" s="120"/>
      <c r="E117" s="169"/>
      <c r="F117" s="169"/>
      <c r="G117" s="169"/>
      <c r="H117" s="169"/>
      <c r="I117" s="169"/>
      <c r="J117" s="169"/>
      <c r="K117" s="169"/>
      <c r="L117" s="169"/>
      <c r="M117" s="169"/>
      <c r="P117" s="71"/>
      <c r="Q117" s="71"/>
      <c r="R117" s="71"/>
      <c r="S117" s="71"/>
      <c r="T117" s="71"/>
      <c r="U117" s="71"/>
      <c r="V117" s="71"/>
      <c r="W117" s="71"/>
      <c r="X117" s="71"/>
      <c r="AA117" s="71"/>
      <c r="AB117" s="71"/>
      <c r="AC117" s="71"/>
      <c r="AD117" s="71"/>
      <c r="AE117" s="71"/>
      <c r="AF117" s="71"/>
      <c r="AG117" s="71"/>
      <c r="AH117" s="71"/>
      <c r="AI117" s="71"/>
      <c r="AK117" s="71"/>
      <c r="AL117" s="71"/>
      <c r="AM117" s="71"/>
      <c r="AN117" s="71"/>
      <c r="AO117" s="71"/>
      <c r="AP117" s="71"/>
      <c r="AQ117" s="71"/>
      <c r="AR117" s="71"/>
      <c r="AS117" s="71"/>
      <c r="AU117" s="71"/>
      <c r="AV117" s="71"/>
      <c r="AW117" s="71"/>
      <c r="AX117" s="71"/>
      <c r="AY117" s="71"/>
      <c r="AZ117" s="71"/>
      <c r="BA117" s="71"/>
      <c r="BB117" s="71"/>
      <c r="BC117" s="71"/>
      <c r="BF117" s="71"/>
      <c r="BG117" s="71"/>
      <c r="BH117" s="71"/>
      <c r="BI117" s="71"/>
      <c r="BJ117" s="71"/>
      <c r="BK117" s="71"/>
      <c r="BL117" s="71"/>
      <c r="BM117" s="71"/>
      <c r="BN117" s="71"/>
    </row>
    <row r="118" spans="2:67" x14ac:dyDescent="0.3">
      <c r="C118" s="80" t="s">
        <v>140</v>
      </c>
      <c r="D118" s="122"/>
      <c r="E118" s="100">
        <f t="shared" ref="E118:J118" si="220">SUM(E119:E121)</f>
        <v>12798075.542949991</v>
      </c>
      <c r="F118" s="100">
        <f t="shared" si="220"/>
        <v>12011367.004119981</v>
      </c>
      <c r="G118" s="100">
        <f t="shared" si="220"/>
        <v>12243417.612149997</v>
      </c>
      <c r="H118" s="100">
        <f t="shared" si="220"/>
        <v>11924032.578379994</v>
      </c>
      <c r="I118" s="100">
        <f t="shared" si="220"/>
        <v>12391804.69226999</v>
      </c>
      <c r="J118" s="100">
        <f t="shared" si="220"/>
        <v>11390455.882669983</v>
      </c>
      <c r="K118" s="100">
        <f>SUM(K119:K121)</f>
        <v>11081857.713189986</v>
      </c>
      <c r="L118" s="100">
        <f>SUM(L119:L121)</f>
        <v>11522960.100619998</v>
      </c>
      <c r="M118" s="100">
        <f>SUM(M119:M121)</f>
        <v>11024144.677850001</v>
      </c>
      <c r="N118" s="187">
        <f>M118/I118-1</f>
        <v>-0.11036810604940672</v>
      </c>
      <c r="P118" s="100">
        <f t="shared" ref="P118:X118" si="221">SUM(P119:P121)</f>
        <v>12798075.542949991</v>
      </c>
      <c r="Q118" s="100">
        <f t="shared" si="221"/>
        <v>12011367.004119981</v>
      </c>
      <c r="R118" s="100">
        <f t="shared" si="221"/>
        <v>12243417.612149997</v>
      </c>
      <c r="S118" s="100">
        <f t="shared" si="221"/>
        <v>11924032.578379994</v>
      </c>
      <c r="T118" s="100">
        <f t="shared" si="221"/>
        <v>12391804.69226999</v>
      </c>
      <c r="U118" s="100">
        <f t="shared" si="221"/>
        <v>11390455.882669983</v>
      </c>
      <c r="V118" s="100">
        <f t="shared" si="221"/>
        <v>11081857.713189986</v>
      </c>
      <c r="W118" s="100">
        <f t="shared" si="221"/>
        <v>11522960.100619998</v>
      </c>
      <c r="X118" s="100">
        <f t="shared" si="221"/>
        <v>11024144.677850001</v>
      </c>
      <c r="Y118" s="187">
        <f>X118/T118-1</f>
        <v>-0.11036810604940672</v>
      </c>
      <c r="AA118" s="100">
        <f t="shared" ref="AA118:AI118" si="222">SUM(AA119:AA121)</f>
        <v>12798075.542949991</v>
      </c>
      <c r="AB118" s="100">
        <f t="shared" si="222"/>
        <v>12011367.004119981</v>
      </c>
      <c r="AC118" s="100">
        <f t="shared" si="222"/>
        <v>12243417.612149997</v>
      </c>
      <c r="AD118" s="100">
        <f t="shared" si="222"/>
        <v>11924032.578379994</v>
      </c>
      <c r="AE118" s="100">
        <f t="shared" si="222"/>
        <v>12391804.69226999</v>
      </c>
      <c r="AF118" s="100">
        <f t="shared" si="222"/>
        <v>11390455.882669983</v>
      </c>
      <c r="AG118" s="100">
        <f t="shared" si="222"/>
        <v>11081857.713189986</v>
      </c>
      <c r="AH118" s="100">
        <f t="shared" si="222"/>
        <v>11522960.100619998</v>
      </c>
      <c r="AI118" s="100">
        <f t="shared" si="222"/>
        <v>11024144.677850001</v>
      </c>
      <c r="AJ118" s="70"/>
      <c r="AK118" s="100">
        <f t="shared" ref="AK118:AS118" si="223">SUM(AK119:AK121)</f>
        <v>12798075.542949991</v>
      </c>
      <c r="AL118" s="100">
        <f t="shared" si="223"/>
        <v>12011367.004119981</v>
      </c>
      <c r="AM118" s="100">
        <f t="shared" si="223"/>
        <v>12243417.612149997</v>
      </c>
      <c r="AN118" s="100">
        <f t="shared" si="223"/>
        <v>11924032.578379994</v>
      </c>
      <c r="AO118" s="100">
        <f t="shared" si="223"/>
        <v>12391804.69226999</v>
      </c>
      <c r="AP118" s="100">
        <f t="shared" si="223"/>
        <v>11390455.882669983</v>
      </c>
      <c r="AQ118" s="100">
        <f t="shared" si="223"/>
        <v>11081857.713189986</v>
      </c>
      <c r="AR118" s="100">
        <f t="shared" si="223"/>
        <v>11522960.100619998</v>
      </c>
      <c r="AS118" s="100">
        <f t="shared" si="223"/>
        <v>11024144.677850001</v>
      </c>
      <c r="AT118" s="70"/>
      <c r="AU118" s="100">
        <f t="shared" ref="AU118:BC118" si="224">SUM(AU119:AU121)</f>
        <v>12798075.542949991</v>
      </c>
      <c r="AV118" s="100">
        <f t="shared" si="224"/>
        <v>12011367.004119981</v>
      </c>
      <c r="AW118" s="100">
        <f t="shared" si="224"/>
        <v>12243417.612149997</v>
      </c>
      <c r="AX118" s="100">
        <f t="shared" si="224"/>
        <v>11924032.578379994</v>
      </c>
      <c r="AY118" s="100">
        <f t="shared" si="224"/>
        <v>12391804.69226999</v>
      </c>
      <c r="AZ118" s="100">
        <f t="shared" si="224"/>
        <v>11390455.882669983</v>
      </c>
      <c r="BA118" s="100">
        <f t="shared" si="224"/>
        <v>11081857.713189986</v>
      </c>
      <c r="BB118" s="100">
        <f t="shared" si="224"/>
        <v>11522960.100619998</v>
      </c>
      <c r="BC118" s="100">
        <f t="shared" si="224"/>
        <v>11024144.677850001</v>
      </c>
      <c r="BD118" s="187">
        <f>BC118/AY118-1</f>
        <v>-0.11036810604940672</v>
      </c>
      <c r="BE118" s="70"/>
      <c r="BF118" s="100">
        <f t="shared" ref="BF118:BN118" si="225">SUM(BF119:BF121)</f>
        <v>12798075.542949991</v>
      </c>
      <c r="BG118" s="100">
        <f t="shared" si="225"/>
        <v>12011367.004119981</v>
      </c>
      <c r="BH118" s="100">
        <f t="shared" si="225"/>
        <v>12243417.612149997</v>
      </c>
      <c r="BI118" s="100">
        <f t="shared" si="225"/>
        <v>11924032.578379994</v>
      </c>
      <c r="BJ118" s="100">
        <f t="shared" si="225"/>
        <v>12391804.69226999</v>
      </c>
      <c r="BK118" s="100">
        <f t="shared" si="225"/>
        <v>11390455.882669983</v>
      </c>
      <c r="BL118" s="100">
        <f t="shared" si="225"/>
        <v>11081857.713189986</v>
      </c>
      <c r="BM118" s="100">
        <f t="shared" si="225"/>
        <v>11522960.100619998</v>
      </c>
      <c r="BN118" s="100">
        <f t="shared" si="225"/>
        <v>11024144.677850001</v>
      </c>
      <c r="BO118" s="70"/>
    </row>
    <row r="119" spans="2:67" x14ac:dyDescent="0.3">
      <c r="C119" s="71" t="s">
        <v>49</v>
      </c>
      <c r="D119" s="120"/>
      <c r="E119" s="69">
        <v>5998726.2465499686</v>
      </c>
      <c r="F119" s="69">
        <v>5323065.8950299574</v>
      </c>
      <c r="G119" s="69">
        <v>5672030.0144699765</v>
      </c>
      <c r="H119" s="69">
        <v>4967071.055399972</v>
      </c>
      <c r="I119" s="69">
        <v>5413218.825049961</v>
      </c>
      <c r="J119" s="69">
        <v>4746905.2673899652</v>
      </c>
      <c r="K119" s="69">
        <v>4160278.7864099653</v>
      </c>
      <c r="L119" s="69">
        <v>4662955.4037599852</v>
      </c>
      <c r="M119" s="69">
        <v>4001360.4698499879</v>
      </c>
      <c r="N119" s="182">
        <f>M119/I119-1</f>
        <v>-0.26081678957194987</v>
      </c>
      <c r="P119" s="70">
        <f>$E119</f>
        <v>5998726.2465499686</v>
      </c>
      <c r="Q119" s="70">
        <f>$F119</f>
        <v>5323065.8950299574</v>
      </c>
      <c r="R119" s="70">
        <f>$G119</f>
        <v>5672030.0144699765</v>
      </c>
      <c r="S119" s="70">
        <f>$H119</f>
        <v>4967071.055399972</v>
      </c>
      <c r="T119" s="70">
        <f>$I119</f>
        <v>5413218.825049961</v>
      </c>
      <c r="U119" s="70">
        <f>$J119</f>
        <v>4746905.2673899652</v>
      </c>
      <c r="V119" s="70">
        <f t="shared" ref="V119:X121" si="226">$K119</f>
        <v>4160278.7864099653</v>
      </c>
      <c r="W119" s="70">
        <f>$L119</f>
        <v>4662955.4037599852</v>
      </c>
      <c r="X119" s="70">
        <f>$M119</f>
        <v>4001360.4698499879</v>
      </c>
      <c r="Y119" s="182">
        <f>X119/T119-1</f>
        <v>-0.26081678957194987</v>
      </c>
      <c r="Z119" s="64"/>
      <c r="AA119" s="70">
        <f>$E119</f>
        <v>5998726.2465499686</v>
      </c>
      <c r="AB119" s="70">
        <f>$F119</f>
        <v>5323065.8950299574</v>
      </c>
      <c r="AC119" s="70">
        <f>$G119</f>
        <v>5672030.0144699765</v>
      </c>
      <c r="AD119" s="70">
        <f>$H119</f>
        <v>4967071.055399972</v>
      </c>
      <c r="AE119" s="70">
        <f>$I119</f>
        <v>5413218.825049961</v>
      </c>
      <c r="AF119" s="70">
        <f>$J119</f>
        <v>4746905.2673899652</v>
      </c>
      <c r="AG119" s="70">
        <f t="shared" ref="AG119:AI121" si="227">$K119</f>
        <v>4160278.7864099653</v>
      </c>
      <c r="AH119" s="70">
        <f>$L119</f>
        <v>4662955.4037599852</v>
      </c>
      <c r="AI119" s="70">
        <f>$M119</f>
        <v>4001360.4698499879</v>
      </c>
      <c r="AJ119" s="64"/>
      <c r="AK119" s="70">
        <f>$E119</f>
        <v>5998726.2465499686</v>
      </c>
      <c r="AL119" s="70">
        <f>$F119</f>
        <v>5323065.8950299574</v>
      </c>
      <c r="AM119" s="70">
        <f>$G119</f>
        <v>5672030.0144699765</v>
      </c>
      <c r="AN119" s="70">
        <f>$H119</f>
        <v>4967071.055399972</v>
      </c>
      <c r="AO119" s="70">
        <f>$I119</f>
        <v>5413218.825049961</v>
      </c>
      <c r="AP119" s="70">
        <f>$J119</f>
        <v>4746905.2673899652</v>
      </c>
      <c r="AQ119" s="70">
        <f t="shared" ref="AQ119:AS121" si="228">$K119</f>
        <v>4160278.7864099653</v>
      </c>
      <c r="AR119" s="70">
        <f>$L119</f>
        <v>4662955.4037599852</v>
      </c>
      <c r="AS119" s="70">
        <f>$M119</f>
        <v>4001360.4698499879</v>
      </c>
      <c r="AT119" s="64"/>
      <c r="AU119" s="70">
        <f>$E119</f>
        <v>5998726.2465499686</v>
      </c>
      <c r="AV119" s="70">
        <f>$F119</f>
        <v>5323065.8950299574</v>
      </c>
      <c r="AW119" s="70">
        <f>$G119</f>
        <v>5672030.0144699765</v>
      </c>
      <c r="AX119" s="70">
        <f>$H119</f>
        <v>4967071.055399972</v>
      </c>
      <c r="AY119" s="70">
        <f>$I119</f>
        <v>5413218.825049961</v>
      </c>
      <c r="AZ119" s="70">
        <f>$J119</f>
        <v>4746905.2673899652</v>
      </c>
      <c r="BA119" s="70">
        <f t="shared" ref="BA119:BC121" si="229">$K119</f>
        <v>4160278.7864099653</v>
      </c>
      <c r="BB119" s="70">
        <f>$L119</f>
        <v>4662955.4037599852</v>
      </c>
      <c r="BC119" s="70">
        <f>$M119</f>
        <v>4001360.4698499879</v>
      </c>
      <c r="BD119" s="182">
        <f>BC119/AY119-1</f>
        <v>-0.26081678957194987</v>
      </c>
      <c r="BE119" s="64"/>
      <c r="BF119" s="70">
        <f>$E119</f>
        <v>5998726.2465499686</v>
      </c>
      <c r="BG119" s="70">
        <f>$F119</f>
        <v>5323065.8950299574</v>
      </c>
      <c r="BH119" s="70">
        <f>$G119</f>
        <v>5672030.0144699765</v>
      </c>
      <c r="BI119" s="70">
        <f>$H119</f>
        <v>4967071.055399972</v>
      </c>
      <c r="BJ119" s="70">
        <f>$I119</f>
        <v>5413218.825049961</v>
      </c>
      <c r="BK119" s="70">
        <f>$J119</f>
        <v>4746905.2673899652</v>
      </c>
      <c r="BL119" s="70">
        <f t="shared" ref="BL119:BN121" si="230">$K119</f>
        <v>4160278.7864099653</v>
      </c>
      <c r="BM119" s="70">
        <f>$L119</f>
        <v>4662955.4037599852</v>
      </c>
      <c r="BN119" s="70">
        <f>$M119</f>
        <v>4001360.4698499879</v>
      </c>
      <c r="BO119" s="64"/>
    </row>
    <row r="120" spans="2:67" x14ac:dyDescent="0.3">
      <c r="C120" s="71" t="s">
        <v>50</v>
      </c>
      <c r="D120" s="120"/>
      <c r="E120" s="69">
        <v>6745142.9991400242</v>
      </c>
      <c r="F120" s="69">
        <v>6623606.911420024</v>
      </c>
      <c r="G120" s="69">
        <v>6505403.2891100198</v>
      </c>
      <c r="H120" s="69">
        <v>6838789.4973500241</v>
      </c>
      <c r="I120" s="69">
        <v>6908075.0035100309</v>
      </c>
      <c r="J120" s="69">
        <v>6563734.0941800186</v>
      </c>
      <c r="K120" s="69">
        <v>6844743.6074900189</v>
      </c>
      <c r="L120" s="69">
        <v>6811331.560350013</v>
      </c>
      <c r="M120" s="69">
        <v>6954678.4093500134</v>
      </c>
      <c r="N120" s="182">
        <f>M120/I120-1</f>
        <v>6.7462217500973143E-3</v>
      </c>
      <c r="P120" s="70">
        <f>$E120</f>
        <v>6745142.9991400242</v>
      </c>
      <c r="Q120" s="70">
        <f>$F120</f>
        <v>6623606.911420024</v>
      </c>
      <c r="R120" s="70">
        <f>$G120</f>
        <v>6505403.2891100198</v>
      </c>
      <c r="S120" s="70">
        <f>$H120</f>
        <v>6838789.4973500241</v>
      </c>
      <c r="T120" s="70">
        <f>$I120</f>
        <v>6908075.0035100309</v>
      </c>
      <c r="U120" s="70">
        <f>$J120</f>
        <v>6563734.0941800186</v>
      </c>
      <c r="V120" s="70">
        <f t="shared" si="226"/>
        <v>6844743.6074900189</v>
      </c>
      <c r="W120" s="70">
        <f>$L120</f>
        <v>6811331.560350013</v>
      </c>
      <c r="X120" s="70">
        <f>$M120</f>
        <v>6954678.4093500134</v>
      </c>
      <c r="Y120" s="182">
        <f>X120/T120-1</f>
        <v>6.7462217500973143E-3</v>
      </c>
      <c r="Z120" s="64"/>
      <c r="AA120" s="70">
        <f>$E120</f>
        <v>6745142.9991400242</v>
      </c>
      <c r="AB120" s="70">
        <f>$F120</f>
        <v>6623606.911420024</v>
      </c>
      <c r="AC120" s="70">
        <f>$G120</f>
        <v>6505403.2891100198</v>
      </c>
      <c r="AD120" s="70">
        <f>$H120</f>
        <v>6838789.4973500241</v>
      </c>
      <c r="AE120" s="70">
        <f>$I120</f>
        <v>6908075.0035100309</v>
      </c>
      <c r="AF120" s="70">
        <f>$J120</f>
        <v>6563734.0941800186</v>
      </c>
      <c r="AG120" s="70">
        <f t="shared" si="227"/>
        <v>6844743.6074900189</v>
      </c>
      <c r="AH120" s="70">
        <f>$L120</f>
        <v>6811331.560350013</v>
      </c>
      <c r="AI120" s="70">
        <f>$M120</f>
        <v>6954678.4093500134</v>
      </c>
      <c r="AJ120" s="64"/>
      <c r="AK120" s="70">
        <f>$E120</f>
        <v>6745142.9991400242</v>
      </c>
      <c r="AL120" s="70">
        <f>$F120</f>
        <v>6623606.911420024</v>
      </c>
      <c r="AM120" s="70">
        <f>$G120</f>
        <v>6505403.2891100198</v>
      </c>
      <c r="AN120" s="70">
        <f>$H120</f>
        <v>6838789.4973500241</v>
      </c>
      <c r="AO120" s="70">
        <f>$I120</f>
        <v>6908075.0035100309</v>
      </c>
      <c r="AP120" s="70">
        <f>$J120</f>
        <v>6563734.0941800186</v>
      </c>
      <c r="AQ120" s="70">
        <f t="shared" si="228"/>
        <v>6844743.6074900189</v>
      </c>
      <c r="AR120" s="70">
        <f>$L120</f>
        <v>6811331.560350013</v>
      </c>
      <c r="AS120" s="70">
        <f>$M120</f>
        <v>6954678.4093500134</v>
      </c>
      <c r="AT120" s="64"/>
      <c r="AU120" s="70">
        <f>$E120</f>
        <v>6745142.9991400242</v>
      </c>
      <c r="AV120" s="70">
        <f>$F120</f>
        <v>6623606.911420024</v>
      </c>
      <c r="AW120" s="70">
        <f>$G120</f>
        <v>6505403.2891100198</v>
      </c>
      <c r="AX120" s="70">
        <f>$H120</f>
        <v>6838789.4973500241</v>
      </c>
      <c r="AY120" s="70">
        <f>$I120</f>
        <v>6908075.0035100309</v>
      </c>
      <c r="AZ120" s="70">
        <f>$J120</f>
        <v>6563734.0941800186</v>
      </c>
      <c r="BA120" s="70">
        <f t="shared" si="229"/>
        <v>6844743.6074900189</v>
      </c>
      <c r="BB120" s="70">
        <f>$L120</f>
        <v>6811331.560350013</v>
      </c>
      <c r="BC120" s="70">
        <f>$M120</f>
        <v>6954678.4093500134</v>
      </c>
      <c r="BD120" s="182">
        <f>BC120/AY120-1</f>
        <v>6.7462217500973143E-3</v>
      </c>
      <c r="BE120" s="64"/>
      <c r="BF120" s="70">
        <f>$E120</f>
        <v>6745142.9991400242</v>
      </c>
      <c r="BG120" s="70">
        <f>$F120</f>
        <v>6623606.911420024</v>
      </c>
      <c r="BH120" s="70">
        <f>$G120</f>
        <v>6505403.2891100198</v>
      </c>
      <c r="BI120" s="70">
        <f>$H120</f>
        <v>6838789.4973500241</v>
      </c>
      <c r="BJ120" s="70">
        <f>$I120</f>
        <v>6908075.0035100309</v>
      </c>
      <c r="BK120" s="70">
        <f>$J120</f>
        <v>6563734.0941800186</v>
      </c>
      <c r="BL120" s="70">
        <f t="shared" si="230"/>
        <v>6844743.6074900189</v>
      </c>
      <c r="BM120" s="70">
        <f>$L120</f>
        <v>6811331.560350013</v>
      </c>
      <c r="BN120" s="70">
        <f>$M120</f>
        <v>6954678.4093500134</v>
      </c>
      <c r="BO120" s="64"/>
    </row>
    <row r="121" spans="2:67" x14ac:dyDescent="0.3">
      <c r="C121" s="71" t="s">
        <v>94</v>
      </c>
      <c r="D121" s="120"/>
      <c r="E121" s="69">
        <v>54206.297259999999</v>
      </c>
      <c r="F121" s="69">
        <v>64694.197669999994</v>
      </c>
      <c r="G121" s="69">
        <v>65984.308570000008</v>
      </c>
      <c r="H121" s="69">
        <v>118172.02563</v>
      </c>
      <c r="I121" s="69">
        <v>70510.863709999991</v>
      </c>
      <c r="J121" s="69">
        <v>79816.521099999998</v>
      </c>
      <c r="K121" s="69">
        <v>76835.319290000014</v>
      </c>
      <c r="L121" s="69">
        <v>48673.136510000004</v>
      </c>
      <c r="M121" s="69">
        <v>68105.798649999997</v>
      </c>
      <c r="N121" s="182">
        <f>M121/I121-1</f>
        <v>-3.4109141959906331E-2</v>
      </c>
      <c r="P121" s="70">
        <f>$E121</f>
        <v>54206.297259999999</v>
      </c>
      <c r="Q121" s="70">
        <f>$F121</f>
        <v>64694.197669999994</v>
      </c>
      <c r="R121" s="70">
        <f>$G121</f>
        <v>65984.308570000008</v>
      </c>
      <c r="S121" s="70">
        <f>$H121</f>
        <v>118172.02563</v>
      </c>
      <c r="T121" s="70">
        <f>$I121</f>
        <v>70510.863709999991</v>
      </c>
      <c r="U121" s="70">
        <f>$J121</f>
        <v>79816.521099999998</v>
      </c>
      <c r="V121" s="70">
        <f t="shared" si="226"/>
        <v>76835.319290000014</v>
      </c>
      <c r="W121" s="70">
        <f>$L121</f>
        <v>48673.136510000004</v>
      </c>
      <c r="X121" s="70">
        <f>$M121</f>
        <v>68105.798649999997</v>
      </c>
      <c r="Y121" s="182">
        <f>X121/T121-1</f>
        <v>-3.4109141959906331E-2</v>
      </c>
      <c r="Z121" s="64"/>
      <c r="AA121" s="70">
        <f>$E121</f>
        <v>54206.297259999999</v>
      </c>
      <c r="AB121" s="70">
        <f>$F121</f>
        <v>64694.197669999994</v>
      </c>
      <c r="AC121" s="70">
        <f>$G121</f>
        <v>65984.308570000008</v>
      </c>
      <c r="AD121" s="70">
        <f>$H121</f>
        <v>118172.02563</v>
      </c>
      <c r="AE121" s="70">
        <f>$I121</f>
        <v>70510.863709999991</v>
      </c>
      <c r="AF121" s="70">
        <f>$J121</f>
        <v>79816.521099999998</v>
      </c>
      <c r="AG121" s="70">
        <f t="shared" si="227"/>
        <v>76835.319290000014</v>
      </c>
      <c r="AH121" s="70">
        <f>$L121</f>
        <v>48673.136510000004</v>
      </c>
      <c r="AI121" s="70">
        <f>$M121</f>
        <v>68105.798649999997</v>
      </c>
      <c r="AJ121" s="64"/>
      <c r="AK121" s="70">
        <f>$E121</f>
        <v>54206.297259999999</v>
      </c>
      <c r="AL121" s="70">
        <f>$F121</f>
        <v>64694.197669999994</v>
      </c>
      <c r="AM121" s="70">
        <f>$G121</f>
        <v>65984.308570000008</v>
      </c>
      <c r="AN121" s="70">
        <f>$H121</f>
        <v>118172.02563</v>
      </c>
      <c r="AO121" s="70">
        <f>$I121</f>
        <v>70510.863709999991</v>
      </c>
      <c r="AP121" s="70">
        <f>$J121</f>
        <v>79816.521099999998</v>
      </c>
      <c r="AQ121" s="70">
        <f t="shared" si="228"/>
        <v>76835.319290000014</v>
      </c>
      <c r="AR121" s="70">
        <f>$L121</f>
        <v>48673.136510000004</v>
      </c>
      <c r="AS121" s="70">
        <f>$M121</f>
        <v>68105.798649999997</v>
      </c>
      <c r="AT121" s="64"/>
      <c r="AU121" s="70">
        <f>$E121</f>
        <v>54206.297259999999</v>
      </c>
      <c r="AV121" s="70">
        <f>$F121</f>
        <v>64694.197669999994</v>
      </c>
      <c r="AW121" s="70">
        <f>$G121</f>
        <v>65984.308570000008</v>
      </c>
      <c r="AX121" s="70">
        <f>$H121</f>
        <v>118172.02563</v>
      </c>
      <c r="AY121" s="70">
        <f>$I121</f>
        <v>70510.863709999991</v>
      </c>
      <c r="AZ121" s="70">
        <f>$J121</f>
        <v>79816.521099999998</v>
      </c>
      <c r="BA121" s="70">
        <f t="shared" si="229"/>
        <v>76835.319290000014</v>
      </c>
      <c r="BB121" s="70">
        <f>$L121</f>
        <v>48673.136510000004</v>
      </c>
      <c r="BC121" s="70">
        <f>$M121</f>
        <v>68105.798649999997</v>
      </c>
      <c r="BD121" s="182">
        <f>BC121/AY121-1</f>
        <v>-3.4109141959906331E-2</v>
      </c>
      <c r="BE121" s="64"/>
      <c r="BF121" s="70">
        <f>$E121</f>
        <v>54206.297259999999</v>
      </c>
      <c r="BG121" s="70">
        <f>$F121</f>
        <v>64694.197669999994</v>
      </c>
      <c r="BH121" s="70">
        <f>$G121</f>
        <v>65984.308570000008</v>
      </c>
      <c r="BI121" s="70">
        <f>$H121</f>
        <v>118172.02563</v>
      </c>
      <c r="BJ121" s="70">
        <f>$I121</f>
        <v>70510.863709999991</v>
      </c>
      <c r="BK121" s="70">
        <f>$J121</f>
        <v>79816.521099999998</v>
      </c>
      <c r="BL121" s="70">
        <f t="shared" si="230"/>
        <v>76835.319290000014</v>
      </c>
      <c r="BM121" s="70">
        <f>$L121</f>
        <v>48673.136510000004</v>
      </c>
      <c r="BN121" s="70">
        <f>$M121</f>
        <v>68105.798649999997</v>
      </c>
      <c r="BO121" s="64"/>
    </row>
    <row r="122" spans="2:67" x14ac:dyDescent="0.3">
      <c r="C122" s="101"/>
      <c r="D122" s="123"/>
    </row>
    <row r="123" spans="2:67" ht="13.5" thickBot="1" x14ac:dyDescent="0.35">
      <c r="C123" s="78" t="s">
        <v>141</v>
      </c>
      <c r="D123" s="124"/>
      <c r="E123" s="72">
        <f t="shared" ref="E123:M123" si="231">E115+E118</f>
        <v>21152644.472727984</v>
      </c>
      <c r="F123" s="72">
        <f t="shared" si="231"/>
        <v>20853539.925979976</v>
      </c>
      <c r="G123" s="72">
        <f t="shared" si="231"/>
        <v>20359741.338400785</v>
      </c>
      <c r="H123" s="72">
        <f t="shared" si="231"/>
        <v>20821755.747409988</v>
      </c>
      <c r="I123" s="72">
        <f t="shared" si="231"/>
        <v>21117509.090749994</v>
      </c>
      <c r="J123" s="72">
        <f t="shared" si="231"/>
        <v>20262718.003750004</v>
      </c>
      <c r="K123" s="72">
        <f t="shared" si="231"/>
        <v>20259471.207459982</v>
      </c>
      <c r="L123" s="72">
        <f t="shared" si="231"/>
        <v>19924377.585590001</v>
      </c>
      <c r="M123" s="72">
        <f t="shared" si="231"/>
        <v>19717453.652180009</v>
      </c>
      <c r="N123" s="200">
        <f>M123/I123-1</f>
        <v>-6.6298322996022563E-2</v>
      </c>
      <c r="P123" s="72">
        <f t="shared" ref="P123:U123" si="232">P118+P115</f>
        <v>21152644.472727984</v>
      </c>
      <c r="Q123" s="72">
        <f t="shared" si="232"/>
        <v>20853539.925979976</v>
      </c>
      <c r="R123" s="72">
        <f t="shared" si="232"/>
        <v>20359741.338400785</v>
      </c>
      <c r="S123" s="72">
        <f t="shared" si="232"/>
        <v>20821755.747409988</v>
      </c>
      <c r="T123" s="72">
        <f t="shared" si="232"/>
        <v>21117509.090749994</v>
      </c>
      <c r="U123" s="72">
        <f t="shared" si="232"/>
        <v>20262718.003750004</v>
      </c>
      <c r="V123" s="72">
        <f>V118+V115</f>
        <v>20259471.207459982</v>
      </c>
      <c r="W123" s="72">
        <f>W118+W115</f>
        <v>19924377.585590001</v>
      </c>
      <c r="X123" s="72">
        <f>X118+X115</f>
        <v>19717453.652180009</v>
      </c>
      <c r="Y123" s="200">
        <f>X123/T123-1</f>
        <v>-6.6298322996022563E-2</v>
      </c>
      <c r="AA123" s="72">
        <f t="shared" ref="AA123:AF123" si="233">AA118+AA115</f>
        <v>21152644.472727984</v>
      </c>
      <c r="AB123" s="72">
        <f t="shared" si="233"/>
        <v>20853539.925979976</v>
      </c>
      <c r="AC123" s="72">
        <f t="shared" si="233"/>
        <v>20359741.338400785</v>
      </c>
      <c r="AD123" s="72">
        <f t="shared" si="233"/>
        <v>20821755.747409988</v>
      </c>
      <c r="AE123" s="72">
        <f t="shared" si="233"/>
        <v>21117509.090749994</v>
      </c>
      <c r="AF123" s="72">
        <f t="shared" si="233"/>
        <v>20262718.003750004</v>
      </c>
      <c r="AG123" s="72">
        <f>AG118+AG115</f>
        <v>20259471.207459982</v>
      </c>
      <c r="AH123" s="72">
        <f>AH118+AH115</f>
        <v>19924377.585590001</v>
      </c>
      <c r="AI123" s="72">
        <f>AI118+AI115</f>
        <v>19717453.652180009</v>
      </c>
      <c r="AK123" s="72">
        <f t="shared" ref="AK123:AP123" si="234">AK118+AK115</f>
        <v>21152644.472727984</v>
      </c>
      <c r="AL123" s="72">
        <f t="shared" si="234"/>
        <v>20853539.925979976</v>
      </c>
      <c r="AM123" s="72">
        <f t="shared" si="234"/>
        <v>20359741.338400785</v>
      </c>
      <c r="AN123" s="72">
        <f t="shared" si="234"/>
        <v>20821755.747409988</v>
      </c>
      <c r="AO123" s="72">
        <f t="shared" si="234"/>
        <v>21117509.090749994</v>
      </c>
      <c r="AP123" s="72">
        <f t="shared" si="234"/>
        <v>20262718.003750004</v>
      </c>
      <c r="AQ123" s="72">
        <f>AQ118+AQ115</f>
        <v>20259471.207459982</v>
      </c>
      <c r="AR123" s="72">
        <f>AR118+AR115</f>
        <v>19924377.585590001</v>
      </c>
      <c r="AS123" s="72">
        <f>AS118+AS115</f>
        <v>19717453.652180009</v>
      </c>
      <c r="AU123" s="72">
        <f t="shared" ref="AU123:AZ123" si="235">AU118+AU115</f>
        <v>21152644.472727984</v>
      </c>
      <c r="AV123" s="72">
        <f t="shared" si="235"/>
        <v>20853539.925979976</v>
      </c>
      <c r="AW123" s="72">
        <f t="shared" si="235"/>
        <v>20359741.338400785</v>
      </c>
      <c r="AX123" s="72">
        <f t="shared" si="235"/>
        <v>20821755.747409988</v>
      </c>
      <c r="AY123" s="72">
        <f t="shared" si="235"/>
        <v>21117509.090749994</v>
      </c>
      <c r="AZ123" s="72">
        <f t="shared" si="235"/>
        <v>20262718.003750004</v>
      </c>
      <c r="BA123" s="72">
        <f>BA118+BA115</f>
        <v>20259471.207459982</v>
      </c>
      <c r="BB123" s="72">
        <f>BB118+BB115</f>
        <v>19924377.585590001</v>
      </c>
      <c r="BC123" s="72">
        <f>BC118+BC115</f>
        <v>19717453.652180009</v>
      </c>
      <c r="BD123" s="200">
        <f>BC123/AY123-1</f>
        <v>-6.6298322996022563E-2</v>
      </c>
      <c r="BF123" s="72">
        <f t="shared" ref="BF123:BK123" si="236">BF118+BF115</f>
        <v>21152644.472727984</v>
      </c>
      <c r="BG123" s="72">
        <f t="shared" si="236"/>
        <v>20853539.925979976</v>
      </c>
      <c r="BH123" s="72">
        <f t="shared" si="236"/>
        <v>20359741.338400785</v>
      </c>
      <c r="BI123" s="72">
        <f t="shared" si="236"/>
        <v>20821755.747409988</v>
      </c>
      <c r="BJ123" s="72">
        <f t="shared" si="236"/>
        <v>21117509.090749994</v>
      </c>
      <c r="BK123" s="72">
        <f t="shared" si="236"/>
        <v>20262718.003750004</v>
      </c>
      <c r="BL123" s="72">
        <f>BL118+BL115</f>
        <v>20259471.207459982</v>
      </c>
      <c r="BM123" s="72">
        <f>BM118+BM115</f>
        <v>19924377.585590001</v>
      </c>
      <c r="BN123" s="72">
        <f>BN118+BN115</f>
        <v>19717453.652180009</v>
      </c>
    </row>
    <row r="124" spans="2:67" x14ac:dyDescent="0.3">
      <c r="C124" s="39"/>
      <c r="D124" s="109"/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P124" s="130"/>
      <c r="Q124" s="143"/>
      <c r="R124" s="143"/>
      <c r="S124" s="143"/>
      <c r="T124" s="143"/>
      <c r="U124" s="143"/>
      <c r="V124" s="143"/>
      <c r="W124" s="143"/>
      <c r="X124" s="143"/>
      <c r="Y124" s="131"/>
      <c r="AA124" s="130"/>
      <c r="AB124" s="143"/>
      <c r="AC124" s="143"/>
      <c r="AD124" s="143"/>
      <c r="AE124" s="143"/>
      <c r="AF124" s="143"/>
      <c r="AG124" s="143"/>
      <c r="AH124" s="143"/>
      <c r="AI124" s="143"/>
      <c r="AK124" s="130"/>
      <c r="AL124" s="143"/>
      <c r="AM124" s="143"/>
      <c r="AN124" s="143"/>
      <c r="AO124" s="143"/>
      <c r="AP124" s="143"/>
      <c r="AQ124" s="143"/>
      <c r="AR124" s="143"/>
      <c r="AS124" s="143"/>
      <c r="AU124" s="130"/>
      <c r="AV124" s="143"/>
      <c r="AW124" s="143"/>
      <c r="AX124" s="143"/>
      <c r="AY124" s="143"/>
      <c r="AZ124" s="143"/>
      <c r="BA124" s="143"/>
      <c r="BB124" s="143"/>
      <c r="BC124" s="143"/>
      <c r="BD124" s="131"/>
      <c r="BF124" s="130"/>
      <c r="BG124" s="143"/>
      <c r="BH124" s="143"/>
      <c r="BI124" s="143"/>
      <c r="BJ124" s="143"/>
      <c r="BK124" s="143"/>
      <c r="BL124" s="143"/>
      <c r="BM124" s="143"/>
      <c r="BN124" s="143"/>
    </row>
    <row r="125" spans="2:67" x14ac:dyDescent="0.3">
      <c r="C125" s="39"/>
      <c r="D125" s="109"/>
      <c r="E125" s="131"/>
      <c r="F125" s="131"/>
      <c r="G125" s="131"/>
      <c r="H125" s="131"/>
      <c r="I125" s="131"/>
      <c r="J125" s="131"/>
      <c r="K125" s="131"/>
      <c r="L125" s="131"/>
      <c r="M125" s="131"/>
      <c r="N125" s="169"/>
      <c r="P125" s="40"/>
      <c r="Q125" s="40"/>
      <c r="R125" s="40"/>
      <c r="S125" s="40"/>
      <c r="T125" s="40"/>
      <c r="U125" s="40"/>
      <c r="V125" s="40"/>
      <c r="W125" s="40"/>
      <c r="X125" s="40"/>
      <c r="Y125" s="169"/>
      <c r="AA125" s="40"/>
      <c r="AB125" s="40"/>
      <c r="AC125" s="40"/>
      <c r="AD125" s="40"/>
      <c r="AE125" s="40"/>
      <c r="AF125" s="40"/>
      <c r="AG125" s="40"/>
      <c r="AH125" s="40"/>
      <c r="AI125" s="40"/>
      <c r="AK125" s="40"/>
      <c r="AL125" s="40"/>
      <c r="AM125" s="40"/>
      <c r="AN125" s="40"/>
      <c r="AO125" s="40"/>
      <c r="AP125" s="40"/>
      <c r="AQ125" s="40"/>
      <c r="AR125" s="40"/>
      <c r="AS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169"/>
      <c r="BF125" s="40"/>
      <c r="BG125" s="40"/>
      <c r="BH125" s="40"/>
      <c r="BI125" s="40"/>
      <c r="BJ125" s="40"/>
      <c r="BK125" s="40"/>
      <c r="BL125" s="40"/>
      <c r="BM125" s="40"/>
      <c r="BN125" s="40"/>
    </row>
    <row r="126" spans="2:67" x14ac:dyDescent="0.3">
      <c r="C126" s="39"/>
      <c r="D126" s="109"/>
      <c r="E126" s="219"/>
      <c r="F126" s="219"/>
      <c r="G126" s="219"/>
      <c r="H126" s="219"/>
      <c r="I126" s="219"/>
      <c r="J126" s="219"/>
      <c r="K126" s="219"/>
      <c r="L126" s="219"/>
      <c r="M126" s="219"/>
      <c r="N126" s="131"/>
      <c r="P126" s="130"/>
      <c r="Q126" s="130"/>
      <c r="R126" s="130"/>
      <c r="S126" s="130"/>
      <c r="T126" s="130"/>
      <c r="U126" s="130"/>
      <c r="V126" s="130"/>
      <c r="W126" s="130"/>
      <c r="X126" s="130"/>
      <c r="Y126" s="131"/>
      <c r="AA126" s="130"/>
      <c r="AB126" s="130"/>
      <c r="AC126" s="130"/>
      <c r="AD126" s="130"/>
      <c r="AE126" s="130"/>
      <c r="AF126" s="130"/>
      <c r="AG126" s="130"/>
      <c r="AH126" s="130"/>
      <c r="AI126" s="130"/>
      <c r="AK126" s="130"/>
      <c r="AL126" s="130"/>
      <c r="AM126" s="130"/>
      <c r="AN126" s="130"/>
      <c r="AO126" s="130"/>
      <c r="AP126" s="130"/>
      <c r="AQ126" s="130"/>
      <c r="AR126" s="130"/>
      <c r="AS126" s="130"/>
      <c r="AU126" s="130"/>
      <c r="AV126" s="130"/>
      <c r="AW126" s="130"/>
      <c r="AX126" s="130"/>
      <c r="AY126" s="130"/>
      <c r="AZ126" s="130"/>
      <c r="BA126" s="130"/>
      <c r="BB126" s="130"/>
      <c r="BC126" s="130"/>
      <c r="BD126" s="131"/>
      <c r="BF126" s="130"/>
      <c r="BG126" s="130"/>
      <c r="BH126" s="130"/>
      <c r="BI126" s="130"/>
      <c r="BJ126" s="130"/>
      <c r="BK126" s="130"/>
      <c r="BL126" s="130"/>
      <c r="BM126" s="130"/>
      <c r="BN126" s="130"/>
    </row>
    <row r="127" spans="2:67" s="85" customFormat="1" x14ac:dyDescent="0.3">
      <c r="B127" s="84"/>
      <c r="C127" s="63" t="s">
        <v>125</v>
      </c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186"/>
      <c r="P127" s="63"/>
      <c r="Q127" s="63"/>
      <c r="R127" s="63"/>
      <c r="S127" s="63"/>
      <c r="T127" s="63"/>
      <c r="U127" s="63"/>
      <c r="V127" s="63"/>
      <c r="W127" s="63"/>
      <c r="X127" s="63"/>
      <c r="Y127" s="186"/>
      <c r="Z127" s="110"/>
      <c r="AA127" s="63"/>
      <c r="AB127" s="63"/>
      <c r="AC127" s="63"/>
      <c r="AD127" s="63"/>
      <c r="AE127" s="63"/>
      <c r="AF127" s="63"/>
      <c r="AG127" s="63"/>
      <c r="AH127" s="63"/>
      <c r="AI127" s="63"/>
      <c r="AJ127" s="110"/>
      <c r="AK127" s="63"/>
      <c r="AL127" s="63"/>
      <c r="AM127" s="63"/>
      <c r="AN127" s="63"/>
      <c r="AO127" s="63"/>
      <c r="AP127" s="63"/>
      <c r="AQ127" s="63"/>
      <c r="AR127" s="63"/>
      <c r="AS127" s="63"/>
      <c r="AT127" s="110"/>
      <c r="AU127" s="63"/>
      <c r="AV127" s="63"/>
      <c r="AW127" s="63"/>
      <c r="AX127" s="63"/>
      <c r="AY127" s="63"/>
      <c r="AZ127" s="63"/>
      <c r="BA127" s="63"/>
      <c r="BB127" s="63"/>
      <c r="BC127" s="63"/>
      <c r="BD127" s="186"/>
      <c r="BE127" s="110"/>
      <c r="BF127" s="63"/>
      <c r="BG127" s="63"/>
      <c r="BH127" s="63"/>
      <c r="BI127" s="63"/>
      <c r="BJ127" s="63"/>
      <c r="BK127" s="63"/>
      <c r="BL127" s="63"/>
      <c r="BM127" s="63"/>
      <c r="BN127" s="63"/>
      <c r="BO127" s="110"/>
    </row>
    <row r="128" spans="2:67" x14ac:dyDescent="0.3">
      <c r="C128" s="99" t="s">
        <v>124</v>
      </c>
      <c r="D128" s="125"/>
      <c r="E128" s="47">
        <f t="shared" ref="E128:K128" si="237">SUM(E129:E134)</f>
        <v>4499093.5467946893</v>
      </c>
      <c r="F128" s="47">
        <f t="shared" si="237"/>
        <v>2571162.7199487998</v>
      </c>
      <c r="G128" s="47">
        <f t="shared" si="237"/>
        <v>2159609.7029400002</v>
      </c>
      <c r="H128" s="47">
        <f t="shared" si="237"/>
        <v>3478289.434369999</v>
      </c>
      <c r="I128" s="47">
        <f t="shared" si="237"/>
        <v>3248345.96460984</v>
      </c>
      <c r="J128" s="47">
        <f t="shared" si="237"/>
        <v>2035686.5388098804</v>
      </c>
      <c r="K128" s="47">
        <f t="shared" si="237"/>
        <v>3003145.8216791702</v>
      </c>
      <c r="L128" s="47">
        <f>SUM(L129:L134)</f>
        <v>3305234.87662521</v>
      </c>
      <c r="M128" s="47">
        <f>SUM(M129:M134)</f>
        <v>3244321.0492150993</v>
      </c>
      <c r="N128" s="173">
        <f t="shared" ref="N128:N134" si="238">M128/I128-1</f>
        <v>-1.2390661089032307E-3</v>
      </c>
      <c r="P128" s="47">
        <f t="shared" ref="P128:V128" si="239">SUM(P129:P134)</f>
        <v>4499093.5467946893</v>
      </c>
      <c r="Q128" s="47">
        <f t="shared" si="239"/>
        <v>2571162.7199487998</v>
      </c>
      <c r="R128" s="47">
        <f t="shared" si="239"/>
        <v>2159609.7029400002</v>
      </c>
      <c r="S128" s="47">
        <f t="shared" si="239"/>
        <v>3478289.434369999</v>
      </c>
      <c r="T128" s="47">
        <f t="shared" si="239"/>
        <v>3248345.96460984</v>
      </c>
      <c r="U128" s="47">
        <f t="shared" si="239"/>
        <v>2035686.5388098804</v>
      </c>
      <c r="V128" s="47">
        <f t="shared" si="239"/>
        <v>3003145.8216791702</v>
      </c>
      <c r="W128" s="47">
        <f>SUM(W129:W134)</f>
        <v>3305234.87662521</v>
      </c>
      <c r="X128" s="47">
        <f>SUM(X129:X134)</f>
        <v>3244321.0492150993</v>
      </c>
      <c r="Y128" s="173">
        <f>X128/T128-1</f>
        <v>-1.2390661089032307E-3</v>
      </c>
      <c r="AA128" s="47">
        <f t="shared" ref="AA128:AG128" si="240">SUM(AA129:AA134)</f>
        <v>4499093.5467946893</v>
      </c>
      <c r="AB128" s="47">
        <f t="shared" si="240"/>
        <v>2571162.7199487998</v>
      </c>
      <c r="AC128" s="47">
        <f t="shared" si="240"/>
        <v>2159609.7029400002</v>
      </c>
      <c r="AD128" s="47">
        <f t="shared" si="240"/>
        <v>3478289.434369999</v>
      </c>
      <c r="AE128" s="47">
        <f t="shared" si="240"/>
        <v>3248345.96460984</v>
      </c>
      <c r="AF128" s="47">
        <f t="shared" si="240"/>
        <v>2035686.5388098804</v>
      </c>
      <c r="AG128" s="47">
        <f t="shared" si="240"/>
        <v>3003145.8216791702</v>
      </c>
      <c r="AH128" s="47">
        <f>SUM(AH129:AH134)</f>
        <v>3305234.87662521</v>
      </c>
      <c r="AI128" s="47">
        <f>SUM(AI129:AI134)</f>
        <v>3244321.0492150993</v>
      </c>
      <c r="AK128" s="47">
        <f t="shared" ref="AK128:AQ128" si="241">SUM(AK129:AK134)</f>
        <v>4499093.5467946893</v>
      </c>
      <c r="AL128" s="47">
        <f t="shared" si="241"/>
        <v>2571162.7199487998</v>
      </c>
      <c r="AM128" s="47">
        <f t="shared" si="241"/>
        <v>2159609.7029400002</v>
      </c>
      <c r="AN128" s="47">
        <f t="shared" si="241"/>
        <v>3478289.434369999</v>
      </c>
      <c r="AO128" s="47">
        <f t="shared" si="241"/>
        <v>3248345.96460984</v>
      </c>
      <c r="AP128" s="47">
        <f t="shared" si="241"/>
        <v>2035686.5388098804</v>
      </c>
      <c r="AQ128" s="47">
        <f t="shared" si="241"/>
        <v>3003145.8216791702</v>
      </c>
      <c r="AR128" s="47">
        <f>SUM(AR129:AR134)</f>
        <v>3305234.87662521</v>
      </c>
      <c r="AS128" s="47">
        <f>SUM(AS129:AS134)</f>
        <v>3244321.0492150993</v>
      </c>
      <c r="AU128" s="47">
        <f t="shared" ref="AU128:BA128" si="242">SUM(AU129:AU134)</f>
        <v>4499093.5467946893</v>
      </c>
      <c r="AV128" s="47">
        <f t="shared" si="242"/>
        <v>2571162.7199487998</v>
      </c>
      <c r="AW128" s="47">
        <f t="shared" si="242"/>
        <v>2159609.7029400002</v>
      </c>
      <c r="AX128" s="47">
        <f t="shared" si="242"/>
        <v>3478289.434369999</v>
      </c>
      <c r="AY128" s="47">
        <f t="shared" si="242"/>
        <v>3248345.96460984</v>
      </c>
      <c r="AZ128" s="47">
        <f t="shared" si="242"/>
        <v>2035686.5388098804</v>
      </c>
      <c r="BA128" s="47">
        <f t="shared" si="242"/>
        <v>3003145.8216791702</v>
      </c>
      <c r="BB128" s="47">
        <f>SUM(BB129:BB134)</f>
        <v>3305234.87662521</v>
      </c>
      <c r="BC128" s="47">
        <f>SUM(BC129:BC134)</f>
        <v>3244321.0492150993</v>
      </c>
      <c r="BD128" s="173">
        <f>BC128/AY128-1</f>
        <v>-1.2390661089032307E-3</v>
      </c>
      <c r="BF128" s="47">
        <f t="shared" ref="BF128:BL128" si="243">SUM(BF129:BF134)</f>
        <v>4499093.5467946893</v>
      </c>
      <c r="BG128" s="47">
        <f t="shared" si="243"/>
        <v>2571162.7199487998</v>
      </c>
      <c r="BH128" s="47">
        <f t="shared" si="243"/>
        <v>2159609.7029400002</v>
      </c>
      <c r="BI128" s="47">
        <f t="shared" si="243"/>
        <v>3478289.434369999</v>
      </c>
      <c r="BJ128" s="47">
        <f t="shared" si="243"/>
        <v>3248345.96460984</v>
      </c>
      <c r="BK128" s="47">
        <f t="shared" si="243"/>
        <v>2035686.5388098804</v>
      </c>
      <c r="BL128" s="47">
        <f t="shared" si="243"/>
        <v>3003145.8216791702</v>
      </c>
      <c r="BM128" s="47">
        <f>SUM(BM129:BM134)</f>
        <v>3305234.87662521</v>
      </c>
      <c r="BN128" s="47">
        <f>SUM(BN129:BN134)</f>
        <v>3244321.0492150993</v>
      </c>
    </row>
    <row r="129" spans="3:67" x14ac:dyDescent="0.3">
      <c r="C129" s="65" t="s">
        <v>117</v>
      </c>
      <c r="D129" s="77"/>
      <c r="E129" s="97">
        <v>2612055.2518999996</v>
      </c>
      <c r="F129" s="97">
        <v>1423947.9509999999</v>
      </c>
      <c r="G129" s="97">
        <v>1075920.402</v>
      </c>
      <c r="H129" s="97">
        <v>1940187.07237</v>
      </c>
      <c r="I129" s="97">
        <v>1638274.6441200001</v>
      </c>
      <c r="J129" s="97">
        <v>1025279.0632000001</v>
      </c>
      <c r="K129" s="97">
        <v>1409943.0878100002</v>
      </c>
      <c r="L129" s="97">
        <v>1480568.9591000001</v>
      </c>
      <c r="M129" s="97">
        <v>1468030.4965000001</v>
      </c>
      <c r="N129" s="190">
        <f t="shared" si="238"/>
        <v>-0.10391673229579079</v>
      </c>
      <c r="O129" s="197"/>
      <c r="P129" s="158">
        <f t="shared" ref="P129:P134" si="244">$E129</f>
        <v>2612055.2518999996</v>
      </c>
      <c r="Q129" s="158">
        <f t="shared" ref="Q129:Q134" si="245">$F129</f>
        <v>1423947.9509999999</v>
      </c>
      <c r="R129" s="158">
        <f t="shared" ref="R129:R134" si="246">$G129</f>
        <v>1075920.402</v>
      </c>
      <c r="S129" s="158">
        <f t="shared" ref="S129:S134" si="247">$H129</f>
        <v>1940187.07237</v>
      </c>
      <c r="T129" s="158">
        <f t="shared" ref="T129:T134" si="248">$I129</f>
        <v>1638274.6441200001</v>
      </c>
      <c r="U129" s="158">
        <f t="shared" ref="U129:U134" si="249">$J129</f>
        <v>1025279.0632000001</v>
      </c>
      <c r="V129" s="158">
        <f t="shared" ref="V129:X134" si="250">$K129</f>
        <v>1409943.0878100002</v>
      </c>
      <c r="W129" s="158">
        <f t="shared" ref="W129:W134" si="251">$L129</f>
        <v>1480568.9591000001</v>
      </c>
      <c r="X129" s="158">
        <f>$M129</f>
        <v>1468030.4965000001</v>
      </c>
      <c r="Y129" s="190">
        <f>X129/T129-1</f>
        <v>-0.10391673229579079</v>
      </c>
      <c r="Z129" s="64"/>
      <c r="AA129" s="158">
        <f t="shared" ref="AA129:AA134" si="252">$E129</f>
        <v>2612055.2518999996</v>
      </c>
      <c r="AB129" s="158">
        <f t="shared" ref="AB129:AB134" si="253">$F129</f>
        <v>1423947.9509999999</v>
      </c>
      <c r="AC129" s="158">
        <f t="shared" ref="AC129:AC134" si="254">$G129</f>
        <v>1075920.402</v>
      </c>
      <c r="AD129" s="158">
        <f t="shared" ref="AD129:AD134" si="255">$H129</f>
        <v>1940187.07237</v>
      </c>
      <c r="AE129" s="158">
        <f t="shared" ref="AE129:AE134" si="256">$I129</f>
        <v>1638274.6441200001</v>
      </c>
      <c r="AF129" s="158">
        <f t="shared" ref="AF129:AF134" si="257">$J129</f>
        <v>1025279.0632000001</v>
      </c>
      <c r="AG129" s="158">
        <f t="shared" ref="AG129:AI134" si="258">$K129</f>
        <v>1409943.0878100002</v>
      </c>
      <c r="AH129" s="158">
        <f t="shared" ref="AH129:AH134" si="259">$L129</f>
        <v>1480568.9591000001</v>
      </c>
      <c r="AI129" s="158">
        <f>$M129</f>
        <v>1468030.4965000001</v>
      </c>
      <c r="AJ129" s="64"/>
      <c r="AK129" s="158">
        <f t="shared" ref="AK129:AK134" si="260">$E129</f>
        <v>2612055.2518999996</v>
      </c>
      <c r="AL129" s="158">
        <f t="shared" ref="AL129:AL134" si="261">$F129</f>
        <v>1423947.9509999999</v>
      </c>
      <c r="AM129" s="158">
        <f t="shared" ref="AM129:AM134" si="262">$G129</f>
        <v>1075920.402</v>
      </c>
      <c r="AN129" s="158">
        <f t="shared" ref="AN129:AN134" si="263">$H129</f>
        <v>1940187.07237</v>
      </c>
      <c r="AO129" s="158">
        <f t="shared" ref="AO129:AO134" si="264">$I129</f>
        <v>1638274.6441200001</v>
      </c>
      <c r="AP129" s="158">
        <f t="shared" ref="AP129:AP134" si="265">$J129</f>
        <v>1025279.0632000001</v>
      </c>
      <c r="AQ129" s="158">
        <f t="shared" ref="AQ129:AS134" si="266">$K129</f>
        <v>1409943.0878100002</v>
      </c>
      <c r="AR129" s="158">
        <f t="shared" ref="AR129:AR134" si="267">$L129</f>
        <v>1480568.9591000001</v>
      </c>
      <c r="AS129" s="158">
        <f>$M129</f>
        <v>1468030.4965000001</v>
      </c>
      <c r="AT129" s="64"/>
      <c r="AU129" s="158">
        <f t="shared" ref="AU129:AU134" si="268">$E129</f>
        <v>2612055.2518999996</v>
      </c>
      <c r="AV129" s="158">
        <f t="shared" ref="AV129:AV134" si="269">$F129</f>
        <v>1423947.9509999999</v>
      </c>
      <c r="AW129" s="158">
        <f t="shared" ref="AW129:AW134" si="270">$G129</f>
        <v>1075920.402</v>
      </c>
      <c r="AX129" s="158">
        <f t="shared" ref="AX129:AX134" si="271">$H129</f>
        <v>1940187.07237</v>
      </c>
      <c r="AY129" s="158">
        <f t="shared" ref="AY129:AY134" si="272">$I129</f>
        <v>1638274.6441200001</v>
      </c>
      <c r="AZ129" s="158">
        <f t="shared" ref="AZ129:AZ134" si="273">$J129</f>
        <v>1025279.0632000001</v>
      </c>
      <c r="BA129" s="158">
        <f t="shared" ref="BA129:BC134" si="274">$K129</f>
        <v>1409943.0878100002</v>
      </c>
      <c r="BB129" s="158">
        <f t="shared" ref="BB129:BB134" si="275">$L129</f>
        <v>1480568.9591000001</v>
      </c>
      <c r="BC129" s="158">
        <f>$M129</f>
        <v>1468030.4965000001</v>
      </c>
      <c r="BD129" s="190">
        <f>BC129/AY129-1</f>
        <v>-0.10391673229579079</v>
      </c>
      <c r="BE129" s="64"/>
      <c r="BF129" s="158">
        <f t="shared" ref="BF129:BF134" si="276">$E129</f>
        <v>2612055.2518999996</v>
      </c>
      <c r="BG129" s="158">
        <f t="shared" ref="BG129:BG134" si="277">$F129</f>
        <v>1423947.9509999999</v>
      </c>
      <c r="BH129" s="158">
        <f t="shared" ref="BH129:BH134" si="278">$G129</f>
        <v>1075920.402</v>
      </c>
      <c r="BI129" s="158">
        <f t="shared" ref="BI129:BI134" si="279">$H129</f>
        <v>1940187.07237</v>
      </c>
      <c r="BJ129" s="158">
        <f t="shared" ref="BJ129:BJ134" si="280">$I129</f>
        <v>1638274.6441200001</v>
      </c>
      <c r="BK129" s="158">
        <f t="shared" ref="BK129:BK134" si="281">$J129</f>
        <v>1025279.0632000001</v>
      </c>
      <c r="BL129" s="158">
        <f t="shared" ref="BL129:BN134" si="282">$K129</f>
        <v>1409943.0878100002</v>
      </c>
      <c r="BM129" s="158">
        <f t="shared" ref="BM129:BM134" si="283">$L129</f>
        <v>1480568.9591000001</v>
      </c>
      <c r="BN129" s="158">
        <f>$M129</f>
        <v>1468030.4965000001</v>
      </c>
      <c r="BO129" s="64"/>
    </row>
    <row r="130" spans="3:67" x14ac:dyDescent="0.3">
      <c r="C130" s="65" t="s">
        <v>119</v>
      </c>
      <c r="D130" s="77"/>
      <c r="E130" s="97">
        <v>256089.94</v>
      </c>
      <c r="F130" s="97">
        <v>133391.67499999999</v>
      </c>
      <c r="G130" s="97">
        <v>113267</v>
      </c>
      <c r="H130" s="97">
        <v>243374.14799999999</v>
      </c>
      <c r="I130" s="97">
        <v>193902.78405999998</v>
      </c>
      <c r="J130" s="97">
        <v>94883</v>
      </c>
      <c r="K130" s="97">
        <v>155897.20000000001</v>
      </c>
      <c r="L130" s="97">
        <v>125266.19</v>
      </c>
      <c r="M130" s="97">
        <v>80392.149999999994</v>
      </c>
      <c r="N130" s="190">
        <f t="shared" si="238"/>
        <v>-0.5853997125945134</v>
      </c>
      <c r="O130" s="197"/>
      <c r="P130" s="158">
        <f t="shared" si="244"/>
        <v>256089.94</v>
      </c>
      <c r="Q130" s="158">
        <f t="shared" si="245"/>
        <v>133391.67499999999</v>
      </c>
      <c r="R130" s="158">
        <f t="shared" si="246"/>
        <v>113267</v>
      </c>
      <c r="S130" s="158">
        <f t="shared" si="247"/>
        <v>243374.14799999999</v>
      </c>
      <c r="T130" s="158">
        <f t="shared" si="248"/>
        <v>193902.78405999998</v>
      </c>
      <c r="U130" s="158">
        <f t="shared" si="249"/>
        <v>94883</v>
      </c>
      <c r="V130" s="158">
        <f t="shared" si="250"/>
        <v>155897.20000000001</v>
      </c>
      <c r="W130" s="158">
        <f t="shared" si="251"/>
        <v>125266.19</v>
      </c>
      <c r="X130" s="158">
        <f>$M130</f>
        <v>80392.149999999994</v>
      </c>
      <c r="Y130" s="190">
        <f>X130/T130-1</f>
        <v>-0.5853997125945134</v>
      </c>
      <c r="Z130" s="64"/>
      <c r="AA130" s="158">
        <f t="shared" si="252"/>
        <v>256089.94</v>
      </c>
      <c r="AB130" s="158">
        <f t="shared" si="253"/>
        <v>133391.67499999999</v>
      </c>
      <c r="AC130" s="158">
        <f t="shared" si="254"/>
        <v>113267</v>
      </c>
      <c r="AD130" s="158">
        <f t="shared" si="255"/>
        <v>243374.14799999999</v>
      </c>
      <c r="AE130" s="158">
        <f t="shared" si="256"/>
        <v>193902.78405999998</v>
      </c>
      <c r="AF130" s="158">
        <f t="shared" si="257"/>
        <v>94883</v>
      </c>
      <c r="AG130" s="158">
        <f t="shared" si="258"/>
        <v>155897.20000000001</v>
      </c>
      <c r="AH130" s="158">
        <f t="shared" si="259"/>
        <v>125266.19</v>
      </c>
      <c r="AI130" s="158">
        <f>$M130</f>
        <v>80392.149999999994</v>
      </c>
      <c r="AJ130" s="64"/>
      <c r="AK130" s="158">
        <f t="shared" si="260"/>
        <v>256089.94</v>
      </c>
      <c r="AL130" s="158">
        <f t="shared" si="261"/>
        <v>133391.67499999999</v>
      </c>
      <c r="AM130" s="158">
        <f t="shared" si="262"/>
        <v>113267</v>
      </c>
      <c r="AN130" s="158">
        <f t="shared" si="263"/>
        <v>243374.14799999999</v>
      </c>
      <c r="AO130" s="158">
        <f t="shared" si="264"/>
        <v>193902.78405999998</v>
      </c>
      <c r="AP130" s="158">
        <f t="shared" si="265"/>
        <v>94883</v>
      </c>
      <c r="AQ130" s="158">
        <f t="shared" si="266"/>
        <v>155897.20000000001</v>
      </c>
      <c r="AR130" s="158">
        <f t="shared" si="267"/>
        <v>125266.19</v>
      </c>
      <c r="AS130" s="158">
        <f>$M130</f>
        <v>80392.149999999994</v>
      </c>
      <c r="AT130" s="64"/>
      <c r="AU130" s="158">
        <f t="shared" si="268"/>
        <v>256089.94</v>
      </c>
      <c r="AV130" s="158">
        <f t="shared" si="269"/>
        <v>133391.67499999999</v>
      </c>
      <c r="AW130" s="158">
        <f t="shared" si="270"/>
        <v>113267</v>
      </c>
      <c r="AX130" s="158">
        <f t="shared" si="271"/>
        <v>243374.14799999999</v>
      </c>
      <c r="AY130" s="158">
        <f t="shared" si="272"/>
        <v>193902.78405999998</v>
      </c>
      <c r="AZ130" s="158">
        <f t="shared" si="273"/>
        <v>94883</v>
      </c>
      <c r="BA130" s="158">
        <f t="shared" si="274"/>
        <v>155897.20000000001</v>
      </c>
      <c r="BB130" s="158">
        <f t="shared" si="275"/>
        <v>125266.19</v>
      </c>
      <c r="BC130" s="158">
        <f>$M130</f>
        <v>80392.149999999994</v>
      </c>
      <c r="BD130" s="190">
        <f>BC130/AY130-1</f>
        <v>-0.5853997125945134</v>
      </c>
      <c r="BE130" s="64"/>
      <c r="BF130" s="158">
        <f t="shared" si="276"/>
        <v>256089.94</v>
      </c>
      <c r="BG130" s="158">
        <f t="shared" si="277"/>
        <v>133391.67499999999</v>
      </c>
      <c r="BH130" s="158">
        <f t="shared" si="278"/>
        <v>113267</v>
      </c>
      <c r="BI130" s="158">
        <f t="shared" si="279"/>
        <v>243374.14799999999</v>
      </c>
      <c r="BJ130" s="158">
        <f t="shared" si="280"/>
        <v>193902.78405999998</v>
      </c>
      <c r="BK130" s="158">
        <f t="shared" si="281"/>
        <v>94883</v>
      </c>
      <c r="BL130" s="158">
        <f t="shared" si="282"/>
        <v>155897.20000000001</v>
      </c>
      <c r="BM130" s="158">
        <f t="shared" si="283"/>
        <v>125266.19</v>
      </c>
      <c r="BN130" s="158">
        <f>$M130</f>
        <v>80392.149999999994</v>
      </c>
      <c r="BO130" s="64"/>
    </row>
    <row r="131" spans="3:67" x14ac:dyDescent="0.3">
      <c r="C131" s="65" t="s">
        <v>118</v>
      </c>
      <c r="D131" s="77"/>
      <c r="E131" s="97">
        <v>850594.09106000024</v>
      </c>
      <c r="F131" s="97">
        <v>324574.99725999997</v>
      </c>
      <c r="G131" s="97">
        <v>358650.1244700001</v>
      </c>
      <c r="H131" s="97">
        <v>561330.64041999984</v>
      </c>
      <c r="I131" s="97">
        <v>546591.49286999984</v>
      </c>
      <c r="J131" s="97">
        <v>443784.40263000008</v>
      </c>
      <c r="K131" s="97">
        <v>550833.89567</v>
      </c>
      <c r="L131" s="97">
        <v>547194.97014000011</v>
      </c>
      <c r="M131" s="97">
        <v>509410.81696999946</v>
      </c>
      <c r="N131" s="190">
        <f t="shared" si="238"/>
        <v>-6.8022785544602948E-2</v>
      </c>
      <c r="O131" s="197"/>
      <c r="P131" s="158">
        <f t="shared" si="244"/>
        <v>850594.09106000024</v>
      </c>
      <c r="Q131" s="158">
        <f t="shared" si="245"/>
        <v>324574.99725999997</v>
      </c>
      <c r="R131" s="158">
        <f t="shared" si="246"/>
        <v>358650.1244700001</v>
      </c>
      <c r="S131" s="158">
        <f t="shared" si="247"/>
        <v>561330.64041999984</v>
      </c>
      <c r="T131" s="158">
        <f t="shared" si="248"/>
        <v>546591.49286999984</v>
      </c>
      <c r="U131" s="158">
        <f t="shared" si="249"/>
        <v>443784.40263000008</v>
      </c>
      <c r="V131" s="158">
        <f t="shared" si="250"/>
        <v>550833.89567</v>
      </c>
      <c r="W131" s="158">
        <f t="shared" si="251"/>
        <v>547194.97014000011</v>
      </c>
      <c r="X131" s="158">
        <f>$M131</f>
        <v>509410.81696999946</v>
      </c>
      <c r="Y131" s="190">
        <f>X131/T131-1</f>
        <v>-6.8022785544602948E-2</v>
      </c>
      <c r="Z131" s="64"/>
      <c r="AA131" s="158">
        <f t="shared" si="252"/>
        <v>850594.09106000024</v>
      </c>
      <c r="AB131" s="158">
        <f t="shared" si="253"/>
        <v>324574.99725999997</v>
      </c>
      <c r="AC131" s="158">
        <f t="shared" si="254"/>
        <v>358650.1244700001</v>
      </c>
      <c r="AD131" s="158">
        <f t="shared" si="255"/>
        <v>561330.64041999984</v>
      </c>
      <c r="AE131" s="158">
        <f t="shared" si="256"/>
        <v>546591.49286999984</v>
      </c>
      <c r="AF131" s="158">
        <f t="shared" si="257"/>
        <v>443784.40263000008</v>
      </c>
      <c r="AG131" s="158">
        <f t="shared" si="258"/>
        <v>550833.89567</v>
      </c>
      <c r="AH131" s="158">
        <f t="shared" si="259"/>
        <v>547194.97014000011</v>
      </c>
      <c r="AI131" s="158">
        <f>$M131</f>
        <v>509410.81696999946</v>
      </c>
      <c r="AJ131" s="64"/>
      <c r="AK131" s="158">
        <f t="shared" si="260"/>
        <v>850594.09106000024</v>
      </c>
      <c r="AL131" s="158">
        <f t="shared" si="261"/>
        <v>324574.99725999997</v>
      </c>
      <c r="AM131" s="158">
        <f t="shared" si="262"/>
        <v>358650.1244700001</v>
      </c>
      <c r="AN131" s="158">
        <f t="shared" si="263"/>
        <v>561330.64041999984</v>
      </c>
      <c r="AO131" s="158">
        <f t="shared" si="264"/>
        <v>546591.49286999984</v>
      </c>
      <c r="AP131" s="158">
        <f t="shared" si="265"/>
        <v>443784.40263000008</v>
      </c>
      <c r="AQ131" s="158">
        <f t="shared" si="266"/>
        <v>550833.89567</v>
      </c>
      <c r="AR131" s="158">
        <f t="shared" si="267"/>
        <v>547194.97014000011</v>
      </c>
      <c r="AS131" s="158">
        <f>$M131</f>
        <v>509410.81696999946</v>
      </c>
      <c r="AT131" s="64"/>
      <c r="AU131" s="158">
        <f t="shared" si="268"/>
        <v>850594.09106000024</v>
      </c>
      <c r="AV131" s="158">
        <f t="shared" si="269"/>
        <v>324574.99725999997</v>
      </c>
      <c r="AW131" s="158">
        <f t="shared" si="270"/>
        <v>358650.1244700001</v>
      </c>
      <c r="AX131" s="158">
        <f t="shared" si="271"/>
        <v>561330.64041999984</v>
      </c>
      <c r="AY131" s="158">
        <f t="shared" si="272"/>
        <v>546591.49286999984</v>
      </c>
      <c r="AZ131" s="158">
        <f t="shared" si="273"/>
        <v>443784.40263000008</v>
      </c>
      <c r="BA131" s="158">
        <f t="shared" si="274"/>
        <v>550833.89567</v>
      </c>
      <c r="BB131" s="158">
        <f t="shared" si="275"/>
        <v>547194.97014000011</v>
      </c>
      <c r="BC131" s="158">
        <f>$M131</f>
        <v>509410.81696999946</v>
      </c>
      <c r="BD131" s="190">
        <f>BC131/AY131-1</f>
        <v>-6.8022785544602948E-2</v>
      </c>
      <c r="BE131" s="64"/>
      <c r="BF131" s="158">
        <f t="shared" si="276"/>
        <v>850594.09106000024</v>
      </c>
      <c r="BG131" s="158">
        <f t="shared" si="277"/>
        <v>324574.99725999997</v>
      </c>
      <c r="BH131" s="158">
        <f t="shared" si="278"/>
        <v>358650.1244700001</v>
      </c>
      <c r="BI131" s="158">
        <f t="shared" si="279"/>
        <v>561330.64041999984</v>
      </c>
      <c r="BJ131" s="158">
        <f t="shared" si="280"/>
        <v>546591.49286999984</v>
      </c>
      <c r="BK131" s="158">
        <f t="shared" si="281"/>
        <v>443784.40263000008</v>
      </c>
      <c r="BL131" s="158">
        <f t="shared" si="282"/>
        <v>550833.89567</v>
      </c>
      <c r="BM131" s="158">
        <f t="shared" si="283"/>
        <v>547194.97014000011</v>
      </c>
      <c r="BN131" s="158">
        <f>$M131</f>
        <v>509410.81696999946</v>
      </c>
      <c r="BO131" s="64"/>
    </row>
    <row r="132" spans="3:67" x14ac:dyDescent="0.3">
      <c r="C132" s="65" t="s">
        <v>120</v>
      </c>
      <c r="D132" s="77"/>
      <c r="E132" s="97">
        <v>143192.66081469</v>
      </c>
      <c r="F132" s="97">
        <v>106300.94586880002</v>
      </c>
      <c r="G132" s="97">
        <v>46907.199639999999</v>
      </c>
      <c r="H132" s="97">
        <v>115074.55606</v>
      </c>
      <c r="I132" s="97">
        <v>118426.72183984</v>
      </c>
      <c r="J132" s="97">
        <v>99362.893329880011</v>
      </c>
      <c r="K132" s="97">
        <v>95600.096459170003</v>
      </c>
      <c r="L132" s="97">
        <v>149419.56193520999</v>
      </c>
      <c r="M132" s="97">
        <v>140985.6776651</v>
      </c>
      <c r="N132" s="190">
        <f t="shared" si="238"/>
        <v>0.19048872986426724</v>
      </c>
      <c r="O132" s="197"/>
      <c r="P132" s="158">
        <f t="shared" si="244"/>
        <v>143192.66081469</v>
      </c>
      <c r="Q132" s="158">
        <f t="shared" si="245"/>
        <v>106300.94586880002</v>
      </c>
      <c r="R132" s="158">
        <f t="shared" si="246"/>
        <v>46907.199639999999</v>
      </c>
      <c r="S132" s="158">
        <f t="shared" si="247"/>
        <v>115074.55606</v>
      </c>
      <c r="T132" s="158">
        <f t="shared" si="248"/>
        <v>118426.72183984</v>
      </c>
      <c r="U132" s="158">
        <f t="shared" si="249"/>
        <v>99362.893329880011</v>
      </c>
      <c r="V132" s="158">
        <f t="shared" si="250"/>
        <v>95600.096459170003</v>
      </c>
      <c r="W132" s="158">
        <f t="shared" si="251"/>
        <v>149419.56193520999</v>
      </c>
      <c r="X132" s="158">
        <f>$M132</f>
        <v>140985.6776651</v>
      </c>
      <c r="Y132" s="190">
        <f>X132/T132-1</f>
        <v>0.19048872986426724</v>
      </c>
      <c r="Z132" s="64"/>
      <c r="AA132" s="158">
        <f t="shared" si="252"/>
        <v>143192.66081469</v>
      </c>
      <c r="AB132" s="158">
        <f t="shared" si="253"/>
        <v>106300.94586880002</v>
      </c>
      <c r="AC132" s="158">
        <f t="shared" si="254"/>
        <v>46907.199639999999</v>
      </c>
      <c r="AD132" s="158">
        <f t="shared" si="255"/>
        <v>115074.55606</v>
      </c>
      <c r="AE132" s="158">
        <f t="shared" si="256"/>
        <v>118426.72183984</v>
      </c>
      <c r="AF132" s="158">
        <f t="shared" si="257"/>
        <v>99362.893329880011</v>
      </c>
      <c r="AG132" s="158">
        <f t="shared" si="258"/>
        <v>95600.096459170003</v>
      </c>
      <c r="AH132" s="158">
        <f t="shared" si="259"/>
        <v>149419.56193520999</v>
      </c>
      <c r="AI132" s="158">
        <f>$M132</f>
        <v>140985.6776651</v>
      </c>
      <c r="AJ132" s="64"/>
      <c r="AK132" s="158">
        <f t="shared" si="260"/>
        <v>143192.66081469</v>
      </c>
      <c r="AL132" s="158">
        <f t="shared" si="261"/>
        <v>106300.94586880002</v>
      </c>
      <c r="AM132" s="158">
        <f t="shared" si="262"/>
        <v>46907.199639999999</v>
      </c>
      <c r="AN132" s="158">
        <f t="shared" si="263"/>
        <v>115074.55606</v>
      </c>
      <c r="AO132" s="158">
        <f t="shared" si="264"/>
        <v>118426.72183984</v>
      </c>
      <c r="AP132" s="158">
        <f t="shared" si="265"/>
        <v>99362.893329880011</v>
      </c>
      <c r="AQ132" s="158">
        <f t="shared" si="266"/>
        <v>95600.096459170003</v>
      </c>
      <c r="AR132" s="158">
        <f t="shared" si="267"/>
        <v>149419.56193520999</v>
      </c>
      <c r="AS132" s="158">
        <f>$M132</f>
        <v>140985.6776651</v>
      </c>
      <c r="AT132" s="64"/>
      <c r="AU132" s="158">
        <f t="shared" si="268"/>
        <v>143192.66081469</v>
      </c>
      <c r="AV132" s="158">
        <f t="shared" si="269"/>
        <v>106300.94586880002</v>
      </c>
      <c r="AW132" s="158">
        <f t="shared" si="270"/>
        <v>46907.199639999999</v>
      </c>
      <c r="AX132" s="158">
        <f t="shared" si="271"/>
        <v>115074.55606</v>
      </c>
      <c r="AY132" s="158">
        <f t="shared" si="272"/>
        <v>118426.72183984</v>
      </c>
      <c r="AZ132" s="158">
        <f t="shared" si="273"/>
        <v>99362.893329880011</v>
      </c>
      <c r="BA132" s="158">
        <f t="shared" si="274"/>
        <v>95600.096459170003</v>
      </c>
      <c r="BB132" s="158">
        <f t="shared" si="275"/>
        <v>149419.56193520999</v>
      </c>
      <c r="BC132" s="158">
        <f>$M132</f>
        <v>140985.6776651</v>
      </c>
      <c r="BD132" s="190">
        <f>BC132/AY132-1</f>
        <v>0.19048872986426724</v>
      </c>
      <c r="BE132" s="64"/>
      <c r="BF132" s="158">
        <f t="shared" si="276"/>
        <v>143192.66081469</v>
      </c>
      <c r="BG132" s="158">
        <f t="shared" si="277"/>
        <v>106300.94586880002</v>
      </c>
      <c r="BH132" s="158">
        <f t="shared" si="278"/>
        <v>46907.199639999999</v>
      </c>
      <c r="BI132" s="158">
        <f t="shared" si="279"/>
        <v>115074.55606</v>
      </c>
      <c r="BJ132" s="158">
        <f t="shared" si="280"/>
        <v>118426.72183984</v>
      </c>
      <c r="BK132" s="158">
        <f t="shared" si="281"/>
        <v>99362.893329880011</v>
      </c>
      <c r="BL132" s="158">
        <f t="shared" si="282"/>
        <v>95600.096459170003</v>
      </c>
      <c r="BM132" s="158">
        <f t="shared" si="283"/>
        <v>149419.56193520999</v>
      </c>
      <c r="BN132" s="158">
        <f>$M132</f>
        <v>140985.6776651</v>
      </c>
      <c r="BO132" s="64"/>
    </row>
    <row r="133" spans="3:67" x14ac:dyDescent="0.3">
      <c r="C133" s="65" t="s">
        <v>248</v>
      </c>
      <c r="D133" s="77"/>
      <c r="E133" s="97">
        <v>275283.07477000001</v>
      </c>
      <c r="F133" s="97">
        <v>158046.90600000002</v>
      </c>
      <c r="G133" s="97">
        <v>104042.53</v>
      </c>
      <c r="H133" s="97">
        <v>150623.60999999999</v>
      </c>
      <c r="I133" s="97">
        <v>199377.2775</v>
      </c>
      <c r="J133" s="97">
        <v>53316.224999999999</v>
      </c>
      <c r="K133" s="97">
        <v>136409.70000000001</v>
      </c>
      <c r="L133" s="97">
        <v>111617.70999999999</v>
      </c>
      <c r="M133" s="97">
        <v>117554.46900000001</v>
      </c>
      <c r="N133" s="190">
        <f t="shared" si="238"/>
        <v>-0.41039184367436243</v>
      </c>
      <c r="O133" s="197"/>
      <c r="P133" s="158">
        <f t="shared" si="244"/>
        <v>275283.07477000001</v>
      </c>
      <c r="Q133" s="158">
        <f t="shared" si="245"/>
        <v>158046.90600000002</v>
      </c>
      <c r="R133" s="158">
        <f t="shared" si="246"/>
        <v>104042.53</v>
      </c>
      <c r="S133" s="158">
        <f t="shared" si="247"/>
        <v>150623.60999999999</v>
      </c>
      <c r="T133" s="158">
        <f t="shared" si="248"/>
        <v>199377.2775</v>
      </c>
      <c r="U133" s="158">
        <f t="shared" si="249"/>
        <v>53316.224999999999</v>
      </c>
      <c r="V133" s="158">
        <f t="shared" si="250"/>
        <v>136409.70000000001</v>
      </c>
      <c r="W133" s="158">
        <f t="shared" si="251"/>
        <v>111617.70999999999</v>
      </c>
      <c r="X133" s="158">
        <f>$M133</f>
        <v>117554.46900000001</v>
      </c>
      <c r="Y133" s="190">
        <f>X133/T133-1</f>
        <v>-0.41039184367436243</v>
      </c>
      <c r="Z133" s="64"/>
      <c r="AA133" s="158">
        <f t="shared" si="252"/>
        <v>275283.07477000001</v>
      </c>
      <c r="AB133" s="158">
        <f t="shared" si="253"/>
        <v>158046.90600000002</v>
      </c>
      <c r="AC133" s="158">
        <f t="shared" si="254"/>
        <v>104042.53</v>
      </c>
      <c r="AD133" s="158">
        <f t="shared" si="255"/>
        <v>150623.60999999999</v>
      </c>
      <c r="AE133" s="158">
        <f t="shared" si="256"/>
        <v>199377.2775</v>
      </c>
      <c r="AF133" s="158">
        <f t="shared" si="257"/>
        <v>53316.224999999999</v>
      </c>
      <c r="AG133" s="158">
        <f t="shared" si="258"/>
        <v>136409.70000000001</v>
      </c>
      <c r="AH133" s="158">
        <f t="shared" si="259"/>
        <v>111617.70999999999</v>
      </c>
      <c r="AI133" s="158">
        <f>$M133</f>
        <v>117554.46900000001</v>
      </c>
      <c r="AJ133" s="64"/>
      <c r="AK133" s="158">
        <f t="shared" si="260"/>
        <v>275283.07477000001</v>
      </c>
      <c r="AL133" s="158">
        <f t="shared" si="261"/>
        <v>158046.90600000002</v>
      </c>
      <c r="AM133" s="158">
        <f t="shared" si="262"/>
        <v>104042.53</v>
      </c>
      <c r="AN133" s="158">
        <f t="shared" si="263"/>
        <v>150623.60999999999</v>
      </c>
      <c r="AO133" s="158">
        <f t="shared" si="264"/>
        <v>199377.2775</v>
      </c>
      <c r="AP133" s="158">
        <f t="shared" si="265"/>
        <v>53316.224999999999</v>
      </c>
      <c r="AQ133" s="158">
        <f t="shared" si="266"/>
        <v>136409.70000000001</v>
      </c>
      <c r="AR133" s="158">
        <f t="shared" si="267"/>
        <v>111617.70999999999</v>
      </c>
      <c r="AS133" s="158">
        <f>$M133</f>
        <v>117554.46900000001</v>
      </c>
      <c r="AT133" s="64"/>
      <c r="AU133" s="158">
        <f t="shared" si="268"/>
        <v>275283.07477000001</v>
      </c>
      <c r="AV133" s="158">
        <f t="shared" si="269"/>
        <v>158046.90600000002</v>
      </c>
      <c r="AW133" s="158">
        <f t="shared" si="270"/>
        <v>104042.53</v>
      </c>
      <c r="AX133" s="158">
        <f t="shared" si="271"/>
        <v>150623.60999999999</v>
      </c>
      <c r="AY133" s="158">
        <f t="shared" si="272"/>
        <v>199377.2775</v>
      </c>
      <c r="AZ133" s="158">
        <f t="shared" si="273"/>
        <v>53316.224999999999</v>
      </c>
      <c r="BA133" s="158">
        <f t="shared" si="274"/>
        <v>136409.70000000001</v>
      </c>
      <c r="BB133" s="158">
        <f t="shared" si="275"/>
        <v>111617.70999999999</v>
      </c>
      <c r="BC133" s="158">
        <f>$M133</f>
        <v>117554.46900000001</v>
      </c>
      <c r="BD133" s="190">
        <f>BC133/AY133-1</f>
        <v>-0.41039184367436243</v>
      </c>
      <c r="BE133" s="64"/>
      <c r="BF133" s="158">
        <f t="shared" si="276"/>
        <v>275283.07477000001</v>
      </c>
      <c r="BG133" s="158">
        <f t="shared" si="277"/>
        <v>158046.90600000002</v>
      </c>
      <c r="BH133" s="158">
        <f t="shared" si="278"/>
        <v>104042.53</v>
      </c>
      <c r="BI133" s="158">
        <f t="shared" si="279"/>
        <v>150623.60999999999</v>
      </c>
      <c r="BJ133" s="158">
        <f t="shared" si="280"/>
        <v>199377.2775</v>
      </c>
      <c r="BK133" s="158">
        <f t="shared" si="281"/>
        <v>53316.224999999999</v>
      </c>
      <c r="BL133" s="158">
        <f t="shared" si="282"/>
        <v>136409.70000000001</v>
      </c>
      <c r="BM133" s="158">
        <f t="shared" si="283"/>
        <v>111617.70999999999</v>
      </c>
      <c r="BN133" s="158">
        <f>$M133</f>
        <v>117554.46900000001</v>
      </c>
      <c r="BO133" s="64"/>
    </row>
    <row r="134" spans="3:67" x14ac:dyDescent="0.3">
      <c r="C134" s="65" t="s">
        <v>168</v>
      </c>
      <c r="D134" s="77"/>
      <c r="E134" s="97">
        <v>361878.52824999974</v>
      </c>
      <c r="F134" s="97">
        <v>424900.24482000002</v>
      </c>
      <c r="G134" s="97">
        <v>460822.44683000003</v>
      </c>
      <c r="H134" s="97">
        <v>467699.40752000001</v>
      </c>
      <c r="I134" s="97">
        <v>551773.04421999992</v>
      </c>
      <c r="J134" s="97">
        <v>319060.95464999997</v>
      </c>
      <c r="K134" s="97">
        <v>654461.84174000006</v>
      </c>
      <c r="L134" s="97">
        <v>891167.4854499998</v>
      </c>
      <c r="M134" s="97">
        <v>927947.43907999992</v>
      </c>
      <c r="N134" s="190">
        <f t="shared" si="238"/>
        <v>0.68175565805641969</v>
      </c>
      <c r="O134" s="197"/>
      <c r="P134" s="158">
        <f t="shared" si="244"/>
        <v>361878.52824999974</v>
      </c>
      <c r="Q134" s="158">
        <f t="shared" si="245"/>
        <v>424900.24482000002</v>
      </c>
      <c r="R134" s="158">
        <f t="shared" si="246"/>
        <v>460822.44683000003</v>
      </c>
      <c r="S134" s="158">
        <f t="shared" si="247"/>
        <v>467699.40752000001</v>
      </c>
      <c r="T134" s="158">
        <f t="shared" si="248"/>
        <v>551773.04421999992</v>
      </c>
      <c r="U134" s="158">
        <f t="shared" si="249"/>
        <v>319060.95464999997</v>
      </c>
      <c r="V134" s="158">
        <f t="shared" si="250"/>
        <v>654461.84174000006</v>
      </c>
      <c r="W134" s="158">
        <f t="shared" si="251"/>
        <v>891167.4854499998</v>
      </c>
      <c r="X134" s="158">
        <f>$M134</f>
        <v>927947.43907999992</v>
      </c>
      <c r="Y134" s="190">
        <f>X134/T134-1</f>
        <v>0.68175565805641969</v>
      </c>
      <c r="Z134" s="64"/>
      <c r="AA134" s="158">
        <f t="shared" si="252"/>
        <v>361878.52824999974</v>
      </c>
      <c r="AB134" s="158">
        <f t="shared" si="253"/>
        <v>424900.24482000002</v>
      </c>
      <c r="AC134" s="158">
        <f t="shared" si="254"/>
        <v>460822.44683000003</v>
      </c>
      <c r="AD134" s="158">
        <f t="shared" si="255"/>
        <v>467699.40752000001</v>
      </c>
      <c r="AE134" s="158">
        <f t="shared" si="256"/>
        <v>551773.04421999992</v>
      </c>
      <c r="AF134" s="158">
        <f t="shared" si="257"/>
        <v>319060.95464999997</v>
      </c>
      <c r="AG134" s="158">
        <f t="shared" si="258"/>
        <v>654461.84174000006</v>
      </c>
      <c r="AH134" s="158">
        <f t="shared" si="259"/>
        <v>891167.4854499998</v>
      </c>
      <c r="AI134" s="158">
        <f>$M134</f>
        <v>927947.43907999992</v>
      </c>
      <c r="AJ134" s="64"/>
      <c r="AK134" s="158">
        <f t="shared" si="260"/>
        <v>361878.52824999974</v>
      </c>
      <c r="AL134" s="158">
        <f t="shared" si="261"/>
        <v>424900.24482000002</v>
      </c>
      <c r="AM134" s="158">
        <f t="shared" si="262"/>
        <v>460822.44683000003</v>
      </c>
      <c r="AN134" s="158">
        <f t="shared" si="263"/>
        <v>467699.40752000001</v>
      </c>
      <c r="AO134" s="158">
        <f t="shared" si="264"/>
        <v>551773.04421999992</v>
      </c>
      <c r="AP134" s="158">
        <f t="shared" si="265"/>
        <v>319060.95464999997</v>
      </c>
      <c r="AQ134" s="158">
        <f t="shared" si="266"/>
        <v>654461.84174000006</v>
      </c>
      <c r="AR134" s="158">
        <f t="shared" si="267"/>
        <v>891167.4854499998</v>
      </c>
      <c r="AS134" s="158">
        <f>$M134</f>
        <v>927947.43907999992</v>
      </c>
      <c r="AT134" s="64"/>
      <c r="AU134" s="158">
        <f t="shared" si="268"/>
        <v>361878.52824999974</v>
      </c>
      <c r="AV134" s="158">
        <f t="shared" si="269"/>
        <v>424900.24482000002</v>
      </c>
      <c r="AW134" s="158">
        <f t="shared" si="270"/>
        <v>460822.44683000003</v>
      </c>
      <c r="AX134" s="158">
        <f t="shared" si="271"/>
        <v>467699.40752000001</v>
      </c>
      <c r="AY134" s="158">
        <f t="shared" si="272"/>
        <v>551773.04421999992</v>
      </c>
      <c r="AZ134" s="158">
        <f t="shared" si="273"/>
        <v>319060.95464999997</v>
      </c>
      <c r="BA134" s="158">
        <f t="shared" si="274"/>
        <v>654461.84174000006</v>
      </c>
      <c r="BB134" s="158">
        <f t="shared" si="275"/>
        <v>891167.4854499998</v>
      </c>
      <c r="BC134" s="158">
        <f>$M134</f>
        <v>927947.43907999992</v>
      </c>
      <c r="BD134" s="190">
        <f>BC134/AY134-1</f>
        <v>0.68175565805641969</v>
      </c>
      <c r="BE134" s="64"/>
      <c r="BF134" s="158">
        <f t="shared" si="276"/>
        <v>361878.52824999974</v>
      </c>
      <c r="BG134" s="158">
        <f t="shared" si="277"/>
        <v>424900.24482000002</v>
      </c>
      <c r="BH134" s="158">
        <f t="shared" si="278"/>
        <v>460822.44683000003</v>
      </c>
      <c r="BI134" s="158">
        <f t="shared" si="279"/>
        <v>467699.40752000001</v>
      </c>
      <c r="BJ134" s="158">
        <f t="shared" si="280"/>
        <v>551773.04421999992</v>
      </c>
      <c r="BK134" s="158">
        <f t="shared" si="281"/>
        <v>319060.95464999997</v>
      </c>
      <c r="BL134" s="158">
        <f t="shared" si="282"/>
        <v>654461.84174000006</v>
      </c>
      <c r="BM134" s="158">
        <f t="shared" si="283"/>
        <v>891167.4854499998</v>
      </c>
      <c r="BN134" s="158">
        <f>$M134</f>
        <v>927947.43907999992</v>
      </c>
      <c r="BO134" s="64"/>
    </row>
    <row r="135" spans="3:67" x14ac:dyDescent="0.3">
      <c r="C135" s="65"/>
      <c r="D135" s="77"/>
      <c r="E135" s="62"/>
      <c r="F135" s="62"/>
      <c r="G135" s="62"/>
      <c r="H135" s="62"/>
      <c r="I135" s="62"/>
      <c r="J135" s="62"/>
      <c r="K135" s="62"/>
      <c r="L135" s="62"/>
      <c r="M135" s="62"/>
      <c r="N135" s="131"/>
      <c r="P135" s="91"/>
      <c r="Q135" s="91"/>
      <c r="R135" s="91"/>
      <c r="S135" s="91"/>
      <c r="T135" s="91"/>
      <c r="U135" s="91"/>
      <c r="V135" s="91"/>
      <c r="W135" s="91"/>
      <c r="X135" s="91"/>
      <c r="Y135" s="131"/>
      <c r="AA135" s="91"/>
      <c r="AB135" s="91"/>
      <c r="AC135" s="91"/>
      <c r="AD135" s="91"/>
      <c r="AE135" s="91"/>
      <c r="AF135" s="91"/>
      <c r="AG135" s="91"/>
      <c r="AH135" s="91"/>
      <c r="AI135" s="91"/>
      <c r="AK135" s="91"/>
      <c r="AL135" s="91"/>
      <c r="AM135" s="91"/>
      <c r="AN135" s="91"/>
      <c r="AO135" s="91"/>
      <c r="AP135" s="91"/>
      <c r="AQ135" s="91"/>
      <c r="AR135" s="91"/>
      <c r="AS135" s="91"/>
      <c r="AU135" s="91"/>
      <c r="AV135" s="91"/>
      <c r="AW135" s="91"/>
      <c r="AX135" s="91"/>
      <c r="AY135" s="91"/>
      <c r="AZ135" s="91"/>
      <c r="BA135" s="91"/>
      <c r="BB135" s="91"/>
      <c r="BC135" s="91"/>
      <c r="BD135" s="131"/>
      <c r="BF135" s="91"/>
      <c r="BG135" s="91"/>
      <c r="BH135" s="91"/>
      <c r="BI135" s="91"/>
      <c r="BJ135" s="91"/>
      <c r="BK135" s="91"/>
      <c r="BL135" s="91"/>
      <c r="BM135" s="91"/>
      <c r="BN135" s="91"/>
    </row>
    <row r="136" spans="3:67" x14ac:dyDescent="0.3">
      <c r="C136" s="99" t="s">
        <v>123</v>
      </c>
      <c r="D136" s="125"/>
      <c r="E136" s="48">
        <f t="shared" ref="E136:M136" si="284">E137</f>
        <v>37347.349000000002</v>
      </c>
      <c r="F136" s="48">
        <f t="shared" si="284"/>
        <v>16245</v>
      </c>
      <c r="G136" s="48">
        <f t="shared" si="284"/>
        <v>21446</v>
      </c>
      <c r="H136" s="48">
        <f t="shared" si="284"/>
        <v>75840.5</v>
      </c>
      <c r="I136" s="48">
        <f t="shared" si="284"/>
        <v>59433.375</v>
      </c>
      <c r="J136" s="48">
        <f t="shared" si="284"/>
        <v>28378</v>
      </c>
      <c r="K136" s="48">
        <f t="shared" si="284"/>
        <v>49177.8</v>
      </c>
      <c r="L136" s="48">
        <f t="shared" si="284"/>
        <v>91273.915039999993</v>
      </c>
      <c r="M136" s="48">
        <f t="shared" si="284"/>
        <v>49124.471899999997</v>
      </c>
      <c r="N136" s="173">
        <f>M136/I136-1</f>
        <v>-0.17345309937387876</v>
      </c>
      <c r="P136" s="159">
        <f t="shared" ref="P136:BN136" si="285">P137</f>
        <v>37347.349000000002</v>
      </c>
      <c r="Q136" s="159">
        <f t="shared" si="285"/>
        <v>16245</v>
      </c>
      <c r="R136" s="159">
        <f t="shared" si="285"/>
        <v>21446</v>
      </c>
      <c r="S136" s="159">
        <f t="shared" si="285"/>
        <v>75840.5</v>
      </c>
      <c r="T136" s="159">
        <f t="shared" si="285"/>
        <v>59433.375</v>
      </c>
      <c r="U136" s="159">
        <f t="shared" si="285"/>
        <v>28378</v>
      </c>
      <c r="V136" s="159">
        <f t="shared" si="285"/>
        <v>49177.8</v>
      </c>
      <c r="W136" s="159">
        <f t="shared" si="285"/>
        <v>91273.915039999993</v>
      </c>
      <c r="X136" s="159">
        <f t="shared" si="285"/>
        <v>49124.471899999997</v>
      </c>
      <c r="Y136" s="173">
        <f>X136/T136-1</f>
        <v>-0.17345309937387876</v>
      </c>
      <c r="AA136" s="159">
        <f t="shared" si="285"/>
        <v>37347.349000000002</v>
      </c>
      <c r="AB136" s="159">
        <f t="shared" si="285"/>
        <v>16245</v>
      </c>
      <c r="AC136" s="159">
        <f t="shared" si="285"/>
        <v>21446</v>
      </c>
      <c r="AD136" s="159">
        <f t="shared" si="285"/>
        <v>75840.5</v>
      </c>
      <c r="AE136" s="159">
        <f t="shared" si="285"/>
        <v>59433.375</v>
      </c>
      <c r="AF136" s="159">
        <f t="shared" si="285"/>
        <v>28378</v>
      </c>
      <c r="AG136" s="159">
        <f t="shared" si="285"/>
        <v>49177.8</v>
      </c>
      <c r="AH136" s="159">
        <f t="shared" si="285"/>
        <v>91273.915039999993</v>
      </c>
      <c r="AI136" s="159">
        <f t="shared" si="285"/>
        <v>49124.471899999997</v>
      </c>
      <c r="AK136" s="159">
        <f t="shared" si="285"/>
        <v>37347.349000000002</v>
      </c>
      <c r="AL136" s="159">
        <f t="shared" si="285"/>
        <v>16245</v>
      </c>
      <c r="AM136" s="159">
        <f t="shared" si="285"/>
        <v>21446</v>
      </c>
      <c r="AN136" s="159">
        <f t="shared" si="285"/>
        <v>75840.5</v>
      </c>
      <c r="AO136" s="159">
        <f t="shared" si="285"/>
        <v>59433.375</v>
      </c>
      <c r="AP136" s="159">
        <f t="shared" si="285"/>
        <v>28378</v>
      </c>
      <c r="AQ136" s="159">
        <f t="shared" si="285"/>
        <v>49177.8</v>
      </c>
      <c r="AR136" s="159">
        <f t="shared" si="285"/>
        <v>91273.915039999993</v>
      </c>
      <c r="AS136" s="159">
        <f t="shared" si="285"/>
        <v>49124.471899999997</v>
      </c>
      <c r="AU136" s="159">
        <f t="shared" si="285"/>
        <v>37347.349000000002</v>
      </c>
      <c r="AV136" s="159">
        <f t="shared" si="285"/>
        <v>16245</v>
      </c>
      <c r="AW136" s="159">
        <f t="shared" si="285"/>
        <v>21446</v>
      </c>
      <c r="AX136" s="159">
        <f t="shared" si="285"/>
        <v>75840.5</v>
      </c>
      <c r="AY136" s="159">
        <f t="shared" si="285"/>
        <v>59433.375</v>
      </c>
      <c r="AZ136" s="159">
        <f t="shared" si="285"/>
        <v>28378</v>
      </c>
      <c r="BA136" s="159">
        <f t="shared" si="285"/>
        <v>49177.8</v>
      </c>
      <c r="BB136" s="159">
        <f t="shared" si="285"/>
        <v>91273.915039999993</v>
      </c>
      <c r="BC136" s="159">
        <f t="shared" si="285"/>
        <v>49124.471899999997</v>
      </c>
      <c r="BD136" s="173">
        <f>BC136/AY136-1</f>
        <v>-0.17345309937387876</v>
      </c>
      <c r="BF136" s="159">
        <f t="shared" si="285"/>
        <v>37347.349000000002</v>
      </c>
      <c r="BG136" s="159">
        <f t="shared" si="285"/>
        <v>16245</v>
      </c>
      <c r="BH136" s="159">
        <f t="shared" si="285"/>
        <v>21446</v>
      </c>
      <c r="BI136" s="159">
        <f t="shared" si="285"/>
        <v>75840.5</v>
      </c>
      <c r="BJ136" s="159">
        <f t="shared" si="285"/>
        <v>59433.375</v>
      </c>
      <c r="BK136" s="159">
        <f t="shared" si="285"/>
        <v>28378</v>
      </c>
      <c r="BL136" s="159">
        <f t="shared" si="285"/>
        <v>49177.8</v>
      </c>
      <c r="BM136" s="159">
        <f t="shared" si="285"/>
        <v>91273.915039999993</v>
      </c>
      <c r="BN136" s="159">
        <f t="shared" si="285"/>
        <v>49124.471899999997</v>
      </c>
    </row>
    <row r="137" spans="3:67" x14ac:dyDescent="0.3">
      <c r="C137" s="65" t="s">
        <v>117</v>
      </c>
      <c r="D137" s="77"/>
      <c r="E137" s="97">
        <v>37347.349000000002</v>
      </c>
      <c r="F137" s="97">
        <v>16245</v>
      </c>
      <c r="G137" s="97">
        <v>21446</v>
      </c>
      <c r="H137" s="97">
        <v>75840.5</v>
      </c>
      <c r="I137" s="97">
        <v>59433.375</v>
      </c>
      <c r="J137" s="97">
        <v>28378</v>
      </c>
      <c r="K137" s="97">
        <v>49177.8</v>
      </c>
      <c r="L137" s="97">
        <v>91273.915039999993</v>
      </c>
      <c r="M137" s="97">
        <v>49124.471899999997</v>
      </c>
      <c r="N137" s="190"/>
      <c r="O137" s="197"/>
      <c r="P137" s="158">
        <f>$E137</f>
        <v>37347.349000000002</v>
      </c>
      <c r="Q137" s="158">
        <f>$F137</f>
        <v>16245</v>
      </c>
      <c r="R137" s="158">
        <f>$G137</f>
        <v>21446</v>
      </c>
      <c r="S137" s="158">
        <f>$H137</f>
        <v>75840.5</v>
      </c>
      <c r="T137" s="158">
        <f>$I137</f>
        <v>59433.375</v>
      </c>
      <c r="U137" s="158">
        <f>$J137</f>
        <v>28378</v>
      </c>
      <c r="V137" s="158">
        <f>$K137</f>
        <v>49177.8</v>
      </c>
      <c r="W137" s="158">
        <f>$L137</f>
        <v>91273.915039999993</v>
      </c>
      <c r="X137" s="158">
        <f>$M137</f>
        <v>49124.471899999997</v>
      </c>
      <c r="Y137" s="190"/>
      <c r="Z137" s="64"/>
      <c r="AA137" s="158">
        <f>$E137</f>
        <v>37347.349000000002</v>
      </c>
      <c r="AB137" s="158">
        <f>$F137</f>
        <v>16245</v>
      </c>
      <c r="AC137" s="158">
        <f>$G137</f>
        <v>21446</v>
      </c>
      <c r="AD137" s="158">
        <f>$H137</f>
        <v>75840.5</v>
      </c>
      <c r="AE137" s="158">
        <f>$I137</f>
        <v>59433.375</v>
      </c>
      <c r="AF137" s="158">
        <f>$J137</f>
        <v>28378</v>
      </c>
      <c r="AG137" s="158">
        <f>$K137</f>
        <v>49177.8</v>
      </c>
      <c r="AH137" s="158">
        <f>$L137</f>
        <v>91273.915039999993</v>
      </c>
      <c r="AI137" s="158">
        <f>$M137</f>
        <v>49124.471899999997</v>
      </c>
      <c r="AJ137" s="64"/>
      <c r="AK137" s="158">
        <f>$E137</f>
        <v>37347.349000000002</v>
      </c>
      <c r="AL137" s="158">
        <f>$F137</f>
        <v>16245</v>
      </c>
      <c r="AM137" s="158">
        <f>$G137</f>
        <v>21446</v>
      </c>
      <c r="AN137" s="158">
        <f>$H137</f>
        <v>75840.5</v>
      </c>
      <c r="AO137" s="158">
        <f>$I137</f>
        <v>59433.375</v>
      </c>
      <c r="AP137" s="158">
        <f>$J137</f>
        <v>28378</v>
      </c>
      <c r="AQ137" s="158">
        <f>$K137</f>
        <v>49177.8</v>
      </c>
      <c r="AR137" s="158">
        <f>$L137</f>
        <v>91273.915039999993</v>
      </c>
      <c r="AS137" s="158">
        <f>$M137</f>
        <v>49124.471899999997</v>
      </c>
      <c r="AT137" s="64"/>
      <c r="AU137" s="158">
        <f>$E137</f>
        <v>37347.349000000002</v>
      </c>
      <c r="AV137" s="158">
        <f>$F137</f>
        <v>16245</v>
      </c>
      <c r="AW137" s="158">
        <f>$G137</f>
        <v>21446</v>
      </c>
      <c r="AX137" s="158">
        <f>$H137</f>
        <v>75840.5</v>
      </c>
      <c r="AY137" s="158">
        <f>$I137</f>
        <v>59433.375</v>
      </c>
      <c r="AZ137" s="158">
        <f>$J137</f>
        <v>28378</v>
      </c>
      <c r="BA137" s="158">
        <f>$K137</f>
        <v>49177.8</v>
      </c>
      <c r="BB137" s="158">
        <f>$L137</f>
        <v>91273.915039999993</v>
      </c>
      <c r="BC137" s="158">
        <f>$M137</f>
        <v>49124.471899999997</v>
      </c>
      <c r="BD137" s="190"/>
      <c r="BE137" s="64"/>
      <c r="BF137" s="158">
        <f>$E137</f>
        <v>37347.349000000002</v>
      </c>
      <c r="BG137" s="158">
        <f>$F137</f>
        <v>16245</v>
      </c>
      <c r="BH137" s="158">
        <f>$G137</f>
        <v>21446</v>
      </c>
      <c r="BI137" s="158">
        <f>$H137</f>
        <v>75840.5</v>
      </c>
      <c r="BJ137" s="158">
        <f>$I137</f>
        <v>59433.375</v>
      </c>
      <c r="BK137" s="158">
        <f>$J137</f>
        <v>28378</v>
      </c>
      <c r="BL137" s="158">
        <f>$K137</f>
        <v>49177.8</v>
      </c>
      <c r="BM137" s="158">
        <f>$L137</f>
        <v>91273.915039999993</v>
      </c>
      <c r="BN137" s="158">
        <f>$M137</f>
        <v>49124.471899999997</v>
      </c>
      <c r="BO137" s="64"/>
    </row>
    <row r="138" spans="3:67" x14ac:dyDescent="0.3">
      <c r="C138" s="65"/>
      <c r="D138" s="77"/>
      <c r="E138" s="62"/>
      <c r="F138" s="62"/>
      <c r="G138" s="62"/>
      <c r="H138" s="62"/>
      <c r="I138" s="62"/>
      <c r="J138" s="62"/>
      <c r="K138" s="62"/>
      <c r="L138" s="62"/>
      <c r="M138" s="62"/>
      <c r="N138" s="131"/>
      <c r="P138" s="62"/>
      <c r="Q138" s="62"/>
      <c r="R138" s="62"/>
      <c r="S138" s="62"/>
      <c r="T138" s="62"/>
      <c r="U138" s="62"/>
      <c r="V138" s="62"/>
      <c r="W138" s="62"/>
      <c r="X138" s="62"/>
      <c r="Y138" s="131"/>
      <c r="AA138" s="62"/>
      <c r="AB138" s="62"/>
      <c r="AC138" s="62"/>
      <c r="AD138" s="62"/>
      <c r="AE138" s="62"/>
      <c r="AF138" s="62"/>
      <c r="AG138" s="62"/>
      <c r="AH138" s="62"/>
      <c r="AI138" s="62"/>
      <c r="AK138" s="62"/>
      <c r="AL138" s="62"/>
      <c r="AM138" s="62"/>
      <c r="AN138" s="62"/>
      <c r="AO138" s="62"/>
      <c r="AP138" s="62"/>
      <c r="AQ138" s="62"/>
      <c r="AR138" s="62"/>
      <c r="AS138" s="62"/>
      <c r="AU138" s="62"/>
      <c r="AV138" s="62"/>
      <c r="AW138" s="62"/>
      <c r="AX138" s="62"/>
      <c r="AY138" s="62"/>
      <c r="AZ138" s="62"/>
      <c r="BA138" s="62"/>
      <c r="BB138" s="62"/>
      <c r="BC138" s="62"/>
      <c r="BD138" s="131"/>
      <c r="BF138" s="62"/>
      <c r="BG138" s="62"/>
      <c r="BH138" s="62"/>
      <c r="BI138" s="62"/>
      <c r="BJ138" s="62"/>
      <c r="BK138" s="62"/>
      <c r="BL138" s="62"/>
      <c r="BM138" s="62"/>
      <c r="BN138" s="62"/>
    </row>
    <row r="139" spans="3:67" ht="13.5" thickBot="1" x14ac:dyDescent="0.35">
      <c r="C139" s="74" t="s">
        <v>52</v>
      </c>
      <c r="D139" s="126"/>
      <c r="E139" s="75">
        <f t="shared" ref="E139:K139" si="286">E128+E136</f>
        <v>4536440.8957946897</v>
      </c>
      <c r="F139" s="75">
        <f t="shared" si="286"/>
        <v>2587407.7199487998</v>
      </c>
      <c r="G139" s="75">
        <f t="shared" si="286"/>
        <v>2181055.7029400002</v>
      </c>
      <c r="H139" s="75">
        <f t="shared" si="286"/>
        <v>3554129.934369999</v>
      </c>
      <c r="I139" s="75">
        <f t="shared" si="286"/>
        <v>3307779.33960984</v>
      </c>
      <c r="J139" s="75">
        <f t="shared" si="286"/>
        <v>2064064.5388098804</v>
      </c>
      <c r="K139" s="75">
        <f t="shared" si="286"/>
        <v>3052323.6216791701</v>
      </c>
      <c r="L139" s="75">
        <f>L128+L136</f>
        <v>3396508.7916652099</v>
      </c>
      <c r="M139" s="75">
        <f>M128+M136</f>
        <v>3293445.5211150991</v>
      </c>
      <c r="N139" s="191">
        <f>M139/I139-1</f>
        <v>-4.3333659906200639E-3</v>
      </c>
      <c r="O139" s="132">
        <f>K139/J139-1</f>
        <v>0.47879272391313421</v>
      </c>
      <c r="P139" s="75">
        <f t="shared" ref="P139:V139" si="287">P128+P136</f>
        <v>4536440.8957946897</v>
      </c>
      <c r="Q139" s="75">
        <f t="shared" si="287"/>
        <v>2587407.7199487998</v>
      </c>
      <c r="R139" s="75">
        <f t="shared" si="287"/>
        <v>2181055.7029400002</v>
      </c>
      <c r="S139" s="75">
        <f t="shared" si="287"/>
        <v>3554129.934369999</v>
      </c>
      <c r="T139" s="75">
        <f t="shared" si="287"/>
        <v>3307779.33960984</v>
      </c>
      <c r="U139" s="75">
        <f t="shared" si="287"/>
        <v>2064064.5388098804</v>
      </c>
      <c r="V139" s="75">
        <f t="shared" si="287"/>
        <v>3052323.6216791701</v>
      </c>
      <c r="W139" s="75">
        <f>W128+W136</f>
        <v>3396508.7916652099</v>
      </c>
      <c r="X139" s="75">
        <f>X128+X136</f>
        <v>3293445.5211150991</v>
      </c>
      <c r="Y139" s="191">
        <f>X139/T139-1</f>
        <v>-4.3333659906200639E-3</v>
      </c>
      <c r="AA139" s="75">
        <f t="shared" ref="AA139:AG139" si="288">AA128+AA136</f>
        <v>4536440.8957946897</v>
      </c>
      <c r="AB139" s="75">
        <f t="shared" si="288"/>
        <v>2587407.7199487998</v>
      </c>
      <c r="AC139" s="75">
        <f t="shared" si="288"/>
        <v>2181055.7029400002</v>
      </c>
      <c r="AD139" s="75">
        <f t="shared" si="288"/>
        <v>3554129.934369999</v>
      </c>
      <c r="AE139" s="75">
        <f t="shared" si="288"/>
        <v>3307779.33960984</v>
      </c>
      <c r="AF139" s="75">
        <f t="shared" si="288"/>
        <v>2064064.5388098804</v>
      </c>
      <c r="AG139" s="75">
        <f t="shared" si="288"/>
        <v>3052323.6216791701</v>
      </c>
      <c r="AH139" s="75">
        <f>AH128+AH136</f>
        <v>3396508.7916652099</v>
      </c>
      <c r="AI139" s="75">
        <f>AI128+AI136</f>
        <v>3293445.5211150991</v>
      </c>
      <c r="AK139" s="75">
        <f t="shared" ref="AK139:AQ139" si="289">AK128+AK136</f>
        <v>4536440.8957946897</v>
      </c>
      <c r="AL139" s="75">
        <f t="shared" si="289"/>
        <v>2587407.7199487998</v>
      </c>
      <c r="AM139" s="75">
        <f t="shared" si="289"/>
        <v>2181055.7029400002</v>
      </c>
      <c r="AN139" s="75">
        <f t="shared" si="289"/>
        <v>3554129.934369999</v>
      </c>
      <c r="AO139" s="75">
        <f t="shared" si="289"/>
        <v>3307779.33960984</v>
      </c>
      <c r="AP139" s="75">
        <f t="shared" si="289"/>
        <v>2064064.5388098804</v>
      </c>
      <c r="AQ139" s="75">
        <f t="shared" si="289"/>
        <v>3052323.6216791701</v>
      </c>
      <c r="AR139" s="75">
        <f>AR128+AR136</f>
        <v>3396508.7916652099</v>
      </c>
      <c r="AS139" s="75">
        <f>AS128+AS136</f>
        <v>3293445.5211150991</v>
      </c>
      <c r="AU139" s="75">
        <f t="shared" ref="AU139:BA139" si="290">AU128+AU136</f>
        <v>4536440.8957946897</v>
      </c>
      <c r="AV139" s="75">
        <f t="shared" si="290"/>
        <v>2587407.7199487998</v>
      </c>
      <c r="AW139" s="75">
        <f t="shared" si="290"/>
        <v>2181055.7029400002</v>
      </c>
      <c r="AX139" s="75">
        <f t="shared" si="290"/>
        <v>3554129.934369999</v>
      </c>
      <c r="AY139" s="75">
        <f t="shared" si="290"/>
        <v>3307779.33960984</v>
      </c>
      <c r="AZ139" s="75">
        <f t="shared" si="290"/>
        <v>2064064.5388098804</v>
      </c>
      <c r="BA139" s="75">
        <f t="shared" si="290"/>
        <v>3052323.6216791701</v>
      </c>
      <c r="BB139" s="75">
        <f>BB128+BB136</f>
        <v>3396508.7916652099</v>
      </c>
      <c r="BC139" s="75">
        <f>BC128+BC136</f>
        <v>3293445.5211150991</v>
      </c>
      <c r="BD139" s="191">
        <f>BC139/AY139-1</f>
        <v>-4.3333659906200639E-3</v>
      </c>
      <c r="BF139" s="75">
        <f t="shared" ref="BF139:BL139" si="291">BF128+BF136</f>
        <v>4536440.8957946897</v>
      </c>
      <c r="BG139" s="75">
        <f t="shared" si="291"/>
        <v>2587407.7199487998</v>
      </c>
      <c r="BH139" s="75">
        <f t="shared" si="291"/>
        <v>2181055.7029400002</v>
      </c>
      <c r="BI139" s="75">
        <f t="shared" si="291"/>
        <v>3554129.934369999</v>
      </c>
      <c r="BJ139" s="75">
        <f t="shared" si="291"/>
        <v>3307779.33960984</v>
      </c>
      <c r="BK139" s="75">
        <f t="shared" si="291"/>
        <v>2064064.5388098804</v>
      </c>
      <c r="BL139" s="75">
        <f t="shared" si="291"/>
        <v>3052323.6216791701</v>
      </c>
      <c r="BM139" s="75">
        <f>BM128+BM136</f>
        <v>3396508.7916652099</v>
      </c>
      <c r="BN139" s="75">
        <f>BN128+BN136</f>
        <v>3293445.5211150991</v>
      </c>
    </row>
    <row r="140" spans="3:67" x14ac:dyDescent="0.3">
      <c r="C140" s="65"/>
      <c r="D140" s="77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P140" s="131"/>
      <c r="Q140" s="131"/>
      <c r="R140" s="131"/>
      <c r="S140" s="131"/>
      <c r="T140" s="131"/>
      <c r="U140" s="131"/>
      <c r="V140" s="131"/>
      <c r="W140" s="131"/>
      <c r="X140" s="131"/>
      <c r="Y140" s="131"/>
      <c r="AA140" s="131"/>
      <c r="AB140" s="131"/>
      <c r="AC140" s="131"/>
      <c r="AD140" s="131"/>
      <c r="AE140" s="131"/>
      <c r="AF140" s="131"/>
      <c r="AG140" s="131"/>
      <c r="AH140" s="131"/>
      <c r="AI140" s="131"/>
      <c r="AK140" s="131"/>
      <c r="AL140" s="131"/>
      <c r="AM140" s="131"/>
      <c r="AN140" s="131"/>
      <c r="AO140" s="131"/>
      <c r="AP140" s="131"/>
      <c r="AQ140" s="131"/>
      <c r="AR140" s="131"/>
      <c r="AS140" s="131"/>
      <c r="AU140" s="131"/>
      <c r="AV140" s="131"/>
      <c r="AW140" s="131"/>
      <c r="AX140" s="131"/>
      <c r="AY140" s="131"/>
      <c r="AZ140" s="131"/>
      <c r="BA140" s="131"/>
      <c r="BB140" s="131"/>
      <c r="BC140" s="131"/>
      <c r="BD140" s="131"/>
      <c r="BF140" s="131"/>
      <c r="BG140" s="131"/>
      <c r="BH140" s="131"/>
      <c r="BI140" s="131"/>
      <c r="BJ140" s="131"/>
      <c r="BK140" s="131"/>
      <c r="BL140" s="131"/>
      <c r="BM140" s="131"/>
      <c r="BN140" s="131"/>
    </row>
    <row r="141" spans="3:67" s="45" customFormat="1" x14ac:dyDescent="0.3">
      <c r="C141" s="93" t="s">
        <v>67</v>
      </c>
      <c r="D141" s="127"/>
      <c r="E141" s="94">
        <f t="shared" ref="E141:J141" si="292">SUM(E142:E143)</f>
        <v>2134063.1461099996</v>
      </c>
      <c r="F141" s="94">
        <f t="shared" si="292"/>
        <v>861726.34610000008</v>
      </c>
      <c r="G141" s="94">
        <f t="shared" si="292"/>
        <v>1822058.9384999992</v>
      </c>
      <c r="H141" s="94">
        <f t="shared" si="292"/>
        <v>1402912.30171</v>
      </c>
      <c r="I141" s="94">
        <f t="shared" si="292"/>
        <v>2126116.6820700001</v>
      </c>
      <c r="J141" s="94">
        <f t="shared" si="292"/>
        <v>634785.99157999991</v>
      </c>
      <c r="K141" s="94">
        <f>SUM(K142:K143)</f>
        <v>1396350.6814300001</v>
      </c>
      <c r="L141" s="94">
        <f>SUM(L142:L143)</f>
        <v>2319269.3003700003</v>
      </c>
      <c r="M141" s="94">
        <f>SUM(M142:M143)</f>
        <v>1386099.0237</v>
      </c>
      <c r="N141" s="192">
        <f>M141/I141-1</f>
        <v>-0.34806069893093283</v>
      </c>
      <c r="O141" s="132">
        <f>K141/J141-1</f>
        <v>1.1997188027959544</v>
      </c>
      <c r="P141" s="94">
        <f t="shared" ref="P141:U141" si="293">SUM(P142:P143)</f>
        <v>2134063.1461099996</v>
      </c>
      <c r="Q141" s="94">
        <f t="shared" si="293"/>
        <v>861726.34610000008</v>
      </c>
      <c r="R141" s="94">
        <f t="shared" si="293"/>
        <v>1822058.9384999992</v>
      </c>
      <c r="S141" s="94">
        <f t="shared" si="293"/>
        <v>1402912.30171</v>
      </c>
      <c r="T141" s="94">
        <f t="shared" si="293"/>
        <v>2126116.6820700001</v>
      </c>
      <c r="U141" s="94">
        <f t="shared" si="293"/>
        <v>634785.99157999991</v>
      </c>
      <c r="V141" s="94">
        <f>SUM(V142:V143)</f>
        <v>1396350.6814300001</v>
      </c>
      <c r="W141" s="94">
        <f>SUM(W142:W143)</f>
        <v>2319269.3003700003</v>
      </c>
      <c r="X141" s="94">
        <f>SUM(X142:X143)</f>
        <v>1386099.0237</v>
      </c>
      <c r="Y141" s="192">
        <f>X141/T141-1</f>
        <v>-0.34806069893093283</v>
      </c>
      <c r="AA141" s="94">
        <f t="shared" ref="AA141:AF141" si="294">SUM(AA142:AA143)</f>
        <v>2134063.1461099996</v>
      </c>
      <c r="AB141" s="94">
        <f t="shared" si="294"/>
        <v>861726.34610000008</v>
      </c>
      <c r="AC141" s="94">
        <f t="shared" si="294"/>
        <v>1822058.9384999992</v>
      </c>
      <c r="AD141" s="94">
        <f t="shared" si="294"/>
        <v>1402912.30171</v>
      </c>
      <c r="AE141" s="94">
        <f t="shared" si="294"/>
        <v>2126116.6820700001</v>
      </c>
      <c r="AF141" s="94">
        <f t="shared" si="294"/>
        <v>634785.99157999991</v>
      </c>
      <c r="AG141" s="94">
        <f>SUM(AG142:AG143)</f>
        <v>1396350.6814300001</v>
      </c>
      <c r="AH141" s="94">
        <f>SUM(AH142:AH143)</f>
        <v>2319269.3003700003</v>
      </c>
      <c r="AI141" s="94">
        <f>SUM(AI142:AI143)</f>
        <v>1386099.0237</v>
      </c>
      <c r="AK141" s="94">
        <f t="shared" ref="AK141:AP141" si="295">SUM(AK142:AK143)</f>
        <v>2134063.1461099996</v>
      </c>
      <c r="AL141" s="94">
        <f t="shared" si="295"/>
        <v>861726.34610000008</v>
      </c>
      <c r="AM141" s="94">
        <f t="shared" si="295"/>
        <v>1822058.9384999992</v>
      </c>
      <c r="AN141" s="94">
        <f t="shared" si="295"/>
        <v>1402912.30171</v>
      </c>
      <c r="AO141" s="94">
        <f t="shared" si="295"/>
        <v>2126116.6820700001</v>
      </c>
      <c r="AP141" s="94">
        <f t="shared" si="295"/>
        <v>634785.99157999991</v>
      </c>
      <c r="AQ141" s="94">
        <f>SUM(AQ142:AQ143)</f>
        <v>1396350.6814300001</v>
      </c>
      <c r="AR141" s="94">
        <f>SUM(AR142:AR143)</f>
        <v>2319269.3003700003</v>
      </c>
      <c r="AS141" s="94">
        <f>SUM(AS142:AS143)</f>
        <v>1386099.0237</v>
      </c>
      <c r="AU141" s="94">
        <f t="shared" ref="AU141:AZ141" si="296">SUM(AU142:AU143)</f>
        <v>2134063.1461099996</v>
      </c>
      <c r="AV141" s="94">
        <f t="shared" si="296"/>
        <v>861726.34610000008</v>
      </c>
      <c r="AW141" s="94">
        <f t="shared" si="296"/>
        <v>1822058.9384999992</v>
      </c>
      <c r="AX141" s="94">
        <f t="shared" si="296"/>
        <v>1402912.30171</v>
      </c>
      <c r="AY141" s="94">
        <f t="shared" si="296"/>
        <v>2126116.6820700001</v>
      </c>
      <c r="AZ141" s="94">
        <f t="shared" si="296"/>
        <v>634785.99157999991</v>
      </c>
      <c r="BA141" s="94">
        <f>SUM(BA142:BA143)</f>
        <v>1396350.6814300001</v>
      </c>
      <c r="BB141" s="94">
        <f>SUM(BB142:BB143)</f>
        <v>2319269.3003700003</v>
      </c>
      <c r="BC141" s="94">
        <f>SUM(BC142:BC143)</f>
        <v>1386099.0237</v>
      </c>
      <c r="BD141" s="192">
        <f>BC141/AY141-1</f>
        <v>-0.34806069893093283</v>
      </c>
      <c r="BF141" s="94">
        <f t="shared" ref="BF141:BK141" si="297">SUM(BF142:BF143)</f>
        <v>2134063.1461099996</v>
      </c>
      <c r="BG141" s="94">
        <f t="shared" si="297"/>
        <v>861726.34610000008</v>
      </c>
      <c r="BH141" s="94">
        <f t="shared" si="297"/>
        <v>1822058.9384999992</v>
      </c>
      <c r="BI141" s="94">
        <f t="shared" si="297"/>
        <v>1402912.30171</v>
      </c>
      <c r="BJ141" s="94">
        <f t="shared" si="297"/>
        <v>2126116.6820700001</v>
      </c>
      <c r="BK141" s="94">
        <f t="shared" si="297"/>
        <v>634785.99157999991</v>
      </c>
      <c r="BL141" s="94">
        <f>SUM(BL142:BL143)</f>
        <v>1396350.6814300001</v>
      </c>
      <c r="BM141" s="94">
        <f>SUM(BM142:BM143)</f>
        <v>2319269.3003700003</v>
      </c>
      <c r="BN141" s="94">
        <f>SUM(BN142:BN143)</f>
        <v>1386099.0237</v>
      </c>
    </row>
    <row r="142" spans="3:67" x14ac:dyDescent="0.3">
      <c r="C142" s="36" t="s">
        <v>68</v>
      </c>
      <c r="E142" s="97">
        <v>2121804.7496299995</v>
      </c>
      <c r="F142" s="97">
        <v>861726.34610000008</v>
      </c>
      <c r="G142" s="97">
        <v>1805993.4032799993</v>
      </c>
      <c r="H142" s="97">
        <v>1387371.9861900001</v>
      </c>
      <c r="I142" s="97">
        <v>2025698.4404199999</v>
      </c>
      <c r="J142" s="97">
        <v>623271.57203999988</v>
      </c>
      <c r="K142" s="97">
        <v>1345259.8791800002</v>
      </c>
      <c r="L142" s="97">
        <v>2209333.8024200001</v>
      </c>
      <c r="M142" s="97">
        <v>1351598.38503</v>
      </c>
      <c r="N142" s="190"/>
      <c r="P142" s="158">
        <f>$E142</f>
        <v>2121804.7496299995</v>
      </c>
      <c r="Q142" s="158">
        <f>$F142</f>
        <v>861726.34610000008</v>
      </c>
      <c r="R142" s="158">
        <f>$G142</f>
        <v>1805993.4032799993</v>
      </c>
      <c r="S142" s="158">
        <f>$H142</f>
        <v>1387371.9861900001</v>
      </c>
      <c r="T142" s="158">
        <f>$I142</f>
        <v>2025698.4404199999</v>
      </c>
      <c r="U142" s="158">
        <f>$J142</f>
        <v>623271.57203999988</v>
      </c>
      <c r="V142" s="158">
        <f t="shared" ref="V142:X143" si="298">$K142</f>
        <v>1345259.8791800002</v>
      </c>
      <c r="W142" s="158">
        <f>$L142</f>
        <v>2209333.8024200001</v>
      </c>
      <c r="X142" s="158">
        <f>$M142</f>
        <v>1351598.38503</v>
      </c>
      <c r="Y142" s="190"/>
      <c r="AA142" s="158">
        <f>$E142</f>
        <v>2121804.7496299995</v>
      </c>
      <c r="AB142" s="158">
        <f>$F142</f>
        <v>861726.34610000008</v>
      </c>
      <c r="AC142" s="158">
        <f>$G142</f>
        <v>1805993.4032799993</v>
      </c>
      <c r="AD142" s="158">
        <f>$H142</f>
        <v>1387371.9861900001</v>
      </c>
      <c r="AE142" s="158">
        <f>$I142</f>
        <v>2025698.4404199999</v>
      </c>
      <c r="AF142" s="158">
        <f>$J142</f>
        <v>623271.57203999988</v>
      </c>
      <c r="AG142" s="158">
        <f t="shared" ref="AG142:AI143" si="299">$K142</f>
        <v>1345259.8791800002</v>
      </c>
      <c r="AH142" s="158">
        <f>$L142</f>
        <v>2209333.8024200001</v>
      </c>
      <c r="AI142" s="158">
        <f>$M142</f>
        <v>1351598.38503</v>
      </c>
      <c r="AK142" s="158">
        <f>$E142</f>
        <v>2121804.7496299995</v>
      </c>
      <c r="AL142" s="158">
        <f>$F142</f>
        <v>861726.34610000008</v>
      </c>
      <c r="AM142" s="158">
        <f>$G142</f>
        <v>1805993.4032799993</v>
      </c>
      <c r="AN142" s="158">
        <f>$H142</f>
        <v>1387371.9861900001</v>
      </c>
      <c r="AO142" s="158">
        <f>$I142</f>
        <v>2025698.4404199999</v>
      </c>
      <c r="AP142" s="158">
        <f>$J142</f>
        <v>623271.57203999988</v>
      </c>
      <c r="AQ142" s="158">
        <f t="shared" ref="AQ142:AS143" si="300">$K142</f>
        <v>1345259.8791800002</v>
      </c>
      <c r="AR142" s="158">
        <f>$L142</f>
        <v>2209333.8024200001</v>
      </c>
      <c r="AS142" s="158">
        <f>$M142</f>
        <v>1351598.38503</v>
      </c>
      <c r="AU142" s="158">
        <f>$E142</f>
        <v>2121804.7496299995</v>
      </c>
      <c r="AV142" s="158">
        <f>$F142</f>
        <v>861726.34610000008</v>
      </c>
      <c r="AW142" s="158">
        <f>$G142</f>
        <v>1805993.4032799993</v>
      </c>
      <c r="AX142" s="158">
        <f>$H142</f>
        <v>1387371.9861900001</v>
      </c>
      <c r="AY142" s="158">
        <f>$I142</f>
        <v>2025698.4404199999</v>
      </c>
      <c r="AZ142" s="158">
        <f>$J142</f>
        <v>623271.57203999988</v>
      </c>
      <c r="BA142" s="158">
        <f t="shared" ref="BA142:BC143" si="301">$K142</f>
        <v>1345259.8791800002</v>
      </c>
      <c r="BB142" s="158">
        <f>$L142</f>
        <v>2209333.8024200001</v>
      </c>
      <c r="BC142" s="158">
        <f>$M142</f>
        <v>1351598.38503</v>
      </c>
      <c r="BD142" s="190"/>
      <c r="BF142" s="158">
        <f>$E142</f>
        <v>2121804.7496299995</v>
      </c>
      <c r="BG142" s="158">
        <f>$F142</f>
        <v>861726.34610000008</v>
      </c>
      <c r="BH142" s="158">
        <f>$G142</f>
        <v>1805993.4032799993</v>
      </c>
      <c r="BI142" s="158">
        <f>$H142</f>
        <v>1387371.9861900001</v>
      </c>
      <c r="BJ142" s="158">
        <f>$I142</f>
        <v>2025698.4404199999</v>
      </c>
      <c r="BK142" s="158">
        <f>$J142</f>
        <v>623271.57203999988</v>
      </c>
      <c r="BL142" s="158">
        <f t="shared" ref="BL142:BN143" si="302">$K142</f>
        <v>1345259.8791800002</v>
      </c>
      <c r="BM142" s="158">
        <f>$L142</f>
        <v>2209333.8024200001</v>
      </c>
      <c r="BN142" s="158">
        <f>$M142</f>
        <v>1351598.38503</v>
      </c>
    </row>
    <row r="143" spans="3:67" x14ac:dyDescent="0.3">
      <c r="C143" s="36" t="s">
        <v>121</v>
      </c>
      <c r="E143" s="97">
        <v>12258.396480000001</v>
      </c>
      <c r="F143" s="97">
        <v>0</v>
      </c>
      <c r="G143" s="97">
        <v>16065.53522</v>
      </c>
      <c r="H143" s="97">
        <v>15540.31552</v>
      </c>
      <c r="I143" s="97">
        <v>100418.24165000001</v>
      </c>
      <c r="J143" s="97">
        <v>11514.419539999999</v>
      </c>
      <c r="K143" s="97">
        <v>51090.802249999993</v>
      </c>
      <c r="L143" s="97">
        <v>109935.49795</v>
      </c>
      <c r="M143" s="97">
        <v>34500.63867</v>
      </c>
      <c r="N143" s="190"/>
      <c r="P143" s="158">
        <f>$E143</f>
        <v>12258.396480000001</v>
      </c>
      <c r="Q143" s="158">
        <f>$F143</f>
        <v>0</v>
      </c>
      <c r="R143" s="158">
        <f>$G143</f>
        <v>16065.53522</v>
      </c>
      <c r="S143" s="158">
        <f>$H143</f>
        <v>15540.31552</v>
      </c>
      <c r="T143" s="158">
        <f>$I143</f>
        <v>100418.24165000001</v>
      </c>
      <c r="U143" s="158">
        <f>$J143</f>
        <v>11514.419539999999</v>
      </c>
      <c r="V143" s="158">
        <f t="shared" si="298"/>
        <v>51090.802249999993</v>
      </c>
      <c r="W143" s="158">
        <f>$L143</f>
        <v>109935.49795</v>
      </c>
      <c r="X143" s="158">
        <f>$M143</f>
        <v>34500.63867</v>
      </c>
      <c r="Y143" s="190"/>
      <c r="AA143" s="158">
        <f>$E143</f>
        <v>12258.396480000001</v>
      </c>
      <c r="AB143" s="158">
        <f>$F143</f>
        <v>0</v>
      </c>
      <c r="AC143" s="158">
        <f>$G143</f>
        <v>16065.53522</v>
      </c>
      <c r="AD143" s="158">
        <f>$H143</f>
        <v>15540.31552</v>
      </c>
      <c r="AE143" s="158">
        <f>$I143</f>
        <v>100418.24165000001</v>
      </c>
      <c r="AF143" s="158">
        <f>$J143</f>
        <v>11514.419539999999</v>
      </c>
      <c r="AG143" s="158">
        <f t="shared" si="299"/>
        <v>51090.802249999993</v>
      </c>
      <c r="AH143" s="158">
        <f>$L143</f>
        <v>109935.49795</v>
      </c>
      <c r="AI143" s="158">
        <f>$M143</f>
        <v>34500.63867</v>
      </c>
      <c r="AK143" s="158">
        <f>$E143</f>
        <v>12258.396480000001</v>
      </c>
      <c r="AL143" s="158">
        <f>$F143</f>
        <v>0</v>
      </c>
      <c r="AM143" s="158">
        <f>$G143</f>
        <v>16065.53522</v>
      </c>
      <c r="AN143" s="158">
        <f>$H143</f>
        <v>15540.31552</v>
      </c>
      <c r="AO143" s="158">
        <f>$I143</f>
        <v>100418.24165000001</v>
      </c>
      <c r="AP143" s="158">
        <f>$J143</f>
        <v>11514.419539999999</v>
      </c>
      <c r="AQ143" s="158">
        <f t="shared" si="300"/>
        <v>51090.802249999993</v>
      </c>
      <c r="AR143" s="158">
        <f>$L143</f>
        <v>109935.49795</v>
      </c>
      <c r="AS143" s="158">
        <f>$M143</f>
        <v>34500.63867</v>
      </c>
      <c r="AU143" s="158">
        <f>$E143</f>
        <v>12258.396480000001</v>
      </c>
      <c r="AV143" s="158">
        <f>$F143</f>
        <v>0</v>
      </c>
      <c r="AW143" s="158">
        <f>$G143</f>
        <v>16065.53522</v>
      </c>
      <c r="AX143" s="158">
        <f>$H143</f>
        <v>15540.31552</v>
      </c>
      <c r="AY143" s="158">
        <f>$I143</f>
        <v>100418.24165000001</v>
      </c>
      <c r="AZ143" s="158">
        <f>$J143</f>
        <v>11514.419539999999</v>
      </c>
      <c r="BA143" s="158">
        <f t="shared" si="301"/>
        <v>51090.802249999993</v>
      </c>
      <c r="BB143" s="158">
        <f>$L143</f>
        <v>109935.49795</v>
      </c>
      <c r="BC143" s="158">
        <f>$M143</f>
        <v>34500.63867</v>
      </c>
      <c r="BD143" s="190"/>
      <c r="BF143" s="158">
        <f>$E143</f>
        <v>12258.396480000001</v>
      </c>
      <c r="BG143" s="158">
        <f>$F143</f>
        <v>0</v>
      </c>
      <c r="BH143" s="158">
        <f>$G143</f>
        <v>16065.53522</v>
      </c>
      <c r="BI143" s="158">
        <f>$H143</f>
        <v>15540.31552</v>
      </c>
      <c r="BJ143" s="158">
        <f>$I143</f>
        <v>100418.24165000001</v>
      </c>
      <c r="BK143" s="158">
        <f>$J143</f>
        <v>11514.419539999999</v>
      </c>
      <c r="BL143" s="158">
        <f t="shared" si="302"/>
        <v>51090.802249999993</v>
      </c>
      <c r="BM143" s="158">
        <f>$L143</f>
        <v>109935.49795</v>
      </c>
      <c r="BN143" s="158">
        <f>$M143</f>
        <v>34500.63867</v>
      </c>
    </row>
    <row r="144" spans="3:67" x14ac:dyDescent="0.3">
      <c r="C144" s="71"/>
      <c r="D144" s="120"/>
      <c r="E144" s="68"/>
      <c r="F144" s="68"/>
      <c r="G144" s="68"/>
      <c r="H144" s="68"/>
      <c r="I144" s="68"/>
      <c r="J144" s="68"/>
      <c r="K144" s="68"/>
      <c r="L144" s="68"/>
      <c r="M144" s="68"/>
      <c r="N144" s="193"/>
      <c r="O144" s="132"/>
      <c r="P144" s="68"/>
      <c r="Q144" s="68"/>
      <c r="R144" s="68"/>
      <c r="S144" s="68"/>
      <c r="T144" s="68"/>
      <c r="U144" s="68"/>
      <c r="V144" s="68"/>
      <c r="W144" s="68"/>
      <c r="X144" s="68"/>
      <c r="Y144" s="193"/>
      <c r="AA144" s="68"/>
      <c r="AB144" s="68"/>
      <c r="AC144" s="68"/>
      <c r="AD144" s="68"/>
      <c r="AE144" s="68"/>
      <c r="AF144" s="68"/>
      <c r="AG144" s="68"/>
      <c r="AH144" s="68"/>
      <c r="AI144" s="68"/>
      <c r="AK144" s="68"/>
      <c r="AL144" s="68"/>
      <c r="AM144" s="68"/>
      <c r="AN144" s="68"/>
      <c r="AO144" s="68"/>
      <c r="AP144" s="68"/>
      <c r="AQ144" s="68"/>
      <c r="AR144" s="68"/>
      <c r="AS144" s="68"/>
      <c r="AU144" s="68"/>
      <c r="AV144" s="68"/>
      <c r="AW144" s="68"/>
      <c r="AX144" s="68"/>
      <c r="AY144" s="68"/>
      <c r="AZ144" s="68"/>
      <c r="BA144" s="68"/>
      <c r="BB144" s="68"/>
      <c r="BC144" s="68"/>
      <c r="BD144" s="193"/>
      <c r="BF144" s="68"/>
      <c r="BG144" s="68"/>
      <c r="BH144" s="68"/>
      <c r="BI144" s="68"/>
      <c r="BJ144" s="68"/>
      <c r="BK144" s="68"/>
      <c r="BL144" s="68"/>
      <c r="BM144" s="68"/>
      <c r="BN144" s="68"/>
    </row>
    <row r="145" spans="2:67" s="35" customFormat="1" x14ac:dyDescent="0.3">
      <c r="B145" s="33"/>
      <c r="C145" s="63" t="s">
        <v>201</v>
      </c>
      <c r="D145" s="63"/>
      <c r="E145" s="34" t="str">
        <f t="shared" ref="E145:M145" si="303">E3</f>
        <v>Q4-2023</v>
      </c>
      <c r="F145" s="34" t="str">
        <f t="shared" si="303"/>
        <v>Q1-2024</v>
      </c>
      <c r="G145" s="34" t="str">
        <f t="shared" si="303"/>
        <v>Q2-2024</v>
      </c>
      <c r="H145" s="34" t="str">
        <f t="shared" si="303"/>
        <v>Q3-2024</v>
      </c>
      <c r="I145" s="34" t="str">
        <f t="shared" si="303"/>
        <v>Q4-2024</v>
      </c>
      <c r="J145" s="34" t="str">
        <f t="shared" si="303"/>
        <v>Q1-2025</v>
      </c>
      <c r="K145" s="34" t="str">
        <f t="shared" si="303"/>
        <v>Q2-2025</v>
      </c>
      <c r="L145" s="34" t="str">
        <f t="shared" si="303"/>
        <v>Q3-2025</v>
      </c>
      <c r="M145" s="34" t="str">
        <f t="shared" si="303"/>
        <v>Q4-2025</v>
      </c>
      <c r="N145" s="168"/>
      <c r="P145" s="34"/>
      <c r="Q145" s="34"/>
      <c r="R145" s="34"/>
      <c r="S145" s="34"/>
      <c r="T145" s="34"/>
      <c r="U145" s="34"/>
      <c r="V145" s="34"/>
      <c r="W145" s="34"/>
      <c r="X145" s="34"/>
      <c r="Y145" s="168"/>
      <c r="Z145" s="205"/>
      <c r="AA145" s="34"/>
      <c r="AB145" s="34"/>
      <c r="AC145" s="34"/>
      <c r="AD145" s="34"/>
      <c r="AE145" s="34"/>
      <c r="AF145" s="34"/>
      <c r="AG145" s="34"/>
      <c r="AH145" s="34"/>
      <c r="AI145" s="34"/>
      <c r="AJ145" s="205"/>
      <c r="AK145" s="34"/>
      <c r="AL145" s="34"/>
      <c r="AM145" s="34"/>
      <c r="AN145" s="34"/>
      <c r="AO145" s="34"/>
      <c r="AP145" s="34"/>
      <c r="AQ145" s="34"/>
      <c r="AR145" s="34"/>
      <c r="AS145" s="34"/>
      <c r="AT145" s="205"/>
      <c r="AU145" s="34"/>
      <c r="AV145" s="34"/>
      <c r="AW145" s="34"/>
      <c r="AX145" s="34"/>
      <c r="AY145" s="34"/>
      <c r="AZ145" s="34"/>
      <c r="BA145" s="34"/>
      <c r="BB145" s="34"/>
      <c r="BC145" s="34"/>
      <c r="BD145" s="168"/>
      <c r="BE145" s="205"/>
      <c r="BF145" s="34"/>
      <c r="BG145" s="34"/>
      <c r="BH145" s="34"/>
      <c r="BI145" s="34"/>
      <c r="BJ145" s="34"/>
      <c r="BK145" s="34"/>
      <c r="BL145" s="34"/>
      <c r="BM145" s="34"/>
      <c r="BN145" s="34"/>
      <c r="BO145" s="205"/>
    </row>
    <row r="146" spans="2:67" x14ac:dyDescent="0.3">
      <c r="C146" s="79" t="s">
        <v>111</v>
      </c>
      <c r="D146" s="121"/>
      <c r="E146" s="48">
        <f t="shared" ref="E146:M146" si="304">SUM(E147)</f>
        <v>6998142</v>
      </c>
      <c r="F146" s="48">
        <f t="shared" si="304"/>
        <v>7696019.4009999996</v>
      </c>
      <c r="G146" s="48">
        <f t="shared" si="304"/>
        <v>6998142.2419999996</v>
      </c>
      <c r="H146" s="48">
        <f t="shared" si="304"/>
        <v>7530801.2247399995</v>
      </c>
      <c r="I146" s="48">
        <f t="shared" si="304"/>
        <v>7722183.1390800001</v>
      </c>
      <c r="J146" s="48">
        <f t="shared" si="304"/>
        <v>8165963.8619999997</v>
      </c>
      <c r="K146" s="48">
        <f t="shared" si="304"/>
        <v>8177032.71318</v>
      </c>
      <c r="L146" s="48">
        <f t="shared" si="304"/>
        <v>8688543.81281</v>
      </c>
      <c r="M146" s="48">
        <f t="shared" si="304"/>
        <v>8261123.9067399995</v>
      </c>
      <c r="N146" s="173">
        <f>M146/I146-1</f>
        <v>6.9791243998417629E-2</v>
      </c>
      <c r="P146" s="100">
        <f t="shared" ref="P146:BN146" si="305">P147</f>
        <v>6998142</v>
      </c>
      <c r="Q146" s="100">
        <f t="shared" si="305"/>
        <v>7696019.4009999996</v>
      </c>
      <c r="R146" s="100">
        <f t="shared" si="305"/>
        <v>6998142.2419999996</v>
      </c>
      <c r="S146" s="100">
        <f t="shared" si="305"/>
        <v>7530801.2247399995</v>
      </c>
      <c r="T146" s="100">
        <f t="shared" si="305"/>
        <v>7722183.1390800001</v>
      </c>
      <c r="U146" s="100">
        <f t="shared" si="305"/>
        <v>8165963.8619999997</v>
      </c>
      <c r="V146" s="100">
        <f t="shared" si="305"/>
        <v>8177032.71318</v>
      </c>
      <c r="W146" s="100">
        <f t="shared" si="305"/>
        <v>8688543.81281</v>
      </c>
      <c r="X146" s="100">
        <f t="shared" si="305"/>
        <v>8261123.9067399995</v>
      </c>
      <c r="Y146" s="173">
        <f>T146/P146-1</f>
        <v>0.10346191018701822</v>
      </c>
      <c r="AA146" s="100">
        <f t="shared" si="305"/>
        <v>6998142</v>
      </c>
      <c r="AB146" s="100">
        <f t="shared" si="305"/>
        <v>7696019.4009999996</v>
      </c>
      <c r="AC146" s="100">
        <f t="shared" si="305"/>
        <v>6998142.2419999996</v>
      </c>
      <c r="AD146" s="100">
        <f t="shared" si="305"/>
        <v>7530801.2247399995</v>
      </c>
      <c r="AE146" s="100">
        <f t="shared" si="305"/>
        <v>7722183.1390800001</v>
      </c>
      <c r="AF146" s="100">
        <f t="shared" si="305"/>
        <v>8165963.8619999997</v>
      </c>
      <c r="AG146" s="100">
        <f t="shared" si="305"/>
        <v>8177032.71318</v>
      </c>
      <c r="AH146" s="100">
        <f t="shared" si="305"/>
        <v>8688543.81281</v>
      </c>
      <c r="AI146" s="100">
        <f t="shared" si="305"/>
        <v>8261123.9067399995</v>
      </c>
      <c r="AK146" s="100">
        <f t="shared" si="305"/>
        <v>6998142</v>
      </c>
      <c r="AL146" s="100">
        <f t="shared" si="305"/>
        <v>7696019.4009999996</v>
      </c>
      <c r="AM146" s="100">
        <f t="shared" si="305"/>
        <v>6998142.2419999996</v>
      </c>
      <c r="AN146" s="100">
        <f t="shared" si="305"/>
        <v>7530801.2247399995</v>
      </c>
      <c r="AO146" s="100">
        <f t="shared" si="305"/>
        <v>7722183.1390800001</v>
      </c>
      <c r="AP146" s="100">
        <f t="shared" si="305"/>
        <v>8165963.8619999997</v>
      </c>
      <c r="AQ146" s="100">
        <f t="shared" si="305"/>
        <v>8177032.71318</v>
      </c>
      <c r="AR146" s="100">
        <f t="shared" si="305"/>
        <v>8688543.81281</v>
      </c>
      <c r="AS146" s="100">
        <f t="shared" si="305"/>
        <v>8261123.9067399995</v>
      </c>
      <c r="AU146" s="100">
        <f t="shared" si="305"/>
        <v>6998142</v>
      </c>
      <c r="AV146" s="100">
        <f t="shared" si="305"/>
        <v>7696019.4009999996</v>
      </c>
      <c r="AW146" s="100">
        <f t="shared" si="305"/>
        <v>6998142.2419999996</v>
      </c>
      <c r="AX146" s="100">
        <f t="shared" si="305"/>
        <v>7530801.2247399995</v>
      </c>
      <c r="AY146" s="100">
        <f t="shared" si="305"/>
        <v>7722183.1390800001</v>
      </c>
      <c r="AZ146" s="100">
        <f t="shared" si="305"/>
        <v>8165963.8619999997</v>
      </c>
      <c r="BA146" s="100">
        <f t="shared" si="305"/>
        <v>8177032.71318</v>
      </c>
      <c r="BB146" s="100">
        <f t="shared" si="305"/>
        <v>8688543.81281</v>
      </c>
      <c r="BC146" s="100">
        <f t="shared" si="305"/>
        <v>8261123.9067399995</v>
      </c>
      <c r="BD146" s="173">
        <f>BC146/AY146-1</f>
        <v>6.9791243998417629E-2</v>
      </c>
      <c r="BF146" s="100">
        <f t="shared" si="305"/>
        <v>6998142</v>
      </c>
      <c r="BG146" s="100">
        <f t="shared" si="305"/>
        <v>7696019.4009999996</v>
      </c>
      <c r="BH146" s="100">
        <f t="shared" si="305"/>
        <v>6998142.2419999996</v>
      </c>
      <c r="BI146" s="100">
        <f t="shared" si="305"/>
        <v>7530801.2247399995</v>
      </c>
      <c r="BJ146" s="100">
        <f t="shared" si="305"/>
        <v>7722183.1390800001</v>
      </c>
      <c r="BK146" s="100">
        <f t="shared" si="305"/>
        <v>8165963.8619999997</v>
      </c>
      <c r="BL146" s="100">
        <f t="shared" si="305"/>
        <v>8177032.71318</v>
      </c>
      <c r="BM146" s="100">
        <f t="shared" si="305"/>
        <v>8688543.81281</v>
      </c>
      <c r="BN146" s="100">
        <f t="shared" si="305"/>
        <v>8261123.9067399995</v>
      </c>
    </row>
    <row r="147" spans="2:67" x14ac:dyDescent="0.3">
      <c r="C147" s="65" t="s">
        <v>112</v>
      </c>
      <c r="D147" s="77"/>
      <c r="E147" s="97">
        <v>6998142</v>
      </c>
      <c r="F147" s="97">
        <v>7696019.4009999996</v>
      </c>
      <c r="G147" s="97">
        <v>6998142.2419999996</v>
      </c>
      <c r="H147" s="97">
        <v>7530801.2247399995</v>
      </c>
      <c r="I147" s="97">
        <v>7722183.1390800001</v>
      </c>
      <c r="J147" s="97">
        <v>8165963.8619999997</v>
      </c>
      <c r="K147" s="97">
        <f>8177032713.18/1000</f>
        <v>8177032.71318</v>
      </c>
      <c r="L147" s="97">
        <v>8688543.81281</v>
      </c>
      <c r="M147" s="97">
        <f>8261123906.74/1000</f>
        <v>8261123.9067399995</v>
      </c>
      <c r="N147" s="190"/>
      <c r="P147" s="158">
        <f>$E147</f>
        <v>6998142</v>
      </c>
      <c r="Q147" s="158">
        <f>$F147</f>
        <v>7696019.4009999996</v>
      </c>
      <c r="R147" s="158">
        <f>$G147</f>
        <v>6998142.2419999996</v>
      </c>
      <c r="S147" s="158">
        <f>$H147</f>
        <v>7530801.2247399995</v>
      </c>
      <c r="T147" s="158">
        <f>$I147</f>
        <v>7722183.1390800001</v>
      </c>
      <c r="U147" s="158">
        <f>$J147</f>
        <v>8165963.8619999997</v>
      </c>
      <c r="V147" s="158">
        <f>$K147</f>
        <v>8177032.71318</v>
      </c>
      <c r="W147" s="158">
        <f>$L147</f>
        <v>8688543.81281</v>
      </c>
      <c r="X147" s="158">
        <f>$M147</f>
        <v>8261123.9067399995</v>
      </c>
      <c r="Y147" s="190"/>
      <c r="Z147" s="64"/>
      <c r="AA147" s="158">
        <f>$E147</f>
        <v>6998142</v>
      </c>
      <c r="AB147" s="158">
        <f>$F147</f>
        <v>7696019.4009999996</v>
      </c>
      <c r="AC147" s="158">
        <f>$G147</f>
        <v>6998142.2419999996</v>
      </c>
      <c r="AD147" s="158">
        <f>$H147</f>
        <v>7530801.2247399995</v>
      </c>
      <c r="AE147" s="158">
        <f>$I147</f>
        <v>7722183.1390800001</v>
      </c>
      <c r="AF147" s="158">
        <f>$J147</f>
        <v>8165963.8619999997</v>
      </c>
      <c r="AG147" s="158">
        <f>$K147</f>
        <v>8177032.71318</v>
      </c>
      <c r="AH147" s="158">
        <f>$L147</f>
        <v>8688543.81281</v>
      </c>
      <c r="AI147" s="158">
        <f>$M147</f>
        <v>8261123.9067399995</v>
      </c>
      <c r="AJ147" s="64"/>
      <c r="AK147" s="158">
        <f>$E147</f>
        <v>6998142</v>
      </c>
      <c r="AL147" s="158">
        <f>$F147</f>
        <v>7696019.4009999996</v>
      </c>
      <c r="AM147" s="158">
        <f>$G147</f>
        <v>6998142.2419999996</v>
      </c>
      <c r="AN147" s="158">
        <f>$H147</f>
        <v>7530801.2247399995</v>
      </c>
      <c r="AO147" s="158">
        <f>$I147</f>
        <v>7722183.1390800001</v>
      </c>
      <c r="AP147" s="158">
        <f>$J147</f>
        <v>8165963.8619999997</v>
      </c>
      <c r="AQ147" s="158">
        <f>$K147</f>
        <v>8177032.71318</v>
      </c>
      <c r="AR147" s="158">
        <f>$L147</f>
        <v>8688543.81281</v>
      </c>
      <c r="AS147" s="158">
        <f>$M147</f>
        <v>8261123.9067399995</v>
      </c>
      <c r="AT147" s="64"/>
      <c r="AU147" s="158">
        <f>$E147</f>
        <v>6998142</v>
      </c>
      <c r="AV147" s="158">
        <f>$F147</f>
        <v>7696019.4009999996</v>
      </c>
      <c r="AW147" s="158">
        <f>$G147</f>
        <v>6998142.2419999996</v>
      </c>
      <c r="AX147" s="158">
        <f>$H147</f>
        <v>7530801.2247399995</v>
      </c>
      <c r="AY147" s="158">
        <f>$I147</f>
        <v>7722183.1390800001</v>
      </c>
      <c r="AZ147" s="158">
        <f>$J147</f>
        <v>8165963.8619999997</v>
      </c>
      <c r="BA147" s="158">
        <f>$K147</f>
        <v>8177032.71318</v>
      </c>
      <c r="BB147" s="158">
        <f>$L147</f>
        <v>8688543.81281</v>
      </c>
      <c r="BC147" s="158">
        <f>$M147</f>
        <v>8261123.9067399995</v>
      </c>
      <c r="BD147" s="190"/>
      <c r="BE147" s="64"/>
      <c r="BF147" s="158">
        <f>$E147</f>
        <v>6998142</v>
      </c>
      <c r="BG147" s="158">
        <f>$F147</f>
        <v>7696019.4009999996</v>
      </c>
      <c r="BH147" s="158">
        <f>$G147</f>
        <v>6998142.2419999996</v>
      </c>
      <c r="BI147" s="158">
        <f>$H147</f>
        <v>7530801.2247399995</v>
      </c>
      <c r="BJ147" s="158">
        <f>$I147</f>
        <v>7722183.1390800001</v>
      </c>
      <c r="BK147" s="158">
        <f>$J147</f>
        <v>8165963.8619999997</v>
      </c>
      <c r="BL147" s="158">
        <f>$K147</f>
        <v>8177032.71318</v>
      </c>
      <c r="BM147" s="158">
        <f>$L147</f>
        <v>8688543.81281</v>
      </c>
      <c r="BN147" s="158">
        <f>$M147</f>
        <v>8261123.9067399995</v>
      </c>
      <c r="BO147" s="64"/>
    </row>
    <row r="148" spans="2:67" x14ac:dyDescent="0.3">
      <c r="C148" s="65"/>
      <c r="D148" s="77"/>
      <c r="E148" s="41"/>
      <c r="F148" s="41"/>
      <c r="G148" s="41"/>
      <c r="H148" s="41"/>
      <c r="J148" s="41"/>
      <c r="K148" s="41"/>
      <c r="L148" s="41"/>
      <c r="M148" s="41"/>
      <c r="N148" s="169"/>
      <c r="P148" s="41"/>
      <c r="Q148" s="41"/>
      <c r="R148" s="41"/>
      <c r="S148" s="41"/>
      <c r="T148" s="41"/>
      <c r="U148" s="41"/>
      <c r="V148" s="41"/>
      <c r="W148" s="41"/>
      <c r="X148" s="41"/>
      <c r="Y148" s="169"/>
      <c r="AA148" s="41"/>
      <c r="AB148" s="41"/>
      <c r="AC148" s="41"/>
      <c r="AD148" s="41"/>
      <c r="AE148" s="41"/>
      <c r="AF148" s="41"/>
      <c r="AG148" s="41"/>
      <c r="AH148" s="41"/>
      <c r="AI148" s="41"/>
      <c r="AK148" s="41"/>
      <c r="AL148" s="41"/>
      <c r="AM148" s="41"/>
      <c r="AN148" s="41"/>
      <c r="AO148" s="41"/>
      <c r="AP148" s="41"/>
      <c r="AQ148" s="41"/>
      <c r="AR148" s="41"/>
      <c r="AS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169"/>
      <c r="BF148" s="41"/>
      <c r="BG148" s="41"/>
      <c r="BH148" s="41"/>
      <c r="BI148" s="41"/>
      <c r="BJ148" s="41"/>
      <c r="BK148" s="41"/>
      <c r="BL148" s="41"/>
      <c r="BM148" s="41"/>
      <c r="BN148" s="41"/>
    </row>
    <row r="149" spans="2:67" x14ac:dyDescent="0.3">
      <c r="C149" s="80" t="s">
        <v>114</v>
      </c>
      <c r="D149" s="122"/>
      <c r="E149" s="48">
        <f t="shared" ref="E149:J149" si="306">SUM(E150:E153)</f>
        <v>14790726.199999999</v>
      </c>
      <c r="F149" s="48">
        <f t="shared" si="306"/>
        <v>13976451.812527383</v>
      </c>
      <c r="G149" s="48">
        <f t="shared" si="306"/>
        <v>13747813.077329999</v>
      </c>
      <c r="H149" s="48">
        <f t="shared" si="306"/>
        <v>13049129.769865882</v>
      </c>
      <c r="I149" s="48">
        <f t="shared" si="306"/>
        <v>14597264.453412892</v>
      </c>
      <c r="J149" s="48">
        <f t="shared" si="306"/>
        <v>13679134.539850809</v>
      </c>
      <c r="K149" s="48">
        <f>SUM(K150:K153)</f>
        <v>12900512.416999999</v>
      </c>
      <c r="L149" s="48">
        <f>SUM(L150:L153)</f>
        <v>13875406.756858427</v>
      </c>
      <c r="M149" s="48">
        <f>SUM(M150:M153)</f>
        <v>13305024.655996645</v>
      </c>
      <c r="N149" s="173">
        <f>M149/I149-1</f>
        <v>-8.852616197647345E-2</v>
      </c>
      <c r="P149" s="100">
        <f t="shared" ref="P149:X149" si="307">SUM(P150:P153)</f>
        <v>14790726.199999999</v>
      </c>
      <c r="Q149" s="100">
        <f t="shared" si="307"/>
        <v>13976451.812527383</v>
      </c>
      <c r="R149" s="100">
        <f t="shared" si="307"/>
        <v>13747813.077329999</v>
      </c>
      <c r="S149" s="100">
        <f t="shared" si="307"/>
        <v>13049129.769865882</v>
      </c>
      <c r="T149" s="100">
        <f t="shared" si="307"/>
        <v>14597264.453412892</v>
      </c>
      <c r="U149" s="100">
        <f t="shared" si="307"/>
        <v>13679134.539850809</v>
      </c>
      <c r="V149" s="100">
        <f t="shared" si="307"/>
        <v>12900512.416999999</v>
      </c>
      <c r="W149" s="100">
        <f t="shared" si="307"/>
        <v>13875406.756858427</v>
      </c>
      <c r="X149" s="100">
        <f t="shared" si="307"/>
        <v>13305024.655996645</v>
      </c>
      <c r="Y149" s="173">
        <f>X149/T149-1</f>
        <v>-8.852616197647345E-2</v>
      </c>
      <c r="AA149" s="100">
        <f t="shared" ref="AA149:AI149" si="308">SUM(AA150:AA153)</f>
        <v>14790726.199999999</v>
      </c>
      <c r="AB149" s="100">
        <f t="shared" si="308"/>
        <v>13976451.812527383</v>
      </c>
      <c r="AC149" s="100">
        <f t="shared" si="308"/>
        <v>13747813.077329999</v>
      </c>
      <c r="AD149" s="100">
        <f t="shared" si="308"/>
        <v>13049129.769865882</v>
      </c>
      <c r="AE149" s="100">
        <f t="shared" si="308"/>
        <v>14597264.453412892</v>
      </c>
      <c r="AF149" s="100">
        <f t="shared" si="308"/>
        <v>13679134.539850809</v>
      </c>
      <c r="AG149" s="100">
        <f t="shared" si="308"/>
        <v>12900512.416999999</v>
      </c>
      <c r="AH149" s="100">
        <f t="shared" si="308"/>
        <v>13875406.756858427</v>
      </c>
      <c r="AI149" s="100">
        <f t="shared" si="308"/>
        <v>13305024.655996645</v>
      </c>
      <c r="AJ149" s="70"/>
      <c r="AK149" s="100">
        <f t="shared" ref="AK149:AS149" si="309">SUM(AK150:AK153)</f>
        <v>14790726.199999999</v>
      </c>
      <c r="AL149" s="100">
        <f t="shared" si="309"/>
        <v>13976451.812527383</v>
      </c>
      <c r="AM149" s="100">
        <f t="shared" si="309"/>
        <v>13747813.077329999</v>
      </c>
      <c r="AN149" s="100">
        <f t="shared" si="309"/>
        <v>13049129.769865882</v>
      </c>
      <c r="AO149" s="100">
        <f t="shared" si="309"/>
        <v>14597264.453412892</v>
      </c>
      <c r="AP149" s="100">
        <f t="shared" si="309"/>
        <v>13679134.539850809</v>
      </c>
      <c r="AQ149" s="100">
        <f t="shared" si="309"/>
        <v>12900512.416999999</v>
      </c>
      <c r="AR149" s="100">
        <f t="shared" si="309"/>
        <v>13875406.756858427</v>
      </c>
      <c r="AS149" s="100">
        <f t="shared" si="309"/>
        <v>13305024.655996645</v>
      </c>
      <c r="AT149" s="70"/>
      <c r="AU149" s="100">
        <f t="shared" ref="AU149:BC149" si="310">SUM(AU150:AU153)</f>
        <v>14790726.199999999</v>
      </c>
      <c r="AV149" s="100">
        <f t="shared" si="310"/>
        <v>13976451.812527383</v>
      </c>
      <c r="AW149" s="100">
        <f t="shared" si="310"/>
        <v>13747813.077329999</v>
      </c>
      <c r="AX149" s="100">
        <f t="shared" si="310"/>
        <v>13049129.769865882</v>
      </c>
      <c r="AY149" s="100">
        <f t="shared" si="310"/>
        <v>14597264.453412892</v>
      </c>
      <c r="AZ149" s="100">
        <f t="shared" si="310"/>
        <v>13679134.539850809</v>
      </c>
      <c r="BA149" s="100">
        <f t="shared" si="310"/>
        <v>12900512.416999999</v>
      </c>
      <c r="BB149" s="100">
        <f t="shared" si="310"/>
        <v>13875406.756858427</v>
      </c>
      <c r="BC149" s="100">
        <f t="shared" si="310"/>
        <v>13305024.655996645</v>
      </c>
      <c r="BD149" s="173">
        <f>BC149/AY149-1</f>
        <v>-8.852616197647345E-2</v>
      </c>
      <c r="BE149" s="70"/>
      <c r="BF149" s="100">
        <f t="shared" ref="BF149:BN149" si="311">SUM(BF150:BF153)</f>
        <v>14790726.199999999</v>
      </c>
      <c r="BG149" s="100">
        <f t="shared" si="311"/>
        <v>13976451.812527383</v>
      </c>
      <c r="BH149" s="100">
        <f t="shared" si="311"/>
        <v>13747813.077329999</v>
      </c>
      <c r="BI149" s="100">
        <f t="shared" si="311"/>
        <v>13049129.769865882</v>
      </c>
      <c r="BJ149" s="100">
        <f t="shared" si="311"/>
        <v>14597264.453412892</v>
      </c>
      <c r="BK149" s="100">
        <f t="shared" si="311"/>
        <v>13679134.539850809</v>
      </c>
      <c r="BL149" s="100">
        <f t="shared" si="311"/>
        <v>12900512.416999999</v>
      </c>
      <c r="BM149" s="100">
        <f t="shared" si="311"/>
        <v>13875406.756858427</v>
      </c>
      <c r="BN149" s="100">
        <f t="shared" si="311"/>
        <v>13305024.655996645</v>
      </c>
      <c r="BO149" s="70"/>
    </row>
    <row r="150" spans="2:67" x14ac:dyDescent="0.3">
      <c r="C150" s="77" t="s">
        <v>142</v>
      </c>
      <c r="D150" s="77"/>
      <c r="E150" s="97">
        <v>6761753</v>
      </c>
      <c r="F150" s="97">
        <v>5974277.0455299998</v>
      </c>
      <c r="G150" s="97">
        <v>6266540.9663300002</v>
      </c>
      <c r="H150" s="97">
        <v>5526512</v>
      </c>
      <c r="I150" s="97">
        <v>6074997</v>
      </c>
      <c r="J150" s="97">
        <v>5351731</v>
      </c>
      <c r="K150" s="97">
        <f>4348126238/1000</f>
        <v>4348126.2379999999</v>
      </c>
      <c r="L150" s="97">
        <v>5334097.3109999998</v>
      </c>
      <c r="M150" s="97">
        <f>4605910908/1000</f>
        <v>4605910.9079999998</v>
      </c>
      <c r="N150" s="190">
        <f>M150/I150-1</f>
        <v>-0.2418249905308596</v>
      </c>
      <c r="P150" s="158">
        <f>$E150</f>
        <v>6761753</v>
      </c>
      <c r="Q150" s="158">
        <f>$F150</f>
        <v>5974277.0455299998</v>
      </c>
      <c r="R150" s="158">
        <f>$G150</f>
        <v>6266540.9663300002</v>
      </c>
      <c r="S150" s="158">
        <f>$H150</f>
        <v>5526512</v>
      </c>
      <c r="T150" s="158">
        <f>$I150</f>
        <v>6074997</v>
      </c>
      <c r="U150" s="158">
        <f>$J150</f>
        <v>5351731</v>
      </c>
      <c r="V150" s="158">
        <f t="shared" ref="V150:X153" si="312">$K150</f>
        <v>4348126.2379999999</v>
      </c>
      <c r="W150" s="158">
        <f>$L150</f>
        <v>5334097.3109999998</v>
      </c>
      <c r="X150" s="158">
        <f>$M150</f>
        <v>4605910.9079999998</v>
      </c>
      <c r="Y150" s="190">
        <f>X150/T150-1</f>
        <v>-0.2418249905308596</v>
      </c>
      <c r="Z150" s="64"/>
      <c r="AA150" s="158">
        <f>$E150</f>
        <v>6761753</v>
      </c>
      <c r="AB150" s="158">
        <f>$F150</f>
        <v>5974277.0455299998</v>
      </c>
      <c r="AC150" s="158">
        <f>$G150</f>
        <v>6266540.9663300002</v>
      </c>
      <c r="AD150" s="158">
        <f>$H150</f>
        <v>5526512</v>
      </c>
      <c r="AE150" s="158">
        <f>$I150</f>
        <v>6074997</v>
      </c>
      <c r="AF150" s="158">
        <f>$J150</f>
        <v>5351731</v>
      </c>
      <c r="AG150" s="158">
        <f t="shared" ref="AG150:AI153" si="313">$K150</f>
        <v>4348126.2379999999</v>
      </c>
      <c r="AH150" s="158">
        <f>$L150</f>
        <v>5334097.3109999998</v>
      </c>
      <c r="AI150" s="158">
        <f>$M150</f>
        <v>4605910.9079999998</v>
      </c>
      <c r="AJ150" s="64"/>
      <c r="AK150" s="158">
        <f>$E150</f>
        <v>6761753</v>
      </c>
      <c r="AL150" s="158">
        <f>$F150</f>
        <v>5974277.0455299998</v>
      </c>
      <c r="AM150" s="158">
        <f>$G150</f>
        <v>6266540.9663300002</v>
      </c>
      <c r="AN150" s="158">
        <f>$H150</f>
        <v>5526512</v>
      </c>
      <c r="AO150" s="158">
        <f>$I150</f>
        <v>6074997</v>
      </c>
      <c r="AP150" s="158">
        <f>$J150</f>
        <v>5351731</v>
      </c>
      <c r="AQ150" s="158">
        <f t="shared" ref="AQ150:AS153" si="314">$K150</f>
        <v>4348126.2379999999</v>
      </c>
      <c r="AR150" s="158">
        <f>$L150</f>
        <v>5334097.3109999998</v>
      </c>
      <c r="AS150" s="158">
        <f>$M150</f>
        <v>4605910.9079999998</v>
      </c>
      <c r="AT150" s="64"/>
      <c r="AU150" s="158">
        <f>$E150</f>
        <v>6761753</v>
      </c>
      <c r="AV150" s="158">
        <f>$F150</f>
        <v>5974277.0455299998</v>
      </c>
      <c r="AW150" s="158">
        <f>$G150</f>
        <v>6266540.9663300002</v>
      </c>
      <c r="AX150" s="158">
        <f>$H150</f>
        <v>5526512</v>
      </c>
      <c r="AY150" s="158">
        <f>$I150</f>
        <v>6074997</v>
      </c>
      <c r="AZ150" s="158">
        <f>$J150</f>
        <v>5351731</v>
      </c>
      <c r="BA150" s="158">
        <f t="shared" ref="BA150:BC153" si="315">$K150</f>
        <v>4348126.2379999999</v>
      </c>
      <c r="BB150" s="158">
        <f>$L150</f>
        <v>5334097.3109999998</v>
      </c>
      <c r="BC150" s="158">
        <f>$M150</f>
        <v>4605910.9079999998</v>
      </c>
      <c r="BD150" s="190">
        <f>BC150/AY150-1</f>
        <v>-0.2418249905308596</v>
      </c>
      <c r="BE150" s="64"/>
      <c r="BF150" s="158">
        <f>$E150</f>
        <v>6761753</v>
      </c>
      <c r="BG150" s="158">
        <f>$F150</f>
        <v>5974277.0455299998</v>
      </c>
      <c r="BH150" s="158">
        <f>$G150</f>
        <v>6266540.9663300002</v>
      </c>
      <c r="BI150" s="158">
        <f>$H150</f>
        <v>5526512</v>
      </c>
      <c r="BJ150" s="158">
        <f>$I150</f>
        <v>6074997</v>
      </c>
      <c r="BK150" s="158">
        <f>$J150</f>
        <v>5351731</v>
      </c>
      <c r="BL150" s="158">
        <f t="shared" ref="BL150:BN153" si="316">$K150</f>
        <v>4348126.2379999999</v>
      </c>
      <c r="BM150" s="158">
        <f>$L150</f>
        <v>5334097.3109999998</v>
      </c>
      <c r="BN150" s="158">
        <f>$M150</f>
        <v>4605910.9079999998</v>
      </c>
      <c r="BO150" s="64"/>
    </row>
    <row r="151" spans="2:67" x14ac:dyDescent="0.3">
      <c r="C151" s="77" t="s">
        <v>107</v>
      </c>
      <c r="D151" s="77"/>
      <c r="E151" s="97">
        <v>4238136</v>
      </c>
      <c r="F151" s="97">
        <v>3778454</v>
      </c>
      <c r="G151" s="97">
        <v>3237260</v>
      </c>
      <c r="H151" s="97">
        <v>2678254</v>
      </c>
      <c r="I151" s="97">
        <v>2227048</v>
      </c>
      <c r="J151" s="97">
        <v>1846937</v>
      </c>
      <c r="K151" s="97">
        <f>1513831085/1000</f>
        <v>1513831.085</v>
      </c>
      <c r="L151" s="97">
        <v>1205066.9909999999</v>
      </c>
      <c r="M151" s="97">
        <f>946973820.76/1000</f>
        <v>946973.82076000003</v>
      </c>
      <c r="N151" s="190">
        <f>M151/I151-1</f>
        <v>-0.57478517716726363</v>
      </c>
      <c r="P151" s="158">
        <f>$E151</f>
        <v>4238136</v>
      </c>
      <c r="Q151" s="158">
        <f>$F151</f>
        <v>3778454</v>
      </c>
      <c r="R151" s="158">
        <f>$G151</f>
        <v>3237260</v>
      </c>
      <c r="S151" s="158">
        <f>$H151</f>
        <v>2678254</v>
      </c>
      <c r="T151" s="158">
        <f>$I151</f>
        <v>2227048</v>
      </c>
      <c r="U151" s="158">
        <f>$J151</f>
        <v>1846937</v>
      </c>
      <c r="V151" s="158">
        <f t="shared" si="312"/>
        <v>1513831.085</v>
      </c>
      <c r="W151" s="158">
        <f>$L151</f>
        <v>1205066.9909999999</v>
      </c>
      <c r="X151" s="158">
        <f>$M151</f>
        <v>946973.82076000003</v>
      </c>
      <c r="Y151" s="190">
        <f>X151/T151-1</f>
        <v>-0.57478517716726363</v>
      </c>
      <c r="Z151" s="64"/>
      <c r="AA151" s="158">
        <f>$E151</f>
        <v>4238136</v>
      </c>
      <c r="AB151" s="158">
        <f>$F151</f>
        <v>3778454</v>
      </c>
      <c r="AC151" s="158">
        <f>$G151</f>
        <v>3237260</v>
      </c>
      <c r="AD151" s="158">
        <f>$H151</f>
        <v>2678254</v>
      </c>
      <c r="AE151" s="158">
        <f>$I151</f>
        <v>2227048</v>
      </c>
      <c r="AF151" s="158">
        <f>$J151</f>
        <v>1846937</v>
      </c>
      <c r="AG151" s="158">
        <f t="shared" si="313"/>
        <v>1513831.085</v>
      </c>
      <c r="AH151" s="158">
        <f>$L151</f>
        <v>1205066.9909999999</v>
      </c>
      <c r="AI151" s="158">
        <f>$M151</f>
        <v>946973.82076000003</v>
      </c>
      <c r="AJ151" s="64"/>
      <c r="AK151" s="158">
        <f>$E151</f>
        <v>4238136</v>
      </c>
      <c r="AL151" s="158">
        <f>$F151</f>
        <v>3778454</v>
      </c>
      <c r="AM151" s="158">
        <f>$G151</f>
        <v>3237260</v>
      </c>
      <c r="AN151" s="158">
        <f>$H151</f>
        <v>2678254</v>
      </c>
      <c r="AO151" s="158">
        <f>$I151</f>
        <v>2227048</v>
      </c>
      <c r="AP151" s="158">
        <f>$J151</f>
        <v>1846937</v>
      </c>
      <c r="AQ151" s="158">
        <f t="shared" si="314"/>
        <v>1513831.085</v>
      </c>
      <c r="AR151" s="158">
        <f>$L151</f>
        <v>1205066.9909999999</v>
      </c>
      <c r="AS151" s="158">
        <f>$M151</f>
        <v>946973.82076000003</v>
      </c>
      <c r="AT151" s="64"/>
      <c r="AU151" s="158">
        <f>$E151</f>
        <v>4238136</v>
      </c>
      <c r="AV151" s="158">
        <f>$F151</f>
        <v>3778454</v>
      </c>
      <c r="AW151" s="158">
        <f>$G151</f>
        <v>3237260</v>
      </c>
      <c r="AX151" s="158">
        <f>$H151</f>
        <v>2678254</v>
      </c>
      <c r="AY151" s="158">
        <f>$I151</f>
        <v>2227048</v>
      </c>
      <c r="AZ151" s="158">
        <f>$J151</f>
        <v>1846937</v>
      </c>
      <c r="BA151" s="158">
        <f t="shared" si="315"/>
        <v>1513831.085</v>
      </c>
      <c r="BB151" s="158">
        <f>$L151</f>
        <v>1205066.9909999999</v>
      </c>
      <c r="BC151" s="158">
        <f>$M151</f>
        <v>946973.82076000003</v>
      </c>
      <c r="BD151" s="190">
        <f>BC151/AY151-1</f>
        <v>-0.57478517716726363</v>
      </c>
      <c r="BE151" s="64"/>
      <c r="BF151" s="158">
        <f>$E151</f>
        <v>4238136</v>
      </c>
      <c r="BG151" s="158">
        <f>$F151</f>
        <v>3778454</v>
      </c>
      <c r="BH151" s="158">
        <f>$G151</f>
        <v>3237260</v>
      </c>
      <c r="BI151" s="158">
        <f>$H151</f>
        <v>2678254</v>
      </c>
      <c r="BJ151" s="158">
        <f>$I151</f>
        <v>2227048</v>
      </c>
      <c r="BK151" s="158">
        <f>$J151</f>
        <v>1846937</v>
      </c>
      <c r="BL151" s="158">
        <f t="shared" si="316"/>
        <v>1513831.085</v>
      </c>
      <c r="BM151" s="158">
        <f>$L151</f>
        <v>1205066.9909999999</v>
      </c>
      <c r="BN151" s="158">
        <f>$M151</f>
        <v>946973.82076000003</v>
      </c>
      <c r="BO151" s="64"/>
    </row>
    <row r="152" spans="2:67" ht="22" x14ac:dyDescent="0.85">
      <c r="C152" s="77" t="s">
        <v>247</v>
      </c>
      <c r="D152" s="77"/>
      <c r="E152" s="97">
        <v>3433078</v>
      </c>
      <c r="F152" s="97">
        <v>3552657.5559973842</v>
      </c>
      <c r="G152" s="97">
        <v>3367094.16</v>
      </c>
      <c r="H152" s="97">
        <v>3894294.8849999998</v>
      </c>
      <c r="I152" s="97">
        <v>5539650</v>
      </c>
      <c r="J152" s="97">
        <v>5664099</v>
      </c>
      <c r="K152" s="97">
        <v>6256037.2479999997</v>
      </c>
      <c r="L152" s="97">
        <v>6617733.8530000001</v>
      </c>
      <c r="M152" s="97">
        <f>6957201221/1000</f>
        <v>6957201.2209999999</v>
      </c>
      <c r="N152" s="190">
        <f>M152/I152-1</f>
        <v>0.25589183811251615</v>
      </c>
      <c r="O152" s="250"/>
      <c r="P152" s="158">
        <f>$E152</f>
        <v>3433078</v>
      </c>
      <c r="Q152" s="158">
        <f>$F152</f>
        <v>3552657.5559973842</v>
      </c>
      <c r="R152" s="158">
        <f>$G152</f>
        <v>3367094.16</v>
      </c>
      <c r="S152" s="158">
        <f>$H152</f>
        <v>3894294.8849999998</v>
      </c>
      <c r="T152" s="158">
        <f>$I152</f>
        <v>5539650</v>
      </c>
      <c r="U152" s="158">
        <f>$J152</f>
        <v>5664099</v>
      </c>
      <c r="V152" s="158">
        <f t="shared" si="312"/>
        <v>6256037.2479999997</v>
      </c>
      <c r="W152" s="158">
        <f>$L152</f>
        <v>6617733.8530000001</v>
      </c>
      <c r="X152" s="158">
        <f>$M152</f>
        <v>6957201.2209999999</v>
      </c>
      <c r="Y152" s="190">
        <f>X152/T152-1</f>
        <v>0.25589183811251615</v>
      </c>
      <c r="Z152" s="64"/>
      <c r="AA152" s="158">
        <f>$E152</f>
        <v>3433078</v>
      </c>
      <c r="AB152" s="158">
        <f>$F152</f>
        <v>3552657.5559973842</v>
      </c>
      <c r="AC152" s="158">
        <f>$G152</f>
        <v>3367094.16</v>
      </c>
      <c r="AD152" s="158">
        <f>$H152</f>
        <v>3894294.8849999998</v>
      </c>
      <c r="AE152" s="158">
        <f>$I152</f>
        <v>5539650</v>
      </c>
      <c r="AF152" s="158">
        <f>$J152</f>
        <v>5664099</v>
      </c>
      <c r="AG152" s="158">
        <f t="shared" si="313"/>
        <v>6256037.2479999997</v>
      </c>
      <c r="AH152" s="158">
        <f>$L152</f>
        <v>6617733.8530000001</v>
      </c>
      <c r="AI152" s="158">
        <f>$M152</f>
        <v>6957201.2209999999</v>
      </c>
      <c r="AJ152" s="64"/>
      <c r="AK152" s="158">
        <f>$E152</f>
        <v>3433078</v>
      </c>
      <c r="AL152" s="158">
        <f>$F152</f>
        <v>3552657.5559973842</v>
      </c>
      <c r="AM152" s="158">
        <f>$G152</f>
        <v>3367094.16</v>
      </c>
      <c r="AN152" s="158">
        <f>$H152</f>
        <v>3894294.8849999998</v>
      </c>
      <c r="AO152" s="158">
        <f>$I152</f>
        <v>5539650</v>
      </c>
      <c r="AP152" s="158">
        <f>$J152</f>
        <v>5664099</v>
      </c>
      <c r="AQ152" s="158">
        <f t="shared" si="314"/>
        <v>6256037.2479999997</v>
      </c>
      <c r="AR152" s="158">
        <f>$L152</f>
        <v>6617733.8530000001</v>
      </c>
      <c r="AS152" s="158">
        <f>$M152</f>
        <v>6957201.2209999999</v>
      </c>
      <c r="AT152" s="64"/>
      <c r="AU152" s="158">
        <f>$E152</f>
        <v>3433078</v>
      </c>
      <c r="AV152" s="158">
        <f>$F152</f>
        <v>3552657.5559973842</v>
      </c>
      <c r="AW152" s="158">
        <f>$G152</f>
        <v>3367094.16</v>
      </c>
      <c r="AX152" s="158">
        <f>$H152</f>
        <v>3894294.8849999998</v>
      </c>
      <c r="AY152" s="158">
        <f>$I152</f>
        <v>5539650</v>
      </c>
      <c r="AZ152" s="158">
        <f>$J152</f>
        <v>5664099</v>
      </c>
      <c r="BA152" s="158">
        <f t="shared" si="315"/>
        <v>6256037.2479999997</v>
      </c>
      <c r="BB152" s="158">
        <f>$L152</f>
        <v>6617733.8530000001</v>
      </c>
      <c r="BC152" s="158">
        <f>$M152</f>
        <v>6957201.2209999999</v>
      </c>
      <c r="BD152" s="190">
        <f>BC152/AY152-1</f>
        <v>0.25589183811251615</v>
      </c>
      <c r="BE152" s="64"/>
      <c r="BF152" s="158">
        <f>$E152</f>
        <v>3433078</v>
      </c>
      <c r="BG152" s="158">
        <f>$F152</f>
        <v>3552657.5559973842</v>
      </c>
      <c r="BH152" s="158">
        <f>$G152</f>
        <v>3367094.16</v>
      </c>
      <c r="BI152" s="158">
        <f>$H152</f>
        <v>3894294.8849999998</v>
      </c>
      <c r="BJ152" s="158">
        <f>$I152</f>
        <v>5539650</v>
      </c>
      <c r="BK152" s="158">
        <f>$J152</f>
        <v>5664099</v>
      </c>
      <c r="BL152" s="158">
        <f t="shared" si="316"/>
        <v>6256037.2479999997</v>
      </c>
      <c r="BM152" s="158">
        <f>$L152</f>
        <v>6617733.8530000001</v>
      </c>
      <c r="BN152" s="158">
        <f>$M152</f>
        <v>6957201.2209999999</v>
      </c>
      <c r="BO152" s="64"/>
    </row>
    <row r="153" spans="2:67" ht="22" x14ac:dyDescent="0.85">
      <c r="C153" s="77" t="s">
        <v>109</v>
      </c>
      <c r="D153" s="77"/>
      <c r="E153" s="292">
        <v>357759.2</v>
      </c>
      <c r="F153" s="292">
        <f>671063211/1000</f>
        <v>671063.21100000001</v>
      </c>
      <c r="G153" s="292">
        <v>876917.951</v>
      </c>
      <c r="H153" s="292">
        <v>950068.88486588094</v>
      </c>
      <c r="I153" s="292">
        <v>755569.45341289195</v>
      </c>
      <c r="J153" s="292">
        <f>816367539.850809/1000</f>
        <v>816367.53985080903</v>
      </c>
      <c r="K153" s="292">
        <v>782517.84600000002</v>
      </c>
      <c r="L153" s="292">
        <v>718508.60185842798</v>
      </c>
      <c r="M153" s="292">
        <f>794938706.236644/1000</f>
        <v>794938.70623664407</v>
      </c>
      <c r="N153" s="293">
        <f>M153/I153-1</f>
        <v>5.2105405592989484E-2</v>
      </c>
      <c r="O153" s="294"/>
      <c r="P153" s="295">
        <f>$E153</f>
        <v>357759.2</v>
      </c>
      <c r="Q153" s="295">
        <f>$F153</f>
        <v>671063.21100000001</v>
      </c>
      <c r="R153" s="295">
        <f>$G153</f>
        <v>876917.951</v>
      </c>
      <c r="S153" s="295">
        <f>$H153</f>
        <v>950068.88486588094</v>
      </c>
      <c r="T153" s="295">
        <f>$I153</f>
        <v>755569.45341289195</v>
      </c>
      <c r="U153" s="295">
        <f>$J153</f>
        <v>816367.53985080903</v>
      </c>
      <c r="V153" s="295">
        <f t="shared" si="312"/>
        <v>782517.84600000002</v>
      </c>
      <c r="W153" s="295">
        <f>$L153</f>
        <v>718508.60185842798</v>
      </c>
      <c r="X153" s="295">
        <f>$M153</f>
        <v>794938.70623664407</v>
      </c>
      <c r="Y153" s="293">
        <f>X153/T153-1</f>
        <v>5.2105405592989484E-2</v>
      </c>
      <c r="Z153" s="64"/>
      <c r="AA153" s="295">
        <f>$E153</f>
        <v>357759.2</v>
      </c>
      <c r="AB153" s="295">
        <f>$F153</f>
        <v>671063.21100000001</v>
      </c>
      <c r="AC153" s="295">
        <f>$G153</f>
        <v>876917.951</v>
      </c>
      <c r="AD153" s="295">
        <f>$H153</f>
        <v>950068.88486588094</v>
      </c>
      <c r="AE153" s="295">
        <f>$I153</f>
        <v>755569.45341289195</v>
      </c>
      <c r="AF153" s="295">
        <f>$J153</f>
        <v>816367.53985080903</v>
      </c>
      <c r="AG153" s="295">
        <f t="shared" si="313"/>
        <v>782517.84600000002</v>
      </c>
      <c r="AH153" s="295">
        <f>$L153</f>
        <v>718508.60185842798</v>
      </c>
      <c r="AI153" s="295">
        <f>$M153</f>
        <v>794938.70623664407</v>
      </c>
      <c r="AJ153" s="64"/>
      <c r="AK153" s="295">
        <f>$E153</f>
        <v>357759.2</v>
      </c>
      <c r="AL153" s="295">
        <f>$F153</f>
        <v>671063.21100000001</v>
      </c>
      <c r="AM153" s="295">
        <f>$G153</f>
        <v>876917.951</v>
      </c>
      <c r="AN153" s="295">
        <f>$H153</f>
        <v>950068.88486588094</v>
      </c>
      <c r="AO153" s="295">
        <f>$I153</f>
        <v>755569.45341289195</v>
      </c>
      <c r="AP153" s="295">
        <f>$J153</f>
        <v>816367.53985080903</v>
      </c>
      <c r="AQ153" s="295">
        <f t="shared" si="314"/>
        <v>782517.84600000002</v>
      </c>
      <c r="AR153" s="295">
        <f>$L153</f>
        <v>718508.60185842798</v>
      </c>
      <c r="AS153" s="295">
        <f>$M153</f>
        <v>794938.70623664407</v>
      </c>
      <c r="AT153" s="64"/>
      <c r="AU153" s="295">
        <f>$E153</f>
        <v>357759.2</v>
      </c>
      <c r="AV153" s="295">
        <f>$F153</f>
        <v>671063.21100000001</v>
      </c>
      <c r="AW153" s="295">
        <f>$G153</f>
        <v>876917.951</v>
      </c>
      <c r="AX153" s="295">
        <f>$H153</f>
        <v>950068.88486588094</v>
      </c>
      <c r="AY153" s="295">
        <f>$I153</f>
        <v>755569.45341289195</v>
      </c>
      <c r="AZ153" s="295">
        <f>$J153</f>
        <v>816367.53985080903</v>
      </c>
      <c r="BA153" s="295">
        <f t="shared" si="315"/>
        <v>782517.84600000002</v>
      </c>
      <c r="BB153" s="295">
        <f>$L153</f>
        <v>718508.60185842798</v>
      </c>
      <c r="BC153" s="295">
        <f>$M153</f>
        <v>794938.70623664407</v>
      </c>
      <c r="BD153" s="293">
        <f>BC153/AY153-1</f>
        <v>5.2105405592989484E-2</v>
      </c>
      <c r="BE153" s="64"/>
      <c r="BF153" s="295">
        <f>$E153</f>
        <v>357759.2</v>
      </c>
      <c r="BG153" s="295">
        <f>$F153</f>
        <v>671063.21100000001</v>
      </c>
      <c r="BH153" s="295">
        <f>$G153</f>
        <v>876917.951</v>
      </c>
      <c r="BI153" s="295">
        <f>$H153</f>
        <v>950068.88486588094</v>
      </c>
      <c r="BJ153" s="295">
        <f>$I153</f>
        <v>755569.45341289195</v>
      </c>
      <c r="BK153" s="295">
        <f>$J153</f>
        <v>816367.53985080903</v>
      </c>
      <c r="BL153" s="295">
        <f t="shared" si="316"/>
        <v>782517.84600000002</v>
      </c>
      <c r="BM153" s="295">
        <f>$L153</f>
        <v>718508.60185842798</v>
      </c>
      <c r="BN153" s="295">
        <f>$M153</f>
        <v>794938.70623664407</v>
      </c>
      <c r="BO153" s="64"/>
    </row>
    <row r="154" spans="2:67" x14ac:dyDescent="0.3">
      <c r="C154" s="77"/>
      <c r="D154" s="77"/>
      <c r="E154" s="41"/>
      <c r="F154" s="41"/>
      <c r="G154" s="41"/>
      <c r="H154" s="41"/>
      <c r="I154" s="41"/>
      <c r="J154" s="41"/>
      <c r="K154" s="41"/>
      <c r="L154" s="41"/>
      <c r="M154" s="41"/>
      <c r="N154" s="169"/>
      <c r="O154" s="42"/>
      <c r="P154" s="41"/>
      <c r="Q154" s="41"/>
      <c r="R154" s="41"/>
      <c r="S154" s="41"/>
      <c r="T154" s="41"/>
      <c r="U154" s="41"/>
      <c r="V154" s="41"/>
      <c r="W154" s="41"/>
      <c r="X154" s="41"/>
      <c r="Y154" s="169"/>
      <c r="AA154" s="41"/>
      <c r="AB154" s="41"/>
      <c r="AC154" s="41"/>
      <c r="AD154" s="41"/>
      <c r="AE154" s="41"/>
      <c r="AF154" s="41"/>
      <c r="AG154" s="41"/>
      <c r="AH154" s="41"/>
      <c r="AI154" s="41"/>
      <c r="AK154" s="41"/>
      <c r="AL154" s="41"/>
      <c r="AM154" s="41"/>
      <c r="AN154" s="41"/>
      <c r="AO154" s="41"/>
      <c r="AP154" s="41"/>
      <c r="AQ154" s="41"/>
      <c r="AR154" s="41"/>
      <c r="AS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169"/>
      <c r="BF154" s="41"/>
      <c r="BG154" s="41"/>
      <c r="BH154" s="41"/>
      <c r="BI154" s="41"/>
      <c r="BJ154" s="41"/>
      <c r="BK154" s="41"/>
      <c r="BL154" s="41"/>
      <c r="BM154" s="41"/>
      <c r="BN154" s="41"/>
    </row>
    <row r="155" spans="2:67" ht="13.5" thickBot="1" x14ac:dyDescent="0.35">
      <c r="C155" s="78" t="s">
        <v>113</v>
      </c>
      <c r="D155" s="124"/>
      <c r="E155" s="102">
        <f t="shared" ref="E155:J155" si="317">E146+E149</f>
        <v>21788868.199999999</v>
      </c>
      <c r="F155" s="102">
        <f t="shared" si="317"/>
        <v>21672471.213527381</v>
      </c>
      <c r="G155" s="102">
        <f t="shared" si="317"/>
        <v>20745955.319329999</v>
      </c>
      <c r="H155" s="102">
        <f t="shared" si="317"/>
        <v>20579930.99460588</v>
      </c>
      <c r="I155" s="102">
        <f t="shared" si="317"/>
        <v>22319447.592492893</v>
      </c>
      <c r="J155" s="102">
        <f t="shared" si="317"/>
        <v>21845098.401850808</v>
      </c>
      <c r="K155" s="102">
        <f>K146+K149</f>
        <v>21077545.130180001</v>
      </c>
      <c r="L155" s="102">
        <f>L146+L149</f>
        <v>22563950.569668427</v>
      </c>
      <c r="M155" s="102">
        <f>M146+M149</f>
        <v>21566148.562736645</v>
      </c>
      <c r="N155" s="194">
        <f>M155/I155-1</f>
        <v>-3.3750791843505046E-2</v>
      </c>
      <c r="O155" s="71"/>
      <c r="P155" s="102">
        <f t="shared" ref="P155:U155" si="318">P146+P149</f>
        <v>21788868.199999999</v>
      </c>
      <c r="Q155" s="102">
        <f t="shared" si="318"/>
        <v>21672471.213527381</v>
      </c>
      <c r="R155" s="102">
        <f t="shared" si="318"/>
        <v>20745955.319329999</v>
      </c>
      <c r="S155" s="102">
        <f t="shared" si="318"/>
        <v>20579930.99460588</v>
      </c>
      <c r="T155" s="102">
        <f t="shared" si="318"/>
        <v>22319447.592492893</v>
      </c>
      <c r="U155" s="102">
        <f t="shared" si="318"/>
        <v>21845098.401850808</v>
      </c>
      <c r="V155" s="102">
        <f>V146+V149</f>
        <v>21077545.130180001</v>
      </c>
      <c r="W155" s="102">
        <f>W146+W149</f>
        <v>22563950.569668427</v>
      </c>
      <c r="X155" s="102">
        <f>X146+X149</f>
        <v>21566148.562736645</v>
      </c>
      <c r="Y155" s="194">
        <f>X155/T155-1</f>
        <v>-3.3750791843505046E-2</v>
      </c>
      <c r="Z155" s="71"/>
      <c r="AA155" s="102">
        <f t="shared" ref="AA155:AF155" si="319">AA146+AA149</f>
        <v>21788868.199999999</v>
      </c>
      <c r="AB155" s="102">
        <f t="shared" si="319"/>
        <v>21672471.213527381</v>
      </c>
      <c r="AC155" s="102">
        <f t="shared" si="319"/>
        <v>20745955.319329999</v>
      </c>
      <c r="AD155" s="102">
        <f t="shared" si="319"/>
        <v>20579930.99460588</v>
      </c>
      <c r="AE155" s="102">
        <f t="shared" si="319"/>
        <v>22319447.592492893</v>
      </c>
      <c r="AF155" s="102">
        <f t="shared" si="319"/>
        <v>21845098.401850808</v>
      </c>
      <c r="AG155" s="102">
        <f>AG146+AG149</f>
        <v>21077545.130180001</v>
      </c>
      <c r="AH155" s="102">
        <f>AH146+AH149</f>
        <v>22563950.569668427</v>
      </c>
      <c r="AI155" s="102">
        <f>AI146+AI149</f>
        <v>21566148.562736645</v>
      </c>
      <c r="AJ155" s="70"/>
      <c r="AK155" s="102">
        <f t="shared" ref="AK155:AP155" si="320">AK146+AK149</f>
        <v>21788868.199999999</v>
      </c>
      <c r="AL155" s="102">
        <f t="shared" si="320"/>
        <v>21672471.213527381</v>
      </c>
      <c r="AM155" s="102">
        <f t="shared" si="320"/>
        <v>20745955.319329999</v>
      </c>
      <c r="AN155" s="102">
        <f t="shared" si="320"/>
        <v>20579930.99460588</v>
      </c>
      <c r="AO155" s="102">
        <f t="shared" si="320"/>
        <v>22319447.592492893</v>
      </c>
      <c r="AP155" s="102">
        <f t="shared" si="320"/>
        <v>21845098.401850808</v>
      </c>
      <c r="AQ155" s="102">
        <f>AQ146+AQ149</f>
        <v>21077545.130180001</v>
      </c>
      <c r="AR155" s="102">
        <f>AR146+AR149</f>
        <v>22563950.569668427</v>
      </c>
      <c r="AS155" s="102">
        <f>AS146+AS149</f>
        <v>21566148.562736645</v>
      </c>
      <c r="AT155" s="70"/>
      <c r="AU155" s="102">
        <f t="shared" ref="AU155:AZ155" si="321">AU146+AU149</f>
        <v>21788868.199999999</v>
      </c>
      <c r="AV155" s="102">
        <f t="shared" si="321"/>
        <v>21672471.213527381</v>
      </c>
      <c r="AW155" s="102">
        <f t="shared" si="321"/>
        <v>20745955.319329999</v>
      </c>
      <c r="AX155" s="102">
        <f t="shared" si="321"/>
        <v>20579930.99460588</v>
      </c>
      <c r="AY155" s="102">
        <f t="shared" si="321"/>
        <v>22319447.592492893</v>
      </c>
      <c r="AZ155" s="102">
        <f t="shared" si="321"/>
        <v>21845098.401850808</v>
      </c>
      <c r="BA155" s="102">
        <f>BA146+BA149</f>
        <v>21077545.130180001</v>
      </c>
      <c r="BB155" s="102">
        <f>BB146+BB149</f>
        <v>22563950.569668427</v>
      </c>
      <c r="BC155" s="102">
        <f>BC146+BC149</f>
        <v>21566148.562736645</v>
      </c>
      <c r="BD155" s="194">
        <f>BC155/AY155-1</f>
        <v>-3.3750791843505046E-2</v>
      </c>
      <c r="BE155" s="70"/>
      <c r="BF155" s="102">
        <f t="shared" ref="BF155:BK155" si="322">BF146+BF149</f>
        <v>21788868.199999999</v>
      </c>
      <c r="BG155" s="102">
        <f t="shared" si="322"/>
        <v>21672471.213527381</v>
      </c>
      <c r="BH155" s="102">
        <f t="shared" si="322"/>
        <v>20745955.319329999</v>
      </c>
      <c r="BI155" s="102">
        <f t="shared" si="322"/>
        <v>20579930.99460588</v>
      </c>
      <c r="BJ155" s="102">
        <f t="shared" si="322"/>
        <v>22319447.592492893</v>
      </c>
      <c r="BK155" s="102">
        <f t="shared" si="322"/>
        <v>21845098.401850808</v>
      </c>
      <c r="BL155" s="102">
        <f>BL146+BL149</f>
        <v>21077545.130180001</v>
      </c>
      <c r="BM155" s="102">
        <f>BM146+BM149</f>
        <v>22563950.569668427</v>
      </c>
      <c r="BN155" s="102">
        <f>BN146+BN149</f>
        <v>21566148.562736645</v>
      </c>
      <c r="BO155" s="70"/>
    </row>
    <row r="156" spans="2:67" x14ac:dyDescent="0.3">
      <c r="C156" s="65"/>
      <c r="D156" s="77"/>
      <c r="E156" s="62"/>
      <c r="F156" s="62"/>
      <c r="G156" s="62"/>
      <c r="H156" s="62"/>
      <c r="I156" s="62"/>
      <c r="J156" s="62"/>
      <c r="K156" s="62"/>
      <c r="L156" s="62"/>
      <c r="M156" s="62"/>
      <c r="N156" s="131"/>
      <c r="P156" s="62"/>
      <c r="Q156" s="62"/>
      <c r="R156" s="62"/>
      <c r="S156" s="62"/>
      <c r="T156" s="62"/>
      <c r="U156" s="62"/>
      <c r="V156" s="62"/>
      <c r="W156" s="62"/>
      <c r="X156" s="62"/>
      <c r="Y156" s="131"/>
      <c r="AA156" s="62"/>
      <c r="AB156" s="62"/>
      <c r="AC156" s="62"/>
      <c r="AD156" s="62"/>
      <c r="AE156" s="62"/>
      <c r="AF156" s="62"/>
      <c r="AG156" s="62"/>
      <c r="AH156" s="62"/>
      <c r="AI156" s="62"/>
      <c r="AK156" s="62"/>
      <c r="AL156" s="62"/>
      <c r="AM156" s="62"/>
      <c r="AN156" s="62"/>
      <c r="AO156" s="62"/>
      <c r="AP156" s="62"/>
      <c r="AQ156" s="62"/>
      <c r="AR156" s="62"/>
      <c r="AS156" s="62"/>
      <c r="AU156" s="62"/>
      <c r="AV156" s="62"/>
      <c r="AW156" s="62"/>
      <c r="AX156" s="62"/>
      <c r="AY156" s="62"/>
      <c r="AZ156" s="62"/>
      <c r="BA156" s="62"/>
      <c r="BB156" s="62"/>
      <c r="BC156" s="62"/>
      <c r="BD156" s="131"/>
      <c r="BF156" s="62"/>
      <c r="BG156" s="62"/>
      <c r="BH156" s="62"/>
      <c r="BI156" s="62"/>
      <c r="BJ156" s="62"/>
      <c r="BK156" s="62"/>
      <c r="BL156" s="62"/>
      <c r="BM156" s="62"/>
      <c r="BN156" s="62"/>
    </row>
    <row r="157" spans="2:67" s="82" customFormat="1" x14ac:dyDescent="0.3">
      <c r="B157" s="81"/>
      <c r="C157" s="30" t="s">
        <v>95</v>
      </c>
      <c r="D157" s="30"/>
      <c r="E157" s="206"/>
      <c r="F157" s="206"/>
      <c r="G157" s="206"/>
      <c r="H157" s="206"/>
      <c r="I157" s="206"/>
      <c r="J157" s="206"/>
      <c r="K157" s="206"/>
      <c r="L157" s="206"/>
      <c r="M157" s="206"/>
      <c r="N157" s="185"/>
      <c r="P157" s="30"/>
      <c r="Q157" s="30"/>
      <c r="R157" s="30"/>
      <c r="S157" s="30"/>
      <c r="T157" s="30"/>
      <c r="U157" s="30"/>
      <c r="V157" s="30"/>
      <c r="W157" s="30"/>
      <c r="X157" s="30"/>
      <c r="Y157" s="185"/>
      <c r="Z157" s="110"/>
      <c r="AA157" s="30"/>
      <c r="AB157" s="30"/>
      <c r="AC157" s="30"/>
      <c r="AD157" s="30"/>
      <c r="AE157" s="30"/>
      <c r="AF157" s="30"/>
      <c r="AG157" s="30"/>
      <c r="AH157" s="30"/>
      <c r="AI157" s="30"/>
      <c r="AJ157" s="110"/>
      <c r="AK157" s="30"/>
      <c r="AL157" s="30"/>
      <c r="AM157" s="30"/>
      <c r="AN157" s="30"/>
      <c r="AO157" s="30"/>
      <c r="AP157" s="30"/>
      <c r="AQ157" s="30"/>
      <c r="AR157" s="30"/>
      <c r="AS157" s="30"/>
      <c r="AT157" s="110"/>
      <c r="AU157" s="30"/>
      <c r="AV157" s="30"/>
      <c r="AW157" s="30"/>
      <c r="AX157" s="30"/>
      <c r="AY157" s="30"/>
      <c r="AZ157" s="30"/>
      <c r="BA157" s="30"/>
      <c r="BB157" s="30"/>
      <c r="BC157" s="30"/>
      <c r="BD157" s="185"/>
      <c r="BE157" s="110"/>
      <c r="BF157" s="30"/>
      <c r="BG157" s="30"/>
      <c r="BH157" s="30"/>
      <c r="BI157" s="30"/>
      <c r="BJ157" s="30"/>
      <c r="BK157" s="30"/>
      <c r="BL157" s="30"/>
      <c r="BM157" s="30"/>
      <c r="BN157" s="30"/>
      <c r="BO157" s="110"/>
    </row>
    <row r="158" spans="2:67" s="85" customFormat="1" x14ac:dyDescent="0.3">
      <c r="B158" s="84"/>
      <c r="C158" s="63" t="s">
        <v>135</v>
      </c>
      <c r="D158" s="63"/>
      <c r="E158" s="63" t="str">
        <f t="shared" ref="E158:M158" si="323">E3</f>
        <v>Q4-2023</v>
      </c>
      <c r="F158" s="63" t="str">
        <f t="shared" si="323"/>
        <v>Q1-2024</v>
      </c>
      <c r="G158" s="63" t="str">
        <f t="shared" si="323"/>
        <v>Q2-2024</v>
      </c>
      <c r="H158" s="63" t="str">
        <f t="shared" si="323"/>
        <v>Q3-2024</v>
      </c>
      <c r="I158" s="63" t="str">
        <f t="shared" si="323"/>
        <v>Q4-2024</v>
      </c>
      <c r="J158" s="63" t="str">
        <f t="shared" si="323"/>
        <v>Q1-2025</v>
      </c>
      <c r="K158" s="63" t="str">
        <f t="shared" si="323"/>
        <v>Q2-2025</v>
      </c>
      <c r="L158" s="63" t="str">
        <f t="shared" si="323"/>
        <v>Q3-2025</v>
      </c>
      <c r="M158" s="63" t="str">
        <f t="shared" si="323"/>
        <v>Q4-2025</v>
      </c>
      <c r="N158" s="186"/>
      <c r="P158" s="63"/>
      <c r="Q158" s="63"/>
      <c r="R158" s="63"/>
      <c r="S158" s="63"/>
      <c r="T158" s="63"/>
      <c r="U158" s="63"/>
      <c r="V158" s="63"/>
      <c r="W158" s="63"/>
      <c r="X158" s="63"/>
      <c r="Y158" s="186"/>
      <c r="Z158" s="110"/>
      <c r="AA158" s="63"/>
      <c r="AB158" s="63"/>
      <c r="AC158" s="63"/>
      <c r="AD158" s="63"/>
      <c r="AE158" s="63"/>
      <c r="AF158" s="63"/>
      <c r="AG158" s="63"/>
      <c r="AH158" s="63"/>
      <c r="AI158" s="63"/>
      <c r="AJ158" s="110"/>
      <c r="AK158" s="63"/>
      <c r="AL158" s="63"/>
      <c r="AM158" s="63"/>
      <c r="AN158" s="63"/>
      <c r="AO158" s="63"/>
      <c r="AP158" s="63"/>
      <c r="AQ158" s="63"/>
      <c r="AR158" s="63"/>
      <c r="AS158" s="63"/>
      <c r="AT158" s="110"/>
      <c r="AU158" s="63"/>
      <c r="AV158" s="63"/>
      <c r="AW158" s="63"/>
      <c r="AX158" s="63"/>
      <c r="AY158" s="63"/>
      <c r="AZ158" s="63"/>
      <c r="BA158" s="63"/>
      <c r="BB158" s="63"/>
      <c r="BC158" s="63"/>
      <c r="BD158" s="186"/>
      <c r="BE158" s="110"/>
      <c r="BF158" s="63"/>
      <c r="BG158" s="63"/>
      <c r="BH158" s="63"/>
      <c r="BI158" s="63"/>
      <c r="BJ158" s="63"/>
      <c r="BK158" s="63"/>
      <c r="BL158" s="63"/>
      <c r="BM158" s="63"/>
      <c r="BN158" s="63"/>
      <c r="BO158" s="110"/>
    </row>
    <row r="159" spans="2:67" x14ac:dyDescent="0.3">
      <c r="C159" s="105" t="s">
        <v>24</v>
      </c>
      <c r="D159" s="128"/>
      <c r="E159" s="106">
        <f t="shared" ref="E159:J159" si="324">SUM(E160:E161)</f>
        <v>323070.59068968333</v>
      </c>
      <c r="F159" s="106">
        <f t="shared" si="324"/>
        <v>695604.62587029126</v>
      </c>
      <c r="G159" s="106">
        <f t="shared" si="324"/>
        <v>520402.07534918841</v>
      </c>
      <c r="H159" s="106">
        <f t="shared" si="324"/>
        <v>540572.1399999999</v>
      </c>
      <c r="I159" s="106">
        <f t="shared" si="324"/>
        <v>526150.81493399211</v>
      </c>
      <c r="J159" s="106">
        <f t="shared" si="324"/>
        <v>1070499.1347634369</v>
      </c>
      <c r="K159" s="106">
        <f>SUM(K160:K161)</f>
        <v>811982.96612051653</v>
      </c>
      <c r="L159" s="106">
        <f>SUM(L160:L161)</f>
        <v>795008.28118981072</v>
      </c>
      <c r="M159" s="106">
        <f>SUM(M160:M161)</f>
        <v>656579.36844962754</v>
      </c>
      <c r="N159" s="195">
        <f>M159/I159-1</f>
        <v>0.24789195381555817</v>
      </c>
      <c r="P159" s="106">
        <f t="shared" ref="P159:U159" si="325">SUM(P160:P161)</f>
        <v>323070.59068968333</v>
      </c>
      <c r="Q159" s="106">
        <f t="shared" si="325"/>
        <v>695604.62587029126</v>
      </c>
      <c r="R159" s="106">
        <f t="shared" si="325"/>
        <v>520402.07534918841</v>
      </c>
      <c r="S159" s="106">
        <f t="shared" si="325"/>
        <v>540572.1399999999</v>
      </c>
      <c r="T159" s="106">
        <f t="shared" si="325"/>
        <v>526150.81493399211</v>
      </c>
      <c r="U159" s="106">
        <f t="shared" si="325"/>
        <v>1070499.1347634369</v>
      </c>
      <c r="V159" s="106">
        <f>SUM(V160:V161)</f>
        <v>811982.96612051653</v>
      </c>
      <c r="W159" s="106">
        <f>SUM(W160:W161)</f>
        <v>795008.28118981072</v>
      </c>
      <c r="X159" s="106">
        <f>SUM(X160:X161)</f>
        <v>656579.36844962754</v>
      </c>
      <c r="Y159" s="195">
        <f>X159/T159-1</f>
        <v>0.24789195381555817</v>
      </c>
      <c r="Z159" s="64"/>
      <c r="AA159" s="106">
        <f t="shared" ref="AA159:AF159" si="326">SUM(AA160:AA161)</f>
        <v>323070.59068968333</v>
      </c>
      <c r="AB159" s="106">
        <f t="shared" si="326"/>
        <v>695604.62587029126</v>
      </c>
      <c r="AC159" s="106">
        <f t="shared" si="326"/>
        <v>520402.07534918841</v>
      </c>
      <c r="AD159" s="106">
        <f t="shared" si="326"/>
        <v>540572.1399999999</v>
      </c>
      <c r="AE159" s="106">
        <f t="shared" si="326"/>
        <v>526150.81493399211</v>
      </c>
      <c r="AF159" s="106">
        <f t="shared" si="326"/>
        <v>1070499.1347634369</v>
      </c>
      <c r="AG159" s="106">
        <f>SUM(AG160:AG161)</f>
        <v>811982.96612051653</v>
      </c>
      <c r="AH159" s="106">
        <f>SUM(AH160:AH161)</f>
        <v>795008.28118981072</v>
      </c>
      <c r="AI159" s="106">
        <f>SUM(AI160:AI161)</f>
        <v>656579.36844962754</v>
      </c>
      <c r="AJ159" s="64"/>
      <c r="AK159" s="106">
        <f t="shared" ref="AK159:AP159" si="327">SUM(AK160:AK161)</f>
        <v>323070.59068968333</v>
      </c>
      <c r="AL159" s="106">
        <f t="shared" si="327"/>
        <v>695604.62587029126</v>
      </c>
      <c r="AM159" s="106">
        <f t="shared" si="327"/>
        <v>520402.07534918841</v>
      </c>
      <c r="AN159" s="106">
        <f t="shared" si="327"/>
        <v>540572.1399999999</v>
      </c>
      <c r="AO159" s="106">
        <f t="shared" si="327"/>
        <v>526150.81493399211</v>
      </c>
      <c r="AP159" s="106">
        <f t="shared" si="327"/>
        <v>1070499.1347634369</v>
      </c>
      <c r="AQ159" s="106">
        <f>SUM(AQ160:AQ161)</f>
        <v>811982.96612051653</v>
      </c>
      <c r="AR159" s="106">
        <f>SUM(AR160:AR161)</f>
        <v>795008.28118981072</v>
      </c>
      <c r="AS159" s="106">
        <f>SUM(AS160:AS161)</f>
        <v>656579.36844962754</v>
      </c>
      <c r="AT159" s="64"/>
      <c r="AU159" s="106">
        <f t="shared" ref="AU159:AZ159" si="328">SUM(AU160:AU161)</f>
        <v>323070.59068968333</v>
      </c>
      <c r="AV159" s="106">
        <f t="shared" si="328"/>
        <v>695604.62587029126</v>
      </c>
      <c r="AW159" s="106">
        <f t="shared" si="328"/>
        <v>520402.07534918841</v>
      </c>
      <c r="AX159" s="106">
        <f t="shared" si="328"/>
        <v>540572.1399999999</v>
      </c>
      <c r="AY159" s="106">
        <f t="shared" si="328"/>
        <v>526150.81493399211</v>
      </c>
      <c r="AZ159" s="106">
        <f t="shared" si="328"/>
        <v>1070499.1347634369</v>
      </c>
      <c r="BA159" s="106">
        <f>SUM(BA160:BA161)</f>
        <v>811982.96612051653</v>
      </c>
      <c r="BB159" s="106">
        <f>SUM(BB160:BB161)</f>
        <v>795008.28118981072</v>
      </c>
      <c r="BC159" s="106">
        <f>SUM(BC160:BC161)</f>
        <v>656579.36844962754</v>
      </c>
      <c r="BD159" s="195">
        <f>BC159/AY159-1</f>
        <v>0.24789195381555817</v>
      </c>
      <c r="BE159" s="64"/>
      <c r="BF159" s="106">
        <f t="shared" ref="BF159:BK159" si="329">SUM(BF160:BF161)</f>
        <v>323070.59068968333</v>
      </c>
      <c r="BG159" s="106">
        <f t="shared" si="329"/>
        <v>695604.62587029126</v>
      </c>
      <c r="BH159" s="106">
        <f t="shared" si="329"/>
        <v>520402.07534918841</v>
      </c>
      <c r="BI159" s="106">
        <f t="shared" si="329"/>
        <v>540572.1399999999</v>
      </c>
      <c r="BJ159" s="106">
        <f t="shared" si="329"/>
        <v>526150.81493399211</v>
      </c>
      <c r="BK159" s="106">
        <f t="shared" si="329"/>
        <v>1070499.1347634369</v>
      </c>
      <c r="BL159" s="106">
        <f>SUM(BL160:BL161)</f>
        <v>811982.96612051653</v>
      </c>
      <c r="BM159" s="106">
        <f>SUM(BM160:BM161)</f>
        <v>795008.28118981072</v>
      </c>
      <c r="BN159" s="106">
        <f>SUM(BN160:BN161)</f>
        <v>656579.36844962754</v>
      </c>
      <c r="BO159" s="64"/>
    </row>
    <row r="160" spans="2:67" x14ac:dyDescent="0.3">
      <c r="C160" s="65" t="s">
        <v>137</v>
      </c>
      <c r="D160" s="77"/>
      <c r="E160" s="98">
        <v>187599.81771999999</v>
      </c>
      <c r="F160" s="98">
        <v>240271.52047112581</v>
      </c>
      <c r="G160" s="98">
        <v>232488.35571253166</v>
      </c>
      <c r="H160" s="98">
        <v>293461.27795195486</v>
      </c>
      <c r="I160" s="98">
        <f>254205.217741137+250</f>
        <v>254455.21774113699</v>
      </c>
      <c r="J160" s="98">
        <v>307864.25165049941</v>
      </c>
      <c r="K160" s="98">
        <v>390745.73568709113</v>
      </c>
      <c r="L160" s="98">
        <v>413096.27846077568</v>
      </c>
      <c r="M160" s="98">
        <v>340260.6290197536</v>
      </c>
      <c r="N160" s="196">
        <f>M160/I160-1</f>
        <v>0.33721222948514407</v>
      </c>
      <c r="O160" s="203"/>
      <c r="P160" s="160">
        <f>$E160</f>
        <v>187599.81771999999</v>
      </c>
      <c r="Q160" s="160">
        <f>$F160</f>
        <v>240271.52047112581</v>
      </c>
      <c r="R160" s="160">
        <f>$G160</f>
        <v>232488.35571253166</v>
      </c>
      <c r="S160" s="160">
        <f>$H160</f>
        <v>293461.27795195486</v>
      </c>
      <c r="T160" s="160">
        <f>$I160</f>
        <v>254455.21774113699</v>
      </c>
      <c r="U160" s="160">
        <f>$J160</f>
        <v>307864.25165049941</v>
      </c>
      <c r="V160" s="160">
        <f t="shared" ref="V160:X161" si="330">$K160</f>
        <v>390745.73568709113</v>
      </c>
      <c r="W160" s="160">
        <f>$L160</f>
        <v>413096.27846077568</v>
      </c>
      <c r="X160" s="160">
        <f>$M160</f>
        <v>340260.6290197536</v>
      </c>
      <c r="Y160" s="196">
        <f>X160/T160-1</f>
        <v>0.33721222948514407</v>
      </c>
      <c r="Z160" s="64"/>
      <c r="AA160" s="160">
        <f>$E160</f>
        <v>187599.81771999999</v>
      </c>
      <c r="AB160" s="160">
        <f>$F160</f>
        <v>240271.52047112581</v>
      </c>
      <c r="AC160" s="160">
        <f>$G160</f>
        <v>232488.35571253166</v>
      </c>
      <c r="AD160" s="160">
        <f>$H160</f>
        <v>293461.27795195486</v>
      </c>
      <c r="AE160" s="160">
        <f>$I160</f>
        <v>254455.21774113699</v>
      </c>
      <c r="AF160" s="160">
        <f>$J160</f>
        <v>307864.25165049941</v>
      </c>
      <c r="AG160" s="160">
        <f t="shared" ref="AG160:AI161" si="331">$K160</f>
        <v>390745.73568709113</v>
      </c>
      <c r="AH160" s="160">
        <f>$L160</f>
        <v>413096.27846077568</v>
      </c>
      <c r="AI160" s="160">
        <f>$M160</f>
        <v>340260.6290197536</v>
      </c>
      <c r="AJ160" s="64"/>
      <c r="AK160" s="160">
        <f>$E160</f>
        <v>187599.81771999999</v>
      </c>
      <c r="AL160" s="160">
        <f>$F160</f>
        <v>240271.52047112581</v>
      </c>
      <c r="AM160" s="160">
        <f>$G160</f>
        <v>232488.35571253166</v>
      </c>
      <c r="AN160" s="160">
        <f>$H160</f>
        <v>293461.27795195486</v>
      </c>
      <c r="AO160" s="160">
        <f>$I160</f>
        <v>254455.21774113699</v>
      </c>
      <c r="AP160" s="160">
        <f>$J160</f>
        <v>307864.25165049941</v>
      </c>
      <c r="AQ160" s="160">
        <f t="shared" ref="AQ160:AS161" si="332">$K160</f>
        <v>390745.73568709113</v>
      </c>
      <c r="AR160" s="160">
        <f>$L160</f>
        <v>413096.27846077568</v>
      </c>
      <c r="AS160" s="160">
        <f>$M160</f>
        <v>340260.6290197536</v>
      </c>
      <c r="AT160" s="64"/>
      <c r="AU160" s="160">
        <f>$E160</f>
        <v>187599.81771999999</v>
      </c>
      <c r="AV160" s="160">
        <f>$F160</f>
        <v>240271.52047112581</v>
      </c>
      <c r="AW160" s="160">
        <f>$G160</f>
        <v>232488.35571253166</v>
      </c>
      <c r="AX160" s="160">
        <f>$H160</f>
        <v>293461.27795195486</v>
      </c>
      <c r="AY160" s="160">
        <f>$I160</f>
        <v>254455.21774113699</v>
      </c>
      <c r="AZ160" s="160">
        <f>$J160</f>
        <v>307864.25165049941</v>
      </c>
      <c r="BA160" s="160">
        <f t="shared" ref="BA160:BC161" si="333">$K160</f>
        <v>390745.73568709113</v>
      </c>
      <c r="BB160" s="160">
        <f>$L160</f>
        <v>413096.27846077568</v>
      </c>
      <c r="BC160" s="160">
        <f>$M160</f>
        <v>340260.6290197536</v>
      </c>
      <c r="BD160" s="196">
        <f>BC160/AY160-1</f>
        <v>0.33721222948514407</v>
      </c>
      <c r="BE160" s="214"/>
      <c r="BF160" s="160">
        <f>$E160</f>
        <v>187599.81771999999</v>
      </c>
      <c r="BG160" s="160">
        <f>$F160</f>
        <v>240271.52047112581</v>
      </c>
      <c r="BH160" s="160">
        <f>$G160</f>
        <v>232488.35571253166</v>
      </c>
      <c r="BI160" s="160">
        <f>$H160</f>
        <v>293461.27795195486</v>
      </c>
      <c r="BJ160" s="160">
        <f>$I160</f>
        <v>254455.21774113699</v>
      </c>
      <c r="BK160" s="160">
        <f>$J160</f>
        <v>307864.25165049941</v>
      </c>
      <c r="BL160" s="160">
        <f t="shared" ref="BL160:BN161" si="334">$K160</f>
        <v>390745.73568709113</v>
      </c>
      <c r="BM160" s="160">
        <f>$L160</f>
        <v>413096.27846077568</v>
      </c>
      <c r="BN160" s="160">
        <f>$M160</f>
        <v>340260.6290197536</v>
      </c>
      <c r="BO160" s="64"/>
    </row>
    <row r="161" spans="2:67" x14ac:dyDescent="0.3">
      <c r="C161" s="65" t="s">
        <v>138</v>
      </c>
      <c r="D161" s="77"/>
      <c r="E161" s="98">
        <v>135470.77296968331</v>
      </c>
      <c r="F161" s="98">
        <v>455333.10539916542</v>
      </c>
      <c r="G161" s="98">
        <v>287913.71963665675</v>
      </c>
      <c r="H161" s="98">
        <v>247110.86204804509</v>
      </c>
      <c r="I161" s="98">
        <v>271695.59719285509</v>
      </c>
      <c r="J161" s="98">
        <v>762634.88311293744</v>
      </c>
      <c r="K161" s="98">
        <v>421237.2304334254</v>
      </c>
      <c r="L161" s="98">
        <v>381912.00272903498</v>
      </c>
      <c r="M161" s="98">
        <v>316318.73942987394</v>
      </c>
      <c r="N161" s="196">
        <f>M161/I161-1</f>
        <v>0.16423947497884717</v>
      </c>
      <c r="O161" s="230"/>
      <c r="P161" s="160">
        <f>$E161</f>
        <v>135470.77296968331</v>
      </c>
      <c r="Q161" s="160">
        <f>$F161</f>
        <v>455333.10539916542</v>
      </c>
      <c r="R161" s="160">
        <f>$G161</f>
        <v>287913.71963665675</v>
      </c>
      <c r="S161" s="160">
        <f>$H161</f>
        <v>247110.86204804509</v>
      </c>
      <c r="T161" s="160">
        <f>$I161</f>
        <v>271695.59719285509</v>
      </c>
      <c r="U161" s="160">
        <f>$J161</f>
        <v>762634.88311293744</v>
      </c>
      <c r="V161" s="160">
        <f t="shared" si="330"/>
        <v>421237.2304334254</v>
      </c>
      <c r="W161" s="160">
        <f>$L161</f>
        <v>381912.00272903498</v>
      </c>
      <c r="X161" s="160">
        <f>$M161</f>
        <v>316318.73942987394</v>
      </c>
      <c r="Y161" s="196">
        <f>X161/T161-1</f>
        <v>0.16423947497884717</v>
      </c>
      <c r="Z161" s="64"/>
      <c r="AA161" s="160">
        <f>$E161</f>
        <v>135470.77296968331</v>
      </c>
      <c r="AB161" s="160">
        <f>$F161</f>
        <v>455333.10539916542</v>
      </c>
      <c r="AC161" s="160">
        <f>$G161</f>
        <v>287913.71963665675</v>
      </c>
      <c r="AD161" s="160">
        <f>$H161</f>
        <v>247110.86204804509</v>
      </c>
      <c r="AE161" s="160">
        <f>$I161</f>
        <v>271695.59719285509</v>
      </c>
      <c r="AF161" s="160">
        <f>$J161</f>
        <v>762634.88311293744</v>
      </c>
      <c r="AG161" s="160">
        <f t="shared" si="331"/>
        <v>421237.2304334254</v>
      </c>
      <c r="AH161" s="160">
        <f>$L161</f>
        <v>381912.00272903498</v>
      </c>
      <c r="AI161" s="160">
        <f>$M161</f>
        <v>316318.73942987394</v>
      </c>
      <c r="AJ161" s="64"/>
      <c r="AK161" s="160">
        <f>$E161</f>
        <v>135470.77296968331</v>
      </c>
      <c r="AL161" s="160">
        <f>$F161</f>
        <v>455333.10539916542</v>
      </c>
      <c r="AM161" s="160">
        <f>$G161</f>
        <v>287913.71963665675</v>
      </c>
      <c r="AN161" s="160">
        <f>$H161</f>
        <v>247110.86204804509</v>
      </c>
      <c r="AO161" s="160">
        <f>$I161</f>
        <v>271695.59719285509</v>
      </c>
      <c r="AP161" s="160">
        <f>$J161</f>
        <v>762634.88311293744</v>
      </c>
      <c r="AQ161" s="160">
        <f t="shared" si="332"/>
        <v>421237.2304334254</v>
      </c>
      <c r="AR161" s="160">
        <f>$L161</f>
        <v>381912.00272903498</v>
      </c>
      <c r="AS161" s="160">
        <f>$M161</f>
        <v>316318.73942987394</v>
      </c>
      <c r="AT161" s="64"/>
      <c r="AU161" s="160">
        <f>$E161</f>
        <v>135470.77296968331</v>
      </c>
      <c r="AV161" s="160">
        <f>$F161</f>
        <v>455333.10539916542</v>
      </c>
      <c r="AW161" s="160">
        <f>$G161</f>
        <v>287913.71963665675</v>
      </c>
      <c r="AX161" s="160">
        <f>$H161</f>
        <v>247110.86204804509</v>
      </c>
      <c r="AY161" s="160">
        <f>$I161</f>
        <v>271695.59719285509</v>
      </c>
      <c r="AZ161" s="160">
        <f>$J161</f>
        <v>762634.88311293744</v>
      </c>
      <c r="BA161" s="160">
        <f t="shared" si="333"/>
        <v>421237.2304334254</v>
      </c>
      <c r="BB161" s="160">
        <f>$L161</f>
        <v>381912.00272903498</v>
      </c>
      <c r="BC161" s="160">
        <f>$M161</f>
        <v>316318.73942987394</v>
      </c>
      <c r="BD161" s="196">
        <f>BC161/AY161-1</f>
        <v>0.16423947497884717</v>
      </c>
      <c r="BE161" s="214"/>
      <c r="BF161" s="160">
        <f>$E161</f>
        <v>135470.77296968331</v>
      </c>
      <c r="BG161" s="160">
        <f>$F161</f>
        <v>455333.10539916542</v>
      </c>
      <c r="BH161" s="160">
        <f>$G161</f>
        <v>287913.71963665675</v>
      </c>
      <c r="BI161" s="160">
        <f>$H161</f>
        <v>247110.86204804509</v>
      </c>
      <c r="BJ161" s="160">
        <f>$I161</f>
        <v>271695.59719285509</v>
      </c>
      <c r="BK161" s="160">
        <f>$J161</f>
        <v>762634.88311293744</v>
      </c>
      <c r="BL161" s="160">
        <f t="shared" si="334"/>
        <v>421237.2304334254</v>
      </c>
      <c r="BM161" s="160">
        <f>$L161</f>
        <v>381912.00272903498</v>
      </c>
      <c r="BN161" s="160">
        <f>$M161</f>
        <v>316318.73942987394</v>
      </c>
      <c r="BO161" s="64"/>
    </row>
    <row r="162" spans="2:67" x14ac:dyDescent="0.3">
      <c r="C162" s="65"/>
      <c r="D162" s="77"/>
      <c r="E162" s="148"/>
      <c r="N162" s="149"/>
      <c r="O162" s="197"/>
      <c r="P162" s="161"/>
      <c r="Q162" s="161"/>
      <c r="R162" s="161"/>
      <c r="S162" s="161"/>
      <c r="T162" s="161"/>
      <c r="U162" s="161"/>
      <c r="V162" s="161"/>
      <c r="W162" s="161"/>
      <c r="X162" s="161"/>
      <c r="Y162" s="149"/>
      <c r="Z162" s="64"/>
      <c r="AA162" s="161"/>
      <c r="AB162" s="161"/>
      <c r="AC162" s="161"/>
      <c r="AD162" s="161"/>
      <c r="AE162" s="161"/>
      <c r="AF162" s="161"/>
      <c r="AG162" s="161"/>
      <c r="AH162" s="161"/>
      <c r="AI162" s="161"/>
      <c r="AJ162" s="64"/>
      <c r="AK162" s="161"/>
      <c r="AL162" s="161"/>
      <c r="AM162" s="161"/>
      <c r="AN162" s="161"/>
      <c r="AO162" s="161"/>
      <c r="AP162" s="161"/>
      <c r="AQ162" s="161"/>
      <c r="AR162" s="161"/>
      <c r="AS162" s="161"/>
      <c r="AT162" s="64"/>
      <c r="AU162" s="161"/>
      <c r="AV162" s="161"/>
      <c r="AW162" s="161"/>
      <c r="AX162" s="161"/>
      <c r="AY162" s="161"/>
      <c r="AZ162" s="161"/>
      <c r="BA162" s="161"/>
      <c r="BB162" s="161"/>
      <c r="BC162" s="161"/>
      <c r="BD162" s="149"/>
      <c r="BE162" s="214"/>
      <c r="BF162" s="161"/>
      <c r="BG162" s="161"/>
      <c r="BH162" s="161"/>
      <c r="BI162" s="161"/>
      <c r="BJ162" s="161"/>
      <c r="BK162" s="161"/>
      <c r="BL162" s="161"/>
      <c r="BM162" s="161"/>
      <c r="BN162" s="161"/>
      <c r="BO162" s="64"/>
    </row>
    <row r="163" spans="2:67" x14ac:dyDescent="0.3">
      <c r="C163" s="65" t="s">
        <v>170</v>
      </c>
      <c r="D163" s="77"/>
      <c r="E163" s="149">
        <f t="shared" ref="E163:M163" si="335">E160/E$159</f>
        <v>0.5806774838883243</v>
      </c>
      <c r="F163" s="149">
        <f t="shared" si="335"/>
        <v>0.34541391982624481</v>
      </c>
      <c r="G163" s="149">
        <f t="shared" si="335"/>
        <v>0.44674755679352851</v>
      </c>
      <c r="H163" s="149">
        <f t="shared" si="335"/>
        <v>0.54287162847858739</v>
      </c>
      <c r="I163" s="149">
        <f t="shared" si="335"/>
        <v>0.483616504087444</v>
      </c>
      <c r="J163" s="149">
        <f t="shared" si="335"/>
        <v>0.28758944463652691</v>
      </c>
      <c r="K163" s="149">
        <f t="shared" si="335"/>
        <v>0.48122405517198458</v>
      </c>
      <c r="L163" s="149">
        <f t="shared" si="335"/>
        <v>0.51961254773665388</v>
      </c>
      <c r="M163" s="149">
        <f t="shared" si="335"/>
        <v>0.51823228899684537</v>
      </c>
      <c r="N163" s="149"/>
      <c r="O163" s="197"/>
      <c r="P163" s="161"/>
      <c r="Q163" s="161"/>
      <c r="R163" s="161"/>
      <c r="S163" s="161"/>
      <c r="T163" s="161"/>
      <c r="U163" s="161"/>
      <c r="V163" s="161"/>
      <c r="W163" s="161"/>
      <c r="X163" s="161"/>
      <c r="Y163" s="149"/>
      <c r="Z163" s="64"/>
      <c r="AA163" s="161"/>
      <c r="AB163" s="161"/>
      <c r="AC163" s="161"/>
      <c r="AD163" s="161"/>
      <c r="AE163" s="161"/>
      <c r="AF163" s="161"/>
      <c r="AG163" s="161"/>
      <c r="AH163" s="161"/>
      <c r="AI163" s="161"/>
      <c r="AJ163" s="64"/>
      <c r="AK163" s="161"/>
      <c r="AL163" s="161"/>
      <c r="AM163" s="161"/>
      <c r="AN163" s="161"/>
      <c r="AO163" s="161"/>
      <c r="AP163" s="161"/>
      <c r="AQ163" s="161"/>
      <c r="AR163" s="161"/>
      <c r="AS163" s="161"/>
      <c r="AT163" s="64"/>
      <c r="AU163" s="161"/>
      <c r="AV163" s="161"/>
      <c r="AW163" s="161"/>
      <c r="AX163" s="161"/>
      <c r="AY163" s="161"/>
      <c r="AZ163" s="161"/>
      <c r="BA163" s="161"/>
      <c r="BB163" s="161"/>
      <c r="BC163" s="161"/>
      <c r="BD163" s="149"/>
      <c r="BE163" s="214"/>
      <c r="BF163" s="161"/>
      <c r="BG163" s="161"/>
      <c r="BH163" s="161"/>
      <c r="BI163" s="161"/>
      <c r="BJ163" s="161"/>
      <c r="BK163" s="161"/>
      <c r="BL163" s="161"/>
      <c r="BM163" s="161"/>
      <c r="BN163" s="161"/>
      <c r="BO163" s="64"/>
    </row>
    <row r="164" spans="2:67" x14ac:dyDescent="0.3">
      <c r="C164" s="65" t="s">
        <v>169</v>
      </c>
      <c r="D164" s="77"/>
      <c r="E164" s="149">
        <f t="shared" ref="E164:M164" si="336">E161/E$159</f>
        <v>0.41932251611167565</v>
      </c>
      <c r="F164" s="149">
        <f t="shared" si="336"/>
        <v>0.65458608017375508</v>
      </c>
      <c r="G164" s="149">
        <f t="shared" si="336"/>
        <v>0.55325244320647149</v>
      </c>
      <c r="H164" s="149">
        <f t="shared" si="336"/>
        <v>0.45712837152141272</v>
      </c>
      <c r="I164" s="149">
        <f t="shared" si="336"/>
        <v>0.51638349591255595</v>
      </c>
      <c r="J164" s="149">
        <f t="shared" si="336"/>
        <v>0.71241055536347309</v>
      </c>
      <c r="K164" s="149">
        <f t="shared" si="336"/>
        <v>0.51877594482801537</v>
      </c>
      <c r="L164" s="149">
        <f t="shared" si="336"/>
        <v>0.48038745226334606</v>
      </c>
      <c r="M164" s="149">
        <f t="shared" si="336"/>
        <v>0.48176771100315463</v>
      </c>
      <c r="N164" s="149"/>
      <c r="O164" s="197"/>
      <c r="P164" s="161"/>
      <c r="Q164" s="161"/>
      <c r="R164" s="161"/>
      <c r="S164" s="161"/>
      <c r="T164" s="161"/>
      <c r="U164" s="161"/>
      <c r="V164" s="161"/>
      <c r="W164" s="161"/>
      <c r="X164" s="161"/>
      <c r="Y164" s="149"/>
      <c r="Z164" s="64"/>
      <c r="AA164" s="161"/>
      <c r="AB164" s="161"/>
      <c r="AC164" s="161"/>
      <c r="AD164" s="161"/>
      <c r="AE164" s="161"/>
      <c r="AF164" s="161"/>
      <c r="AG164" s="161"/>
      <c r="AH164" s="161"/>
      <c r="AI164" s="161"/>
      <c r="AJ164" s="64"/>
      <c r="AK164" s="161"/>
      <c r="AL164" s="161"/>
      <c r="AM164" s="161"/>
      <c r="AN164" s="161"/>
      <c r="AO164" s="161"/>
      <c r="AP164" s="161"/>
      <c r="AQ164" s="161"/>
      <c r="AR164" s="161"/>
      <c r="AS164" s="161"/>
      <c r="AT164" s="64"/>
      <c r="AU164" s="161"/>
      <c r="AV164" s="161"/>
      <c r="AW164" s="161"/>
      <c r="AX164" s="161"/>
      <c r="AY164" s="161"/>
      <c r="AZ164" s="161"/>
      <c r="BA164" s="161"/>
      <c r="BB164" s="161"/>
      <c r="BC164" s="161"/>
      <c r="BD164" s="149"/>
      <c r="BE164" s="214"/>
      <c r="BF164" s="161"/>
      <c r="BG164" s="161"/>
      <c r="BH164" s="161"/>
      <c r="BI164" s="161"/>
      <c r="BJ164" s="161"/>
      <c r="BK164" s="161"/>
      <c r="BL164" s="161"/>
      <c r="BM164" s="161"/>
      <c r="BN164" s="161"/>
      <c r="BO164" s="64"/>
    </row>
    <row r="165" spans="2:67" x14ac:dyDescent="0.3">
      <c r="C165" s="65"/>
      <c r="D165" s="77"/>
      <c r="E165" s="42"/>
      <c r="F165" s="42"/>
      <c r="G165" s="42"/>
      <c r="H165" s="42"/>
      <c r="I165" s="42"/>
      <c r="J165" s="42"/>
      <c r="K165" s="132"/>
      <c r="L165" s="132"/>
      <c r="M165" s="42"/>
      <c r="P165" s="162"/>
      <c r="Q165" s="162"/>
      <c r="R165" s="162"/>
      <c r="S165" s="162"/>
      <c r="T165" s="162"/>
      <c r="U165" s="162"/>
      <c r="V165" s="162"/>
      <c r="W165" s="162"/>
      <c r="X165" s="162"/>
      <c r="Z165" s="64"/>
      <c r="AA165" s="162"/>
      <c r="AB165" s="162"/>
      <c r="AC165" s="162"/>
      <c r="AD165" s="162"/>
      <c r="AE165" s="162"/>
      <c r="AF165" s="162"/>
      <c r="AG165" s="162"/>
      <c r="AH165" s="162"/>
      <c r="AI165" s="162"/>
      <c r="AJ165" s="64"/>
      <c r="AK165" s="162"/>
      <c r="AL165" s="162"/>
      <c r="AM165" s="162"/>
      <c r="AN165" s="162"/>
      <c r="AO165" s="162"/>
      <c r="AP165" s="162"/>
      <c r="AQ165" s="162"/>
      <c r="AR165" s="162"/>
      <c r="AS165" s="162"/>
      <c r="AT165" s="64"/>
      <c r="AU165" s="162"/>
      <c r="AV165" s="162"/>
      <c r="AW165" s="162"/>
      <c r="AX165" s="162"/>
      <c r="AY165" s="162"/>
      <c r="AZ165" s="162"/>
      <c r="BA165" s="162"/>
      <c r="BB165" s="162"/>
      <c r="BC165" s="162"/>
      <c r="BE165" s="64"/>
      <c r="BF165" s="162"/>
      <c r="BG165" s="162"/>
      <c r="BH165" s="162"/>
      <c r="BI165" s="162"/>
      <c r="BJ165" s="162"/>
      <c r="BK165" s="162"/>
      <c r="BL165" s="162"/>
      <c r="BM165" s="162"/>
      <c r="BN165" s="162"/>
      <c r="BO165" s="64"/>
    </row>
    <row r="166" spans="2:67" x14ac:dyDescent="0.3">
      <c r="C166" s="105" t="s">
        <v>139</v>
      </c>
      <c r="D166" s="128"/>
      <c r="E166" s="106">
        <f t="shared" ref="E166:J166" si="337">SUM(E167:E168)</f>
        <v>26340</v>
      </c>
      <c r="F166" s="106">
        <f t="shared" si="337"/>
        <v>38996</v>
      </c>
      <c r="G166" s="106">
        <f t="shared" si="337"/>
        <v>35555</v>
      </c>
      <c r="H166" s="106">
        <f t="shared" si="337"/>
        <v>45837</v>
      </c>
      <c r="I166" s="106">
        <f t="shared" si="337"/>
        <v>47938</v>
      </c>
      <c r="J166" s="106">
        <f t="shared" si="337"/>
        <v>37842</v>
      </c>
      <c r="K166" s="106">
        <f>SUM(K167:K168)</f>
        <v>36423</v>
      </c>
      <c r="L166" s="106">
        <f>SUM(L167:L168)</f>
        <v>39588</v>
      </c>
      <c r="M166" s="106">
        <f>SUM(M167:M168)</f>
        <v>40725</v>
      </c>
      <c r="N166" s="195">
        <f>M166/I166-1</f>
        <v>-0.15046518419625354</v>
      </c>
      <c r="P166" s="163">
        <f t="shared" ref="P166:U166" si="338">SUM(P167:P168)</f>
        <v>26340</v>
      </c>
      <c r="Q166" s="163">
        <f t="shared" si="338"/>
        <v>38996</v>
      </c>
      <c r="R166" s="163">
        <f t="shared" si="338"/>
        <v>35555</v>
      </c>
      <c r="S166" s="163">
        <f t="shared" si="338"/>
        <v>45837</v>
      </c>
      <c r="T166" s="163">
        <f t="shared" si="338"/>
        <v>47938</v>
      </c>
      <c r="U166" s="163">
        <f t="shared" si="338"/>
        <v>37842</v>
      </c>
      <c r="V166" s="163">
        <f>SUM(V167:V168)</f>
        <v>36423</v>
      </c>
      <c r="W166" s="163">
        <f>SUM(W167:W168)</f>
        <v>39588</v>
      </c>
      <c r="X166" s="163">
        <f>SUM(X167:X168)</f>
        <v>40725</v>
      </c>
      <c r="Y166" s="195">
        <f>X166/T166-1</f>
        <v>-0.15046518419625354</v>
      </c>
      <c r="Z166" s="64"/>
      <c r="AA166" s="163">
        <f t="shared" ref="AA166:AF166" si="339">SUM(AA167:AA168)</f>
        <v>26340</v>
      </c>
      <c r="AB166" s="163">
        <f t="shared" si="339"/>
        <v>38996</v>
      </c>
      <c r="AC166" s="163">
        <f t="shared" si="339"/>
        <v>35555</v>
      </c>
      <c r="AD166" s="163">
        <f t="shared" si="339"/>
        <v>45837</v>
      </c>
      <c r="AE166" s="163">
        <f t="shared" si="339"/>
        <v>47938</v>
      </c>
      <c r="AF166" s="163">
        <f t="shared" si="339"/>
        <v>37842</v>
      </c>
      <c r="AG166" s="163">
        <f>SUM(AG167:AG168)</f>
        <v>36423</v>
      </c>
      <c r="AH166" s="163">
        <f>SUM(AH167:AH168)</f>
        <v>39588</v>
      </c>
      <c r="AI166" s="163">
        <f>SUM(AI167:AI168)</f>
        <v>40725</v>
      </c>
      <c r="AJ166" s="64"/>
      <c r="AK166" s="163">
        <f t="shared" ref="AK166:AP166" si="340">SUM(AK167:AK168)</f>
        <v>26340</v>
      </c>
      <c r="AL166" s="163">
        <f t="shared" si="340"/>
        <v>38996</v>
      </c>
      <c r="AM166" s="163">
        <f t="shared" si="340"/>
        <v>35555</v>
      </c>
      <c r="AN166" s="163">
        <f t="shared" si="340"/>
        <v>45837</v>
      </c>
      <c r="AO166" s="163">
        <f t="shared" si="340"/>
        <v>47938</v>
      </c>
      <c r="AP166" s="163">
        <f t="shared" si="340"/>
        <v>37842</v>
      </c>
      <c r="AQ166" s="163">
        <f>SUM(AQ167:AQ168)</f>
        <v>36423</v>
      </c>
      <c r="AR166" s="163">
        <f>SUM(AR167:AR168)</f>
        <v>39588</v>
      </c>
      <c r="AS166" s="163">
        <f>SUM(AS167:AS168)</f>
        <v>40725</v>
      </c>
      <c r="AT166" s="64"/>
      <c r="AU166" s="163">
        <f t="shared" ref="AU166:AZ166" si="341">SUM(AU167:AU168)</f>
        <v>26340</v>
      </c>
      <c r="AV166" s="163">
        <f t="shared" si="341"/>
        <v>38996</v>
      </c>
      <c r="AW166" s="163">
        <f t="shared" si="341"/>
        <v>35555</v>
      </c>
      <c r="AX166" s="163">
        <f t="shared" si="341"/>
        <v>45837</v>
      </c>
      <c r="AY166" s="163">
        <f t="shared" si="341"/>
        <v>47938</v>
      </c>
      <c r="AZ166" s="163">
        <f t="shared" si="341"/>
        <v>37842</v>
      </c>
      <c r="BA166" s="163">
        <f>SUM(BA167:BA168)</f>
        <v>36423</v>
      </c>
      <c r="BB166" s="163">
        <f>SUM(BB167:BB168)</f>
        <v>39588</v>
      </c>
      <c r="BC166" s="163">
        <f>SUM(BC167:BC168)</f>
        <v>40725</v>
      </c>
      <c r="BD166" s="195">
        <f>BC166/AY166-1</f>
        <v>-0.15046518419625354</v>
      </c>
      <c r="BE166" s="64"/>
      <c r="BF166" s="163">
        <f t="shared" ref="BF166:BK166" si="342">SUM(BF167:BF168)</f>
        <v>26340</v>
      </c>
      <c r="BG166" s="163">
        <f t="shared" si="342"/>
        <v>38996</v>
      </c>
      <c r="BH166" s="163">
        <f t="shared" si="342"/>
        <v>35555</v>
      </c>
      <c r="BI166" s="163">
        <f t="shared" si="342"/>
        <v>45837</v>
      </c>
      <c r="BJ166" s="163">
        <f t="shared" si="342"/>
        <v>47938</v>
      </c>
      <c r="BK166" s="163">
        <f t="shared" si="342"/>
        <v>37842</v>
      </c>
      <c r="BL166" s="163">
        <f>SUM(BL167:BL168)</f>
        <v>36423</v>
      </c>
      <c r="BM166" s="163">
        <f>SUM(BM167:BM168)</f>
        <v>39588</v>
      </c>
      <c r="BN166" s="163">
        <f>SUM(BN167:BN168)</f>
        <v>40725</v>
      </c>
      <c r="BO166" s="64"/>
    </row>
    <row r="167" spans="2:67" x14ac:dyDescent="0.3">
      <c r="C167" s="65" t="s">
        <v>137</v>
      </c>
      <c r="D167" s="77"/>
      <c r="E167" s="98">
        <v>20255</v>
      </c>
      <c r="F167" s="98">
        <v>32473</v>
      </c>
      <c r="G167" s="98">
        <v>25027</v>
      </c>
      <c r="H167" s="98">
        <v>33747</v>
      </c>
      <c r="I167" s="98">
        <v>44177</v>
      </c>
      <c r="J167" s="98">
        <v>34157</v>
      </c>
      <c r="K167" s="98">
        <v>33106</v>
      </c>
      <c r="L167" s="98">
        <v>35579</v>
      </c>
      <c r="M167" s="98">
        <v>37535</v>
      </c>
      <c r="N167" s="196">
        <f>M167/I167-1</f>
        <v>-0.15034972949724967</v>
      </c>
      <c r="P167" s="160">
        <f>$E167</f>
        <v>20255</v>
      </c>
      <c r="Q167" s="160">
        <f>$F167</f>
        <v>32473</v>
      </c>
      <c r="R167" s="160">
        <f>$G167</f>
        <v>25027</v>
      </c>
      <c r="S167" s="160">
        <f>$H167</f>
        <v>33747</v>
      </c>
      <c r="T167" s="160">
        <f>$I167</f>
        <v>44177</v>
      </c>
      <c r="U167" s="160">
        <f>$J167</f>
        <v>34157</v>
      </c>
      <c r="V167" s="160">
        <f t="shared" ref="V167:X168" si="343">$K167</f>
        <v>33106</v>
      </c>
      <c r="W167" s="160">
        <f>$L167</f>
        <v>35579</v>
      </c>
      <c r="X167" s="160">
        <f>$M167</f>
        <v>37535</v>
      </c>
      <c r="Y167" s="196">
        <f>X167/T167-1</f>
        <v>-0.15034972949724967</v>
      </c>
      <c r="Z167" s="64"/>
      <c r="AA167" s="160">
        <f>$E167</f>
        <v>20255</v>
      </c>
      <c r="AB167" s="160">
        <f>$F167</f>
        <v>32473</v>
      </c>
      <c r="AC167" s="160">
        <f>$G167</f>
        <v>25027</v>
      </c>
      <c r="AD167" s="160">
        <f>$H167</f>
        <v>33747</v>
      </c>
      <c r="AE167" s="160">
        <f>$I167</f>
        <v>44177</v>
      </c>
      <c r="AF167" s="160">
        <f>$J167</f>
        <v>34157</v>
      </c>
      <c r="AG167" s="160">
        <f t="shared" ref="AG167:AI168" si="344">$K167</f>
        <v>33106</v>
      </c>
      <c r="AH167" s="160">
        <f>$L167</f>
        <v>35579</v>
      </c>
      <c r="AI167" s="160">
        <f>$M167</f>
        <v>37535</v>
      </c>
      <c r="AJ167" s="64"/>
      <c r="AK167" s="160">
        <f>$E167</f>
        <v>20255</v>
      </c>
      <c r="AL167" s="160">
        <f>$F167</f>
        <v>32473</v>
      </c>
      <c r="AM167" s="160">
        <f>$G167</f>
        <v>25027</v>
      </c>
      <c r="AN167" s="160">
        <f>$H167</f>
        <v>33747</v>
      </c>
      <c r="AO167" s="160">
        <f>$I167</f>
        <v>44177</v>
      </c>
      <c r="AP167" s="160">
        <f>$J167</f>
        <v>34157</v>
      </c>
      <c r="AQ167" s="160">
        <f t="shared" ref="AQ167:AS168" si="345">$K167</f>
        <v>33106</v>
      </c>
      <c r="AR167" s="160">
        <f>$L167</f>
        <v>35579</v>
      </c>
      <c r="AS167" s="160">
        <f>$M167</f>
        <v>37535</v>
      </c>
      <c r="AT167" s="64"/>
      <c r="AU167" s="160">
        <f>$E167</f>
        <v>20255</v>
      </c>
      <c r="AV167" s="160">
        <f>$F167</f>
        <v>32473</v>
      </c>
      <c r="AW167" s="160">
        <f>$G167</f>
        <v>25027</v>
      </c>
      <c r="AX167" s="160">
        <f>$H167</f>
        <v>33747</v>
      </c>
      <c r="AY167" s="160">
        <f>$I167</f>
        <v>44177</v>
      </c>
      <c r="AZ167" s="160">
        <f>$J167</f>
        <v>34157</v>
      </c>
      <c r="BA167" s="160">
        <f t="shared" ref="BA167:BC168" si="346">$K167</f>
        <v>33106</v>
      </c>
      <c r="BB167" s="160">
        <f>$L167</f>
        <v>35579</v>
      </c>
      <c r="BC167" s="160">
        <f>$M167</f>
        <v>37535</v>
      </c>
      <c r="BD167" s="196">
        <f>BC167/AY167-1</f>
        <v>-0.15034972949724967</v>
      </c>
      <c r="BE167" s="64"/>
      <c r="BF167" s="160">
        <f>$E167</f>
        <v>20255</v>
      </c>
      <c r="BG167" s="160">
        <f>$F167</f>
        <v>32473</v>
      </c>
      <c r="BH167" s="160">
        <f>$G167</f>
        <v>25027</v>
      </c>
      <c r="BI167" s="160">
        <f>$H167</f>
        <v>33747</v>
      </c>
      <c r="BJ167" s="160">
        <f>$I167</f>
        <v>44177</v>
      </c>
      <c r="BK167" s="160">
        <f>$J167</f>
        <v>34157</v>
      </c>
      <c r="BL167" s="160">
        <f t="shared" ref="BL167:BN168" si="347">$K167</f>
        <v>33106</v>
      </c>
      <c r="BM167" s="160">
        <f>$L167</f>
        <v>35579</v>
      </c>
      <c r="BN167" s="160">
        <f>$M167</f>
        <v>37535</v>
      </c>
      <c r="BO167" s="64"/>
    </row>
    <row r="168" spans="2:67" x14ac:dyDescent="0.3">
      <c r="C168" s="65" t="s">
        <v>138</v>
      </c>
      <c r="D168" s="77"/>
      <c r="E168" s="98">
        <v>6085</v>
      </c>
      <c r="F168" s="98">
        <v>6523</v>
      </c>
      <c r="G168" s="98">
        <v>10528</v>
      </c>
      <c r="H168" s="98">
        <v>12090</v>
      </c>
      <c r="I168" s="98">
        <v>3761</v>
      </c>
      <c r="J168" s="98">
        <v>3685</v>
      </c>
      <c r="K168" s="98">
        <v>3317</v>
      </c>
      <c r="L168" s="98">
        <v>4009</v>
      </c>
      <c r="M168" s="98">
        <v>3190</v>
      </c>
      <c r="N168" s="196">
        <f>M168/I168-1</f>
        <v>-0.15182132411592664</v>
      </c>
      <c r="P168" s="160">
        <f>$E168</f>
        <v>6085</v>
      </c>
      <c r="Q168" s="160">
        <f>$F168</f>
        <v>6523</v>
      </c>
      <c r="R168" s="160">
        <f>$G168</f>
        <v>10528</v>
      </c>
      <c r="S168" s="160">
        <f>$H168</f>
        <v>12090</v>
      </c>
      <c r="T168" s="160">
        <f>$I168</f>
        <v>3761</v>
      </c>
      <c r="U168" s="160">
        <f>$J168</f>
        <v>3685</v>
      </c>
      <c r="V168" s="160">
        <f t="shared" si="343"/>
        <v>3317</v>
      </c>
      <c r="W168" s="160">
        <f>$L168</f>
        <v>4009</v>
      </c>
      <c r="X168" s="160">
        <f>$M168</f>
        <v>3190</v>
      </c>
      <c r="Y168" s="196">
        <f>X168/T168-1</f>
        <v>-0.15182132411592664</v>
      </c>
      <c r="Z168" s="64"/>
      <c r="AA168" s="160">
        <f>$E168</f>
        <v>6085</v>
      </c>
      <c r="AB168" s="160">
        <f>$F168</f>
        <v>6523</v>
      </c>
      <c r="AC168" s="160">
        <f>$G168</f>
        <v>10528</v>
      </c>
      <c r="AD168" s="160">
        <f>$H168</f>
        <v>12090</v>
      </c>
      <c r="AE168" s="160">
        <f>$I168</f>
        <v>3761</v>
      </c>
      <c r="AF168" s="160">
        <f>$J168</f>
        <v>3685</v>
      </c>
      <c r="AG168" s="160">
        <f t="shared" si="344"/>
        <v>3317</v>
      </c>
      <c r="AH168" s="160">
        <f>$L168</f>
        <v>4009</v>
      </c>
      <c r="AI168" s="160">
        <f>$M168</f>
        <v>3190</v>
      </c>
      <c r="AJ168" s="64"/>
      <c r="AK168" s="160">
        <f>$E168</f>
        <v>6085</v>
      </c>
      <c r="AL168" s="160">
        <f>$F168</f>
        <v>6523</v>
      </c>
      <c r="AM168" s="160">
        <f>$G168</f>
        <v>10528</v>
      </c>
      <c r="AN168" s="160">
        <f>$H168</f>
        <v>12090</v>
      </c>
      <c r="AO168" s="160">
        <f>$I168</f>
        <v>3761</v>
      </c>
      <c r="AP168" s="160">
        <f>$J168</f>
        <v>3685</v>
      </c>
      <c r="AQ168" s="160">
        <f t="shared" si="345"/>
        <v>3317</v>
      </c>
      <c r="AR168" s="160">
        <f>$L168</f>
        <v>4009</v>
      </c>
      <c r="AS168" s="160">
        <f>$M168</f>
        <v>3190</v>
      </c>
      <c r="AT168" s="64"/>
      <c r="AU168" s="160">
        <f>$E168</f>
        <v>6085</v>
      </c>
      <c r="AV168" s="160">
        <f>$F168</f>
        <v>6523</v>
      </c>
      <c r="AW168" s="160">
        <f>$G168</f>
        <v>10528</v>
      </c>
      <c r="AX168" s="160">
        <f>$H168</f>
        <v>12090</v>
      </c>
      <c r="AY168" s="160">
        <f>$I168</f>
        <v>3761</v>
      </c>
      <c r="AZ168" s="160">
        <f>$J168</f>
        <v>3685</v>
      </c>
      <c r="BA168" s="160">
        <f t="shared" si="346"/>
        <v>3317</v>
      </c>
      <c r="BB168" s="160">
        <f>$L168</f>
        <v>4009</v>
      </c>
      <c r="BC168" s="160">
        <f>$M168</f>
        <v>3190</v>
      </c>
      <c r="BD168" s="196">
        <f>BC168/AY168-1</f>
        <v>-0.15182132411592664</v>
      </c>
      <c r="BE168" s="64"/>
      <c r="BF168" s="160">
        <f>$E168</f>
        <v>6085</v>
      </c>
      <c r="BG168" s="160">
        <f>$F168</f>
        <v>6523</v>
      </c>
      <c r="BH168" s="160">
        <f>$G168</f>
        <v>10528</v>
      </c>
      <c r="BI168" s="160">
        <f>$H168</f>
        <v>12090</v>
      </c>
      <c r="BJ168" s="160">
        <f>$I168</f>
        <v>3761</v>
      </c>
      <c r="BK168" s="160">
        <f>$J168</f>
        <v>3685</v>
      </c>
      <c r="BL168" s="160">
        <f t="shared" si="347"/>
        <v>3317</v>
      </c>
      <c r="BM168" s="160">
        <f>$L168</f>
        <v>4009</v>
      </c>
      <c r="BN168" s="160">
        <f>$M168</f>
        <v>3190</v>
      </c>
      <c r="BO168" s="64"/>
    </row>
    <row r="169" spans="2:67" ht="14" x14ac:dyDescent="0.3">
      <c r="C169" s="65"/>
      <c r="D169" s="77"/>
      <c r="E169" s="224"/>
      <c r="F169" s="224"/>
      <c r="G169" s="224"/>
      <c r="H169" s="224"/>
      <c r="I169" s="224"/>
      <c r="J169" s="224"/>
      <c r="K169" s="224"/>
      <c r="L169" s="224"/>
      <c r="M169" s="224"/>
      <c r="P169" s="162"/>
      <c r="Q169" s="162"/>
      <c r="R169" s="162"/>
      <c r="S169" s="162"/>
      <c r="T169" s="162"/>
      <c r="U169" s="162"/>
      <c r="V169" s="162"/>
      <c r="W169" s="162"/>
      <c r="X169" s="162"/>
      <c r="Z169" s="64"/>
      <c r="AA169" s="162"/>
      <c r="AB169" s="162"/>
      <c r="AC169" s="162"/>
      <c r="AD169" s="162"/>
      <c r="AE169" s="162"/>
      <c r="AF169" s="162"/>
      <c r="AG169" s="162"/>
      <c r="AH169" s="162"/>
      <c r="AI169" s="162"/>
      <c r="AJ169" s="64"/>
      <c r="AK169" s="162"/>
      <c r="AL169" s="162"/>
      <c r="AM169" s="162"/>
      <c r="AN169" s="162"/>
      <c r="AO169" s="162"/>
      <c r="AP169" s="162"/>
      <c r="AQ169" s="162"/>
      <c r="AR169" s="162"/>
      <c r="AS169" s="162"/>
      <c r="AT169" s="64"/>
      <c r="AU169" s="162"/>
      <c r="AV169" s="162"/>
      <c r="AW169" s="162"/>
      <c r="AX169" s="162"/>
      <c r="AY169" s="162"/>
      <c r="AZ169" s="162"/>
      <c r="BA169" s="162"/>
      <c r="BB169" s="162"/>
      <c r="BC169" s="162"/>
      <c r="BE169" s="64"/>
      <c r="BF169" s="162"/>
      <c r="BG169" s="162"/>
      <c r="BH169" s="162"/>
      <c r="BI169" s="162"/>
      <c r="BJ169" s="162"/>
      <c r="BK169" s="162"/>
      <c r="BL169" s="162"/>
      <c r="BM169" s="162"/>
      <c r="BN169" s="162"/>
      <c r="BO169" s="64"/>
    </row>
    <row r="170" spans="2:67" x14ac:dyDescent="0.3">
      <c r="C170" s="65" t="s">
        <v>122</v>
      </c>
      <c r="D170" s="77"/>
      <c r="E170" s="98">
        <v>895325.21000000008</v>
      </c>
      <c r="F170" s="98">
        <v>976554.68900000001</v>
      </c>
      <c r="G170" s="98">
        <v>1029517.4450000001</v>
      </c>
      <c r="H170" s="98">
        <v>1137845.92</v>
      </c>
      <c r="I170" s="98">
        <v>1232774.5019999999</v>
      </c>
      <c r="J170" s="98">
        <v>1264978.851</v>
      </c>
      <c r="K170" s="98">
        <v>1296432.9739999999</v>
      </c>
      <c r="L170" s="98">
        <v>1439337.003</v>
      </c>
      <c r="M170" s="98">
        <v>1795353.9670000002</v>
      </c>
      <c r="N170" s="196">
        <f>M170/I170-1</f>
        <v>0.45635228834413422</v>
      </c>
      <c r="P170" s="160">
        <f>$E170</f>
        <v>895325.21000000008</v>
      </c>
      <c r="Q170" s="160">
        <f>$F170</f>
        <v>976554.68900000001</v>
      </c>
      <c r="R170" s="160">
        <f>$G170</f>
        <v>1029517.4450000001</v>
      </c>
      <c r="S170" s="160">
        <f>$H170</f>
        <v>1137845.92</v>
      </c>
      <c r="T170" s="160">
        <f>$I170</f>
        <v>1232774.5019999999</v>
      </c>
      <c r="U170" s="160">
        <f>$J170</f>
        <v>1264978.851</v>
      </c>
      <c r="V170" s="160">
        <f t="shared" ref="V170:X171" si="348">$K170</f>
        <v>1296432.9739999999</v>
      </c>
      <c r="W170" s="160">
        <f>$L170</f>
        <v>1439337.003</v>
      </c>
      <c r="X170" s="160">
        <f>$M170</f>
        <v>1795353.9670000002</v>
      </c>
      <c r="Y170" s="196">
        <f>X170/T170-1</f>
        <v>0.45635228834413422</v>
      </c>
      <c r="Z170" s="64"/>
      <c r="AA170" s="160">
        <f>$E170</f>
        <v>895325.21000000008</v>
      </c>
      <c r="AB170" s="160">
        <f>$F170</f>
        <v>976554.68900000001</v>
      </c>
      <c r="AC170" s="160">
        <f>$G170</f>
        <v>1029517.4450000001</v>
      </c>
      <c r="AD170" s="160">
        <f>$H170</f>
        <v>1137845.92</v>
      </c>
      <c r="AE170" s="160">
        <f>$I170</f>
        <v>1232774.5019999999</v>
      </c>
      <c r="AF170" s="160">
        <f>$J170</f>
        <v>1264978.851</v>
      </c>
      <c r="AG170" s="160">
        <f t="shared" ref="AG170:AI171" si="349">$K170</f>
        <v>1296432.9739999999</v>
      </c>
      <c r="AH170" s="160">
        <f>$L170</f>
        <v>1439337.003</v>
      </c>
      <c r="AI170" s="160">
        <f>$M170</f>
        <v>1795353.9670000002</v>
      </c>
      <c r="AJ170" s="64"/>
      <c r="AK170" s="160">
        <f>$E170</f>
        <v>895325.21000000008</v>
      </c>
      <c r="AL170" s="160">
        <f>$F170</f>
        <v>976554.68900000001</v>
      </c>
      <c r="AM170" s="160">
        <f>$G170</f>
        <v>1029517.4450000001</v>
      </c>
      <c r="AN170" s="160">
        <f>$H170</f>
        <v>1137845.92</v>
      </c>
      <c r="AO170" s="160">
        <f>$I170</f>
        <v>1232774.5019999999</v>
      </c>
      <c r="AP170" s="160">
        <f>$J170</f>
        <v>1264978.851</v>
      </c>
      <c r="AQ170" s="160">
        <f t="shared" ref="AQ170:AS171" si="350">$K170</f>
        <v>1296432.9739999999</v>
      </c>
      <c r="AR170" s="160">
        <f>$L170</f>
        <v>1439337.003</v>
      </c>
      <c r="AS170" s="160">
        <f>$M170</f>
        <v>1795353.9670000002</v>
      </c>
      <c r="AT170" s="64"/>
      <c r="AU170" s="160">
        <f>$E170</f>
        <v>895325.21000000008</v>
      </c>
      <c r="AV170" s="160">
        <f>$F170</f>
        <v>976554.68900000001</v>
      </c>
      <c r="AW170" s="160">
        <f>$G170</f>
        <v>1029517.4450000001</v>
      </c>
      <c r="AX170" s="160">
        <f>$H170</f>
        <v>1137845.92</v>
      </c>
      <c r="AY170" s="160">
        <f>$I170</f>
        <v>1232774.5019999999</v>
      </c>
      <c r="AZ170" s="160">
        <f>$J170</f>
        <v>1264978.851</v>
      </c>
      <c r="BA170" s="160">
        <f t="shared" ref="BA170:BC171" si="351">$K170</f>
        <v>1296432.9739999999</v>
      </c>
      <c r="BB170" s="160">
        <f>$L170</f>
        <v>1439337.003</v>
      </c>
      <c r="BC170" s="160">
        <f>$M170</f>
        <v>1795353.9670000002</v>
      </c>
      <c r="BD170" s="196">
        <f>BC170/AY170-1</f>
        <v>0.45635228834413422</v>
      </c>
      <c r="BE170" s="64"/>
      <c r="BF170" s="160">
        <f>$E170</f>
        <v>895325.21000000008</v>
      </c>
      <c r="BG170" s="160">
        <f>$F170</f>
        <v>976554.68900000001</v>
      </c>
      <c r="BH170" s="160">
        <f>$G170</f>
        <v>1029517.4450000001</v>
      </c>
      <c r="BI170" s="160">
        <f>$H170</f>
        <v>1137845.92</v>
      </c>
      <c r="BJ170" s="160">
        <f>$I170</f>
        <v>1232774.5019999999</v>
      </c>
      <c r="BK170" s="160">
        <f>$J170</f>
        <v>1264978.851</v>
      </c>
      <c r="BL170" s="160">
        <f t="shared" ref="BL170:BN171" si="352">$K170</f>
        <v>1296432.9739999999</v>
      </c>
      <c r="BM170" s="160">
        <f>$L170</f>
        <v>1439337.003</v>
      </c>
      <c r="BN170" s="160">
        <f>$M170</f>
        <v>1795353.9670000002</v>
      </c>
      <c r="BO170" s="64"/>
    </row>
    <row r="171" spans="2:67" x14ac:dyDescent="0.3">
      <c r="C171" s="65" t="s">
        <v>133</v>
      </c>
      <c r="D171" s="77"/>
      <c r="E171" s="98">
        <v>216305.49028</v>
      </c>
      <c r="F171" s="98">
        <v>238348.16954</v>
      </c>
      <c r="G171" s="98">
        <v>237447.18884000002</v>
      </c>
      <c r="H171" s="98">
        <v>254340</v>
      </c>
      <c r="I171" s="98">
        <v>187874.35934</v>
      </c>
      <c r="J171" s="98">
        <v>191646.30601</v>
      </c>
      <c r="K171" s="98">
        <v>58087</v>
      </c>
      <c r="L171" s="98">
        <v>84248.850290000002</v>
      </c>
      <c r="M171" s="98">
        <v>94925.991319999986</v>
      </c>
      <c r="N171" s="196">
        <f>M171/I171-1</f>
        <v>-0.49473684619086034</v>
      </c>
      <c r="P171" s="160">
        <f>$E171</f>
        <v>216305.49028</v>
      </c>
      <c r="Q171" s="160">
        <f>$F171</f>
        <v>238348.16954</v>
      </c>
      <c r="R171" s="160">
        <f>$G171</f>
        <v>237447.18884000002</v>
      </c>
      <c r="S171" s="160">
        <f>$H171</f>
        <v>254340</v>
      </c>
      <c r="T171" s="160">
        <f>$I171</f>
        <v>187874.35934</v>
      </c>
      <c r="U171" s="160">
        <f>$J171</f>
        <v>191646.30601</v>
      </c>
      <c r="V171" s="160">
        <f t="shared" si="348"/>
        <v>58087</v>
      </c>
      <c r="W171" s="160">
        <f>$L171</f>
        <v>84248.850290000002</v>
      </c>
      <c r="X171" s="160">
        <f>$M171</f>
        <v>94925.991319999986</v>
      </c>
      <c r="Y171" s="196">
        <f>X171/T171-1</f>
        <v>-0.49473684619086034</v>
      </c>
      <c r="Z171" s="64"/>
      <c r="AA171" s="160">
        <f>$E171</f>
        <v>216305.49028</v>
      </c>
      <c r="AB171" s="160">
        <f>$F171</f>
        <v>238348.16954</v>
      </c>
      <c r="AC171" s="160">
        <f>$G171</f>
        <v>237447.18884000002</v>
      </c>
      <c r="AD171" s="160">
        <f>$H171</f>
        <v>254340</v>
      </c>
      <c r="AE171" s="160">
        <f>$I171</f>
        <v>187874.35934</v>
      </c>
      <c r="AF171" s="160">
        <f>$J171</f>
        <v>191646.30601</v>
      </c>
      <c r="AG171" s="160">
        <f t="shared" si="349"/>
        <v>58087</v>
      </c>
      <c r="AH171" s="160">
        <f>$L171</f>
        <v>84248.850290000002</v>
      </c>
      <c r="AI171" s="160">
        <f>$M171</f>
        <v>94925.991319999986</v>
      </c>
      <c r="AJ171" s="64"/>
      <c r="AK171" s="160">
        <f>$E171</f>
        <v>216305.49028</v>
      </c>
      <c r="AL171" s="160">
        <f>$F171</f>
        <v>238348.16954</v>
      </c>
      <c r="AM171" s="160">
        <f>$G171</f>
        <v>237447.18884000002</v>
      </c>
      <c r="AN171" s="160">
        <f>$H171</f>
        <v>254340</v>
      </c>
      <c r="AO171" s="160">
        <f>$I171</f>
        <v>187874.35934</v>
      </c>
      <c r="AP171" s="160">
        <f>$J171</f>
        <v>191646.30601</v>
      </c>
      <c r="AQ171" s="160">
        <f t="shared" si="350"/>
        <v>58087</v>
      </c>
      <c r="AR171" s="160">
        <f>$L171</f>
        <v>84248.850290000002</v>
      </c>
      <c r="AS171" s="160">
        <f>$M171</f>
        <v>94925.991319999986</v>
      </c>
      <c r="AT171" s="64"/>
      <c r="AU171" s="160">
        <f>$E171</f>
        <v>216305.49028</v>
      </c>
      <c r="AV171" s="160">
        <f>$F171</f>
        <v>238348.16954</v>
      </c>
      <c r="AW171" s="160">
        <f>$G171</f>
        <v>237447.18884000002</v>
      </c>
      <c r="AX171" s="160">
        <f>$H171</f>
        <v>254340</v>
      </c>
      <c r="AY171" s="160">
        <f>$I171</f>
        <v>187874.35934</v>
      </c>
      <c r="AZ171" s="160">
        <f>$J171</f>
        <v>191646.30601</v>
      </c>
      <c r="BA171" s="160">
        <f t="shared" si="351"/>
        <v>58087</v>
      </c>
      <c r="BB171" s="160">
        <f>$L171</f>
        <v>84248.850290000002</v>
      </c>
      <c r="BC171" s="160">
        <f>$M171</f>
        <v>94925.991319999986</v>
      </c>
      <c r="BD171" s="196">
        <f>BC171/AY171-1</f>
        <v>-0.49473684619086034</v>
      </c>
      <c r="BE171" s="64"/>
      <c r="BF171" s="160">
        <f>$E171</f>
        <v>216305.49028</v>
      </c>
      <c r="BG171" s="160">
        <f>$F171</f>
        <v>238348.16954</v>
      </c>
      <c r="BH171" s="160">
        <f>$G171</f>
        <v>237447.18884000002</v>
      </c>
      <c r="BI171" s="160">
        <f>$H171</f>
        <v>254340</v>
      </c>
      <c r="BJ171" s="160">
        <f>$I171</f>
        <v>187874.35934</v>
      </c>
      <c r="BK171" s="160">
        <f>$J171</f>
        <v>191646.30601</v>
      </c>
      <c r="BL171" s="160">
        <f t="shared" si="352"/>
        <v>58087</v>
      </c>
      <c r="BM171" s="160">
        <f>$L171</f>
        <v>84248.850290000002</v>
      </c>
      <c r="BN171" s="160">
        <f>$M171</f>
        <v>94925.991319999986</v>
      </c>
      <c r="BO171" s="64"/>
    </row>
    <row r="172" spans="2:67" x14ac:dyDescent="0.3">
      <c r="C172" s="65"/>
      <c r="D172" s="77"/>
      <c r="E172" s="62"/>
      <c r="F172" s="62"/>
      <c r="G172" s="62"/>
      <c r="H172" s="62"/>
      <c r="I172" s="62"/>
      <c r="J172" s="62"/>
      <c r="K172" s="62"/>
      <c r="L172" s="62"/>
      <c r="M172" s="62"/>
      <c r="N172" s="131"/>
      <c r="P172" s="91"/>
      <c r="Q172" s="91"/>
      <c r="R172" s="91"/>
      <c r="S172" s="91"/>
      <c r="T172" s="91"/>
      <c r="U172" s="91"/>
      <c r="V172" s="91"/>
      <c r="W172" s="91"/>
      <c r="X172" s="91"/>
      <c r="Y172" s="131"/>
      <c r="AA172" s="91"/>
      <c r="AB172" s="91"/>
      <c r="AC172" s="91"/>
      <c r="AD172" s="91"/>
      <c r="AE172" s="91"/>
      <c r="AF172" s="91"/>
      <c r="AG172" s="91"/>
      <c r="AH172" s="91"/>
      <c r="AI172" s="91"/>
      <c r="AK172" s="91"/>
      <c r="AL172" s="91"/>
      <c r="AM172" s="91"/>
      <c r="AN172" s="91"/>
      <c r="AO172" s="91"/>
      <c r="AP172" s="91"/>
      <c r="AQ172" s="91"/>
      <c r="AR172" s="91"/>
      <c r="AS172" s="91"/>
      <c r="AU172" s="91"/>
      <c r="AV172" s="91"/>
      <c r="AW172" s="91"/>
      <c r="AX172" s="91"/>
      <c r="AY172" s="91"/>
      <c r="AZ172" s="91"/>
      <c r="BA172" s="91"/>
      <c r="BB172" s="91"/>
      <c r="BC172" s="91"/>
      <c r="BD172" s="131"/>
      <c r="BF172" s="91"/>
      <c r="BG172" s="91"/>
      <c r="BH172" s="91"/>
      <c r="BI172" s="91"/>
      <c r="BJ172" s="91"/>
      <c r="BK172" s="91"/>
      <c r="BL172" s="91"/>
      <c r="BM172" s="91"/>
      <c r="BN172" s="91"/>
    </row>
    <row r="173" spans="2:67" x14ac:dyDescent="0.3">
      <c r="C173" s="65"/>
      <c r="D173" s="77"/>
      <c r="E173" s="62"/>
      <c r="F173" s="62"/>
      <c r="G173" s="62"/>
      <c r="H173" s="62"/>
      <c r="I173" s="62"/>
      <c r="J173" s="62"/>
      <c r="K173" s="62"/>
      <c r="L173" s="62"/>
      <c r="M173" s="62"/>
      <c r="N173" s="131"/>
      <c r="P173" s="62"/>
      <c r="Q173" s="62"/>
      <c r="R173" s="62"/>
      <c r="S173" s="62"/>
      <c r="T173" s="62"/>
      <c r="U173" s="62"/>
      <c r="V173" s="62"/>
      <c r="W173" s="62"/>
      <c r="X173" s="62"/>
      <c r="Y173" s="131"/>
      <c r="AA173" s="62"/>
      <c r="AB173" s="62"/>
      <c r="AC173" s="62"/>
      <c r="AD173" s="62"/>
      <c r="AE173" s="62"/>
      <c r="AF173" s="62"/>
      <c r="AG173" s="62"/>
      <c r="AH173" s="62"/>
      <c r="AI173" s="62"/>
      <c r="AK173" s="62"/>
      <c r="AL173" s="62"/>
      <c r="AM173" s="62"/>
      <c r="AN173" s="62"/>
      <c r="AO173" s="62"/>
      <c r="AP173" s="62"/>
      <c r="AQ173" s="62"/>
      <c r="AR173" s="62"/>
      <c r="AS173" s="62"/>
      <c r="AU173" s="62"/>
      <c r="AV173" s="62"/>
      <c r="AW173" s="62"/>
      <c r="AX173" s="62"/>
      <c r="AY173" s="62"/>
      <c r="AZ173" s="62"/>
      <c r="BA173" s="62"/>
      <c r="BB173" s="62"/>
      <c r="BC173" s="62"/>
      <c r="BD173" s="131"/>
      <c r="BF173" s="62"/>
      <c r="BG173" s="62"/>
      <c r="BH173" s="62"/>
      <c r="BI173" s="62"/>
      <c r="BJ173" s="62"/>
      <c r="BK173" s="62"/>
      <c r="BL173" s="62"/>
      <c r="BM173" s="62"/>
      <c r="BN173" s="62"/>
    </row>
    <row r="174" spans="2:67" s="85" customFormat="1" x14ac:dyDescent="0.3">
      <c r="B174" s="84"/>
      <c r="C174" s="63" t="s">
        <v>136</v>
      </c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186"/>
      <c r="P174" s="63"/>
      <c r="Q174" s="63"/>
      <c r="R174" s="63"/>
      <c r="S174" s="63"/>
      <c r="T174" s="63"/>
      <c r="U174" s="63"/>
      <c r="V174" s="63"/>
      <c r="W174" s="63"/>
      <c r="X174" s="63"/>
      <c r="Y174" s="186"/>
      <c r="Z174" s="110"/>
      <c r="AA174" s="63"/>
      <c r="AB174" s="63"/>
      <c r="AC174" s="63"/>
      <c r="AD174" s="63"/>
      <c r="AE174" s="63"/>
      <c r="AF174" s="63"/>
      <c r="AG174" s="63"/>
      <c r="AH174" s="63"/>
      <c r="AI174" s="63"/>
      <c r="AJ174" s="110"/>
      <c r="AK174" s="63"/>
      <c r="AL174" s="63"/>
      <c r="AM174" s="63"/>
      <c r="AN174" s="63"/>
      <c r="AO174" s="63"/>
      <c r="AP174" s="63"/>
      <c r="AQ174" s="63"/>
      <c r="AR174" s="63"/>
      <c r="AS174" s="63"/>
      <c r="AT174" s="110"/>
      <c r="AU174" s="63"/>
      <c r="AV174" s="63"/>
      <c r="AW174" s="63"/>
      <c r="AX174" s="63"/>
      <c r="AY174" s="63"/>
      <c r="AZ174" s="63"/>
      <c r="BA174" s="63"/>
      <c r="BB174" s="63"/>
      <c r="BC174" s="63"/>
      <c r="BD174" s="186"/>
      <c r="BE174" s="110"/>
      <c r="BF174" s="63"/>
      <c r="BG174" s="63"/>
      <c r="BH174" s="63"/>
      <c r="BI174" s="63"/>
      <c r="BJ174" s="63"/>
      <c r="BK174" s="63"/>
      <c r="BL174" s="63"/>
      <c r="BM174" s="63"/>
      <c r="BN174" s="63"/>
      <c r="BO174" s="110"/>
    </row>
    <row r="175" spans="2:67" x14ac:dyDescent="0.3">
      <c r="C175" s="36" t="s">
        <v>53</v>
      </c>
      <c r="E175" s="98">
        <v>126316.75577795831</v>
      </c>
      <c r="F175" s="98">
        <v>144175.62309500008</v>
      </c>
      <c r="G175" s="98">
        <v>111321.59396310011</v>
      </c>
      <c r="H175" s="98">
        <v>130361.28546456399</v>
      </c>
      <c r="I175" s="98">
        <v>235963.68198889945</v>
      </c>
      <c r="J175" s="98">
        <v>169512.15474999973</v>
      </c>
      <c r="K175" s="98">
        <v>176737.88034303091</v>
      </c>
      <c r="L175" s="98">
        <v>193805.04245124038</v>
      </c>
      <c r="M175" s="98">
        <v>231738.36836183997</v>
      </c>
      <c r="N175" s="182">
        <f>M175/I175-1</f>
        <v>-1.7906626949728E-2</v>
      </c>
      <c r="P175" s="70">
        <f>$E175</f>
        <v>126316.75577795831</v>
      </c>
      <c r="Q175" s="70">
        <f>$F175</f>
        <v>144175.62309500008</v>
      </c>
      <c r="R175" s="70">
        <f>$G175</f>
        <v>111321.59396310011</v>
      </c>
      <c r="S175" s="70">
        <f>$H175</f>
        <v>130361.28546456399</v>
      </c>
      <c r="T175" s="70">
        <f>$I175</f>
        <v>235963.68198889945</v>
      </c>
      <c r="U175" s="70">
        <f>$J175</f>
        <v>169512.15474999973</v>
      </c>
      <c r="V175" s="70">
        <f t="shared" ref="V175:X176" si="353">$K175</f>
        <v>176737.88034303091</v>
      </c>
      <c r="W175" s="70">
        <f>$L175</f>
        <v>193805.04245124038</v>
      </c>
      <c r="X175" s="70">
        <f>$M175</f>
        <v>231738.36836183997</v>
      </c>
      <c r="Y175" s="182">
        <f>X175/T175-1</f>
        <v>-1.7906626949728E-2</v>
      </c>
      <c r="AA175" s="70">
        <f>$E175</f>
        <v>126316.75577795831</v>
      </c>
      <c r="AB175" s="70">
        <f>$F175</f>
        <v>144175.62309500008</v>
      </c>
      <c r="AC175" s="70">
        <f>$G175</f>
        <v>111321.59396310011</v>
      </c>
      <c r="AD175" s="70">
        <f>$H175</f>
        <v>130361.28546456399</v>
      </c>
      <c r="AE175" s="70">
        <f>$I175</f>
        <v>235963.68198889945</v>
      </c>
      <c r="AF175" s="70">
        <f>$J175</f>
        <v>169512.15474999973</v>
      </c>
      <c r="AG175" s="70">
        <f t="shared" ref="AG175:AI176" si="354">$K175</f>
        <v>176737.88034303091</v>
      </c>
      <c r="AH175" s="70">
        <f>$L175</f>
        <v>193805.04245124038</v>
      </c>
      <c r="AI175" s="70">
        <f>$M175</f>
        <v>231738.36836183997</v>
      </c>
      <c r="AJ175" s="204"/>
      <c r="AK175" s="70">
        <f>$E175</f>
        <v>126316.75577795831</v>
      </c>
      <c r="AL175" s="70">
        <f>$F175</f>
        <v>144175.62309500008</v>
      </c>
      <c r="AM175" s="70">
        <f>$G175</f>
        <v>111321.59396310011</v>
      </c>
      <c r="AN175" s="70">
        <f>$H175</f>
        <v>130361.28546456399</v>
      </c>
      <c r="AO175" s="70">
        <f>$I175</f>
        <v>235963.68198889945</v>
      </c>
      <c r="AP175" s="70">
        <f>$J175</f>
        <v>169512.15474999973</v>
      </c>
      <c r="AQ175" s="70">
        <f t="shared" ref="AQ175:AS176" si="355">$K175</f>
        <v>176737.88034303091</v>
      </c>
      <c r="AR175" s="70">
        <f>$L175</f>
        <v>193805.04245124038</v>
      </c>
      <c r="AS175" s="70">
        <f>$M175</f>
        <v>231738.36836183997</v>
      </c>
      <c r="AU175" s="70">
        <f>$E175</f>
        <v>126316.75577795831</v>
      </c>
      <c r="AV175" s="70">
        <f>$F175</f>
        <v>144175.62309500008</v>
      </c>
      <c r="AW175" s="70">
        <f>$G175</f>
        <v>111321.59396310011</v>
      </c>
      <c r="AX175" s="70">
        <f>$H175</f>
        <v>130361.28546456399</v>
      </c>
      <c r="AY175" s="70">
        <f>$I175</f>
        <v>235963.68198889945</v>
      </c>
      <c r="AZ175" s="70">
        <f>$J175</f>
        <v>169512.15474999973</v>
      </c>
      <c r="BA175" s="70">
        <f t="shared" ref="BA175:BC176" si="356">$K175</f>
        <v>176737.88034303091</v>
      </c>
      <c r="BB175" s="70">
        <f>$L175</f>
        <v>193805.04245124038</v>
      </c>
      <c r="BC175" s="70">
        <f>$M175</f>
        <v>231738.36836183997</v>
      </c>
      <c r="BD175" s="182">
        <f>BC175/AY175-1</f>
        <v>-1.7906626949728E-2</v>
      </c>
      <c r="BE175" s="204"/>
      <c r="BF175" s="70">
        <f>$E175</f>
        <v>126316.75577795831</v>
      </c>
      <c r="BG175" s="70">
        <f>$F175</f>
        <v>144175.62309500008</v>
      </c>
      <c r="BH175" s="70">
        <f>$G175</f>
        <v>111321.59396310011</v>
      </c>
      <c r="BI175" s="70">
        <f>$H175</f>
        <v>130361.28546456399</v>
      </c>
      <c r="BJ175" s="70">
        <f>$I175</f>
        <v>235963.68198889945</v>
      </c>
      <c r="BK175" s="70">
        <f>$J175</f>
        <v>169512.15474999973</v>
      </c>
      <c r="BL175" s="70">
        <f t="shared" ref="BL175:BN176" si="357">$K175</f>
        <v>176737.88034303091</v>
      </c>
      <c r="BM175" s="70">
        <f>$L175</f>
        <v>193805.04245124038</v>
      </c>
      <c r="BN175" s="70">
        <f>$M175</f>
        <v>231738.36836183997</v>
      </c>
    </row>
    <row r="176" spans="2:67" x14ac:dyDescent="0.3">
      <c r="C176" s="36" t="s">
        <v>134</v>
      </c>
      <c r="E176" s="98">
        <v>32348</v>
      </c>
      <c r="F176" s="98">
        <v>15507</v>
      </c>
      <c r="G176" s="98">
        <v>12306</v>
      </c>
      <c r="H176" s="98">
        <v>20294</v>
      </c>
      <c r="I176" s="98">
        <v>18392</v>
      </c>
      <c r="J176" s="98">
        <v>28187</v>
      </c>
      <c r="K176" s="98">
        <v>29436</v>
      </c>
      <c r="L176" s="98">
        <v>34328</v>
      </c>
      <c r="M176" s="98">
        <v>42390</v>
      </c>
      <c r="N176" s="182">
        <f>M176/I176-1</f>
        <v>1.3048064375815573</v>
      </c>
      <c r="P176" s="70">
        <f>$E176</f>
        <v>32348</v>
      </c>
      <c r="Q176" s="70">
        <f>$F176</f>
        <v>15507</v>
      </c>
      <c r="R176" s="70">
        <f>$G176</f>
        <v>12306</v>
      </c>
      <c r="S176" s="70">
        <f>$H176</f>
        <v>20294</v>
      </c>
      <c r="T176" s="70">
        <f>$I176</f>
        <v>18392</v>
      </c>
      <c r="U176" s="70">
        <f>$J176</f>
        <v>28187</v>
      </c>
      <c r="V176" s="70">
        <f t="shared" si="353"/>
        <v>29436</v>
      </c>
      <c r="W176" s="70">
        <f>$L176</f>
        <v>34328</v>
      </c>
      <c r="X176" s="70">
        <f>$M176</f>
        <v>42390</v>
      </c>
      <c r="Y176" s="182">
        <f>X176/T176-1</f>
        <v>1.3048064375815573</v>
      </c>
      <c r="AA176" s="70">
        <f>$E176</f>
        <v>32348</v>
      </c>
      <c r="AB176" s="70">
        <f>$F176</f>
        <v>15507</v>
      </c>
      <c r="AC176" s="70">
        <f>$G176</f>
        <v>12306</v>
      </c>
      <c r="AD176" s="70">
        <f>$H176</f>
        <v>20294</v>
      </c>
      <c r="AE176" s="70">
        <f>$I176</f>
        <v>18392</v>
      </c>
      <c r="AF176" s="70">
        <f>$J176</f>
        <v>28187</v>
      </c>
      <c r="AG176" s="70">
        <f t="shared" si="354"/>
        <v>29436</v>
      </c>
      <c r="AH176" s="70">
        <f>$L176</f>
        <v>34328</v>
      </c>
      <c r="AI176" s="70">
        <f>$M176</f>
        <v>42390</v>
      </c>
      <c r="AK176" s="70">
        <f>$E176</f>
        <v>32348</v>
      </c>
      <c r="AL176" s="70">
        <f>$F176</f>
        <v>15507</v>
      </c>
      <c r="AM176" s="70">
        <f>$G176</f>
        <v>12306</v>
      </c>
      <c r="AN176" s="70">
        <f>$H176</f>
        <v>20294</v>
      </c>
      <c r="AO176" s="70">
        <f>$I176</f>
        <v>18392</v>
      </c>
      <c r="AP176" s="70">
        <f>$J176</f>
        <v>28187</v>
      </c>
      <c r="AQ176" s="70">
        <f t="shared" si="355"/>
        <v>29436</v>
      </c>
      <c r="AR176" s="70">
        <f>$L176</f>
        <v>34328</v>
      </c>
      <c r="AS176" s="70">
        <f>$M176</f>
        <v>42390</v>
      </c>
      <c r="AU176" s="70">
        <f>$E176</f>
        <v>32348</v>
      </c>
      <c r="AV176" s="70">
        <f>$F176</f>
        <v>15507</v>
      </c>
      <c r="AW176" s="70">
        <f>$G176</f>
        <v>12306</v>
      </c>
      <c r="AX176" s="70">
        <f>$H176</f>
        <v>20294</v>
      </c>
      <c r="AY176" s="70">
        <f>$I176</f>
        <v>18392</v>
      </c>
      <c r="AZ176" s="70">
        <f>$J176</f>
        <v>28187</v>
      </c>
      <c r="BA176" s="70">
        <f t="shared" si="356"/>
        <v>29436</v>
      </c>
      <c r="BB176" s="70">
        <f>$L176</f>
        <v>34328</v>
      </c>
      <c r="BC176" s="70">
        <f>$M176</f>
        <v>42390</v>
      </c>
      <c r="BD176" s="182">
        <f>BC176/AY176-1</f>
        <v>1.3048064375815573</v>
      </c>
      <c r="BF176" s="70">
        <f>$E176</f>
        <v>32348</v>
      </c>
      <c r="BG176" s="70">
        <f>$F176</f>
        <v>15507</v>
      </c>
      <c r="BH176" s="70">
        <f>$G176</f>
        <v>12306</v>
      </c>
      <c r="BI176" s="70">
        <f>$H176</f>
        <v>20294</v>
      </c>
      <c r="BJ176" s="70">
        <f>$I176</f>
        <v>18392</v>
      </c>
      <c r="BK176" s="70">
        <f>$J176</f>
        <v>28187</v>
      </c>
      <c r="BL176" s="70">
        <f t="shared" si="357"/>
        <v>29436</v>
      </c>
      <c r="BM176" s="70">
        <f>$L176</f>
        <v>34328</v>
      </c>
      <c r="BN176" s="70">
        <f>$M176</f>
        <v>42390</v>
      </c>
    </row>
    <row r="177" spans="2:67" x14ac:dyDescent="0.3">
      <c r="C177" s="65"/>
      <c r="D177" s="77"/>
      <c r="E177" s="62"/>
      <c r="F177" s="53"/>
      <c r="G177" s="53"/>
      <c r="H177" s="53"/>
      <c r="I177" s="53"/>
      <c r="J177" s="53"/>
      <c r="K177" s="53"/>
      <c r="L177" s="53"/>
      <c r="M177" s="53"/>
      <c r="N177" s="131"/>
      <c r="P177" s="62"/>
      <c r="Q177" s="62"/>
      <c r="R177" s="62"/>
      <c r="S177" s="62"/>
      <c r="T177" s="62"/>
      <c r="U177" s="62"/>
      <c r="V177" s="62"/>
      <c r="W177" s="62"/>
      <c r="X177" s="62"/>
      <c r="Y177" s="131"/>
      <c r="AA177" s="62"/>
      <c r="AB177" s="62"/>
      <c r="AC177" s="62"/>
      <c r="AD177" s="62"/>
      <c r="AE177" s="62"/>
      <c r="AF177" s="62"/>
      <c r="AG177" s="62"/>
      <c r="AH177" s="62"/>
      <c r="AI177" s="62"/>
      <c r="AK177" s="62"/>
      <c r="AL177" s="62"/>
      <c r="AM177" s="62"/>
      <c r="AN177" s="62"/>
      <c r="AO177" s="62"/>
      <c r="AP177" s="62"/>
      <c r="AQ177" s="62"/>
      <c r="AR177" s="62"/>
      <c r="AS177" s="62"/>
      <c r="AU177" s="62"/>
      <c r="AV177" s="62"/>
      <c r="AW177" s="62"/>
      <c r="AX177" s="62"/>
      <c r="AY177" s="62"/>
      <c r="AZ177" s="62"/>
      <c r="BA177" s="62"/>
      <c r="BB177" s="62"/>
      <c r="BC177" s="62"/>
      <c r="BD177" s="131"/>
      <c r="BF177" s="62"/>
      <c r="BG177" s="62"/>
      <c r="BH177" s="62"/>
      <c r="BI177" s="62"/>
      <c r="BJ177" s="62"/>
      <c r="BK177" s="62"/>
      <c r="BL177" s="62"/>
      <c r="BM177" s="62"/>
      <c r="BN177" s="62"/>
    </row>
    <row r="178" spans="2:67" s="82" customFormat="1" x14ac:dyDescent="0.3">
      <c r="B178" s="81"/>
      <c r="C178" s="30" t="s">
        <v>96</v>
      </c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185"/>
      <c r="P178" s="30"/>
      <c r="Q178" s="30"/>
      <c r="R178" s="30"/>
      <c r="S178" s="30"/>
      <c r="T178" s="30"/>
      <c r="U178" s="30"/>
      <c r="V178" s="30"/>
      <c r="W178" s="30"/>
      <c r="X178" s="30"/>
      <c r="Y178" s="185"/>
      <c r="Z178" s="110"/>
      <c r="AA178" s="30"/>
      <c r="AB178" s="30"/>
      <c r="AC178" s="30"/>
      <c r="AD178" s="30"/>
      <c r="AE178" s="30"/>
      <c r="AF178" s="30"/>
      <c r="AG178" s="30"/>
      <c r="AH178" s="30"/>
      <c r="AI178" s="30"/>
      <c r="AJ178" s="110"/>
      <c r="AK178" s="30"/>
      <c r="AL178" s="30"/>
      <c r="AM178" s="30"/>
      <c r="AN178" s="30"/>
      <c r="AO178" s="30"/>
      <c r="AP178" s="30"/>
      <c r="AQ178" s="30"/>
      <c r="AR178" s="30"/>
      <c r="AS178" s="30"/>
      <c r="AT178" s="110"/>
      <c r="AU178" s="30"/>
      <c r="AV178" s="30"/>
      <c r="AW178" s="30"/>
      <c r="AX178" s="30"/>
      <c r="AY178" s="30"/>
      <c r="AZ178" s="30"/>
      <c r="BA178" s="30"/>
      <c r="BB178" s="30"/>
      <c r="BC178" s="30"/>
      <c r="BD178" s="185"/>
      <c r="BE178" s="110"/>
      <c r="BF178" s="30"/>
      <c r="BG178" s="30"/>
      <c r="BH178" s="30"/>
      <c r="BI178" s="30"/>
      <c r="BJ178" s="30"/>
      <c r="BK178" s="30"/>
      <c r="BL178" s="30"/>
      <c r="BM178" s="30"/>
      <c r="BN178" s="30"/>
      <c r="BO178" s="110"/>
    </row>
    <row r="179" spans="2:67" x14ac:dyDescent="0.3">
      <c r="C179" s="36" t="s">
        <v>15</v>
      </c>
      <c r="E179" s="42">
        <f t="shared" ref="E179:M179" si="358">E21</f>
        <v>0</v>
      </c>
      <c r="F179" s="42">
        <f t="shared" si="358"/>
        <v>42512.39360000001</v>
      </c>
      <c r="G179" s="42">
        <f t="shared" si="358"/>
        <v>50209.773939999963</v>
      </c>
      <c r="H179" s="42">
        <f t="shared" si="358"/>
        <v>59099.672640000055</v>
      </c>
      <c r="I179" s="42">
        <f t="shared" si="358"/>
        <v>66832.839473308151</v>
      </c>
      <c r="J179" s="42">
        <f t="shared" si="358"/>
        <v>40126.088380364396</v>
      </c>
      <c r="K179" s="42">
        <f t="shared" si="358"/>
        <v>51024.148507414669</v>
      </c>
      <c r="L179" s="42">
        <f t="shared" si="358"/>
        <v>69540.868812141067</v>
      </c>
      <c r="M179" s="42">
        <f t="shared" si="358"/>
        <v>52163.27242665775</v>
      </c>
      <c r="P179" s="42">
        <f t="shared" ref="P179:X179" si="359">P21</f>
        <v>0</v>
      </c>
      <c r="Q179" s="42">
        <f t="shared" si="359"/>
        <v>38616.692690000003</v>
      </c>
      <c r="R179" s="42">
        <f t="shared" si="359"/>
        <v>46472.287779999962</v>
      </c>
      <c r="S179" s="42">
        <f t="shared" si="359"/>
        <v>55282.285010000051</v>
      </c>
      <c r="T179" s="42">
        <f t="shared" si="359"/>
        <v>63493.249223308143</v>
      </c>
      <c r="U179" s="42">
        <f t="shared" si="359"/>
        <v>37378.543130364393</v>
      </c>
      <c r="V179" s="42">
        <f t="shared" si="359"/>
        <v>48331.277747414671</v>
      </c>
      <c r="W179" s="42">
        <f t="shared" si="359"/>
        <v>67060.685182141067</v>
      </c>
      <c r="X179" s="42">
        <f t="shared" si="359"/>
        <v>49830.293626657753</v>
      </c>
      <c r="AA179" s="42">
        <f t="shared" ref="AA179:AI179" si="360">AA21</f>
        <v>0</v>
      </c>
      <c r="AB179" s="42">
        <f t="shared" si="360"/>
        <v>0</v>
      </c>
      <c r="AC179" s="42">
        <f t="shared" si="360"/>
        <v>0</v>
      </c>
      <c r="AD179" s="42">
        <f t="shared" si="360"/>
        <v>0</v>
      </c>
      <c r="AE179" s="42">
        <f t="shared" si="360"/>
        <v>0</v>
      </c>
      <c r="AF179" s="42">
        <f t="shared" si="360"/>
        <v>0</v>
      </c>
      <c r="AG179" s="42">
        <f t="shared" si="360"/>
        <v>0</v>
      </c>
      <c r="AH179" s="42">
        <f t="shared" si="360"/>
        <v>0</v>
      </c>
      <c r="AI179" s="42">
        <f t="shared" si="360"/>
        <v>0</v>
      </c>
      <c r="AK179" s="42">
        <f t="shared" ref="AK179:AS179" si="361">AK21</f>
        <v>0</v>
      </c>
      <c r="AL179" s="42">
        <f t="shared" si="361"/>
        <v>0</v>
      </c>
      <c r="AM179" s="42">
        <f t="shared" si="361"/>
        <v>0</v>
      </c>
      <c r="AN179" s="42">
        <f t="shared" si="361"/>
        <v>0</v>
      </c>
      <c r="AO179" s="42">
        <f t="shared" si="361"/>
        <v>0</v>
      </c>
      <c r="AP179" s="42">
        <f t="shared" si="361"/>
        <v>0</v>
      </c>
      <c r="AQ179" s="42">
        <f t="shared" si="361"/>
        <v>0</v>
      </c>
      <c r="AR179" s="42">
        <f t="shared" si="361"/>
        <v>0</v>
      </c>
      <c r="AS179" s="42">
        <f t="shared" si="361"/>
        <v>0</v>
      </c>
      <c r="AU179" s="42">
        <f t="shared" ref="AU179:BC179" si="362">AU21</f>
        <v>0</v>
      </c>
      <c r="AV179" s="42">
        <f t="shared" si="362"/>
        <v>0</v>
      </c>
      <c r="AW179" s="42">
        <f t="shared" si="362"/>
        <v>0</v>
      </c>
      <c r="AX179" s="42">
        <f t="shared" si="362"/>
        <v>0</v>
      </c>
      <c r="AY179" s="42">
        <f t="shared" si="362"/>
        <v>0</v>
      </c>
      <c r="AZ179" s="42">
        <f t="shared" si="362"/>
        <v>0</v>
      </c>
      <c r="BA179" s="42">
        <f t="shared" si="362"/>
        <v>0</v>
      </c>
      <c r="BB179" s="42">
        <f t="shared" si="362"/>
        <v>0</v>
      </c>
      <c r="BC179" s="42">
        <f t="shared" si="362"/>
        <v>0</v>
      </c>
      <c r="BF179" s="42">
        <f t="shared" ref="BF179:BN179" si="363">BF21</f>
        <v>0</v>
      </c>
      <c r="BG179" s="42">
        <f t="shared" si="363"/>
        <v>3895.70091</v>
      </c>
      <c r="BH179" s="42">
        <f t="shared" si="363"/>
        <v>3737.486159999999</v>
      </c>
      <c r="BI179" s="42">
        <f t="shared" si="363"/>
        <v>3817.3876299999997</v>
      </c>
      <c r="BJ179" s="42">
        <f t="shared" si="363"/>
        <v>3339.5902500000002</v>
      </c>
      <c r="BK179" s="42">
        <f t="shared" si="363"/>
        <v>2747.5452500000001</v>
      </c>
      <c r="BL179" s="42">
        <f t="shared" si="363"/>
        <v>2692.8707599999989</v>
      </c>
      <c r="BM179" s="42">
        <f t="shared" si="363"/>
        <v>2480.1836300000009</v>
      </c>
      <c r="BN179" s="42">
        <f t="shared" si="363"/>
        <v>2332.9787999999999</v>
      </c>
    </row>
    <row r="180" spans="2:67" x14ac:dyDescent="0.3">
      <c r="C180" s="36" t="s">
        <v>195</v>
      </c>
      <c r="E180" s="140">
        <v>13810</v>
      </c>
      <c r="F180" s="140">
        <v>0</v>
      </c>
      <c r="G180" s="140">
        <v>10364</v>
      </c>
      <c r="H180" s="140">
        <v>0</v>
      </c>
      <c r="I180" s="140">
        <v>12140</v>
      </c>
      <c r="J180" s="140">
        <v>0</v>
      </c>
      <c r="K180" s="140">
        <v>0</v>
      </c>
      <c r="L180" s="140">
        <v>13120</v>
      </c>
      <c r="M180" s="140">
        <v>0</v>
      </c>
      <c r="N180" s="198"/>
      <c r="P180" s="140">
        <f>$E180</f>
        <v>13810</v>
      </c>
      <c r="Q180" s="140">
        <f>$F180</f>
        <v>0</v>
      </c>
      <c r="R180" s="140">
        <f>$G180</f>
        <v>10364</v>
      </c>
      <c r="S180" s="140">
        <f>$H180</f>
        <v>0</v>
      </c>
      <c r="T180" s="140">
        <f>$I180</f>
        <v>12140</v>
      </c>
      <c r="U180" s="140">
        <f>$J180</f>
        <v>0</v>
      </c>
      <c r="V180" s="140">
        <f>$K180</f>
        <v>0</v>
      </c>
      <c r="W180" s="140">
        <f>$L180</f>
        <v>13120</v>
      </c>
      <c r="X180" s="140">
        <f>$M180</f>
        <v>0</v>
      </c>
      <c r="Y180" s="198"/>
      <c r="AA180" s="140">
        <f>$E180</f>
        <v>13810</v>
      </c>
      <c r="AB180" s="140">
        <f>$F180</f>
        <v>0</v>
      </c>
      <c r="AC180" s="140">
        <f>$G180</f>
        <v>10364</v>
      </c>
      <c r="AD180" s="140">
        <f>$H180</f>
        <v>0</v>
      </c>
      <c r="AE180" s="140">
        <f>$I180</f>
        <v>12140</v>
      </c>
      <c r="AF180" s="140">
        <f>$J180</f>
        <v>0</v>
      </c>
      <c r="AG180" s="140">
        <f>$K180</f>
        <v>0</v>
      </c>
      <c r="AH180" s="140">
        <f>$L180</f>
        <v>13120</v>
      </c>
      <c r="AI180" s="140">
        <f>$M180</f>
        <v>0</v>
      </c>
      <c r="AK180" s="140">
        <f>$E180</f>
        <v>13810</v>
      </c>
      <c r="AL180" s="140">
        <f>$F180</f>
        <v>0</v>
      </c>
      <c r="AM180" s="140">
        <f>$G180</f>
        <v>10364</v>
      </c>
      <c r="AN180" s="140">
        <f>$H180</f>
        <v>0</v>
      </c>
      <c r="AO180" s="140">
        <f>$I180</f>
        <v>12140</v>
      </c>
      <c r="AP180" s="140">
        <f>$J180</f>
        <v>0</v>
      </c>
      <c r="AQ180" s="140">
        <f>$K180</f>
        <v>0</v>
      </c>
      <c r="AR180" s="140">
        <f>$L180</f>
        <v>13120</v>
      </c>
      <c r="AS180" s="140">
        <f>$M180</f>
        <v>0</v>
      </c>
      <c r="AU180" s="140">
        <f>$E180</f>
        <v>13810</v>
      </c>
      <c r="AV180" s="140">
        <f>$F180</f>
        <v>0</v>
      </c>
      <c r="AW180" s="140">
        <f>$G180</f>
        <v>10364</v>
      </c>
      <c r="AX180" s="140">
        <f>$H180</f>
        <v>0</v>
      </c>
      <c r="AY180" s="140">
        <f>$I180</f>
        <v>12140</v>
      </c>
      <c r="AZ180" s="140">
        <f>$J180</f>
        <v>0</v>
      </c>
      <c r="BA180" s="140">
        <f>$K180</f>
        <v>0</v>
      </c>
      <c r="BB180" s="140">
        <f>$L180</f>
        <v>13120</v>
      </c>
      <c r="BC180" s="140">
        <f>$M180</f>
        <v>0</v>
      </c>
      <c r="BD180" s="198"/>
      <c r="BF180" s="140">
        <f>$E180</f>
        <v>13810</v>
      </c>
      <c r="BG180" s="140">
        <f>$F180</f>
        <v>0</v>
      </c>
      <c r="BH180" s="140">
        <f>$G180</f>
        <v>10364</v>
      </c>
      <c r="BI180" s="140">
        <f>$H180</f>
        <v>0</v>
      </c>
      <c r="BJ180" s="140">
        <f>$I180</f>
        <v>12140</v>
      </c>
      <c r="BK180" s="140">
        <f>$J180</f>
        <v>0</v>
      </c>
      <c r="BL180" s="140">
        <f>$K180</f>
        <v>0</v>
      </c>
      <c r="BM180" s="140">
        <f>$L180</f>
        <v>13120</v>
      </c>
      <c r="BN180" s="140">
        <f>$M180</f>
        <v>0</v>
      </c>
    </row>
    <row r="181" spans="2:67" x14ac:dyDescent="0.3">
      <c r="C181" s="56" t="s">
        <v>196</v>
      </c>
      <c r="E181" s="57">
        <f t="shared" ref="E181:J181" si="364">E179-E180</f>
        <v>-13810</v>
      </c>
      <c r="F181" s="57">
        <f t="shared" si="364"/>
        <v>42512.39360000001</v>
      </c>
      <c r="G181" s="57">
        <f t="shared" si="364"/>
        <v>39845.773939999963</v>
      </c>
      <c r="H181" s="57">
        <f t="shared" si="364"/>
        <v>59099.672640000055</v>
      </c>
      <c r="I181" s="57">
        <f t="shared" si="364"/>
        <v>54692.839473308151</v>
      </c>
      <c r="J181" s="57">
        <f t="shared" si="364"/>
        <v>40126.088380364396</v>
      </c>
      <c r="K181" s="57">
        <f>K179-K180</f>
        <v>51024.148507414669</v>
      </c>
      <c r="L181" s="57">
        <f>L179-L180</f>
        <v>56420.868812141067</v>
      </c>
      <c r="M181" s="57">
        <f>M179-M180</f>
        <v>52163.27242665775</v>
      </c>
      <c r="N181" s="199"/>
      <c r="P181" s="57">
        <f t="shared" ref="P181:U181" si="365">P179-P180</f>
        <v>-13810</v>
      </c>
      <c r="Q181" s="57">
        <f t="shared" si="365"/>
        <v>38616.692690000003</v>
      </c>
      <c r="R181" s="57">
        <f t="shared" si="365"/>
        <v>36108.287779999962</v>
      </c>
      <c r="S181" s="57">
        <f t="shared" si="365"/>
        <v>55282.285010000051</v>
      </c>
      <c r="T181" s="57">
        <f t="shared" si="365"/>
        <v>51353.249223308143</v>
      </c>
      <c r="U181" s="57">
        <f t="shared" si="365"/>
        <v>37378.543130364393</v>
      </c>
      <c r="V181" s="57">
        <f>V179-V180</f>
        <v>48331.277747414671</v>
      </c>
      <c r="W181" s="57">
        <f>W179-W180</f>
        <v>53940.685182141067</v>
      </c>
      <c r="X181" s="57">
        <f>X179-X180</f>
        <v>49830.293626657753</v>
      </c>
      <c r="Y181" s="199"/>
      <c r="AA181" s="57">
        <f t="shared" ref="AA181:AF181" si="366">AA179-AA180</f>
        <v>-13810</v>
      </c>
      <c r="AB181" s="57">
        <f t="shared" si="366"/>
        <v>0</v>
      </c>
      <c r="AC181" s="57">
        <f t="shared" si="366"/>
        <v>-10364</v>
      </c>
      <c r="AD181" s="57">
        <f t="shared" si="366"/>
        <v>0</v>
      </c>
      <c r="AE181" s="57">
        <f t="shared" si="366"/>
        <v>-12140</v>
      </c>
      <c r="AF181" s="57">
        <f t="shared" si="366"/>
        <v>0</v>
      </c>
      <c r="AG181" s="57">
        <f>AG179-AG180</f>
        <v>0</v>
      </c>
      <c r="AH181" s="57">
        <f>AH179-AH180</f>
        <v>-13120</v>
      </c>
      <c r="AI181" s="57">
        <f>AI179-AI180</f>
        <v>0</v>
      </c>
      <c r="AK181" s="57">
        <f t="shared" ref="AK181:AP181" si="367">AK179-AK180</f>
        <v>-13810</v>
      </c>
      <c r="AL181" s="57">
        <f t="shared" si="367"/>
        <v>0</v>
      </c>
      <c r="AM181" s="57">
        <f t="shared" si="367"/>
        <v>-10364</v>
      </c>
      <c r="AN181" s="57">
        <f t="shared" si="367"/>
        <v>0</v>
      </c>
      <c r="AO181" s="57">
        <f t="shared" si="367"/>
        <v>-12140</v>
      </c>
      <c r="AP181" s="57">
        <f t="shared" si="367"/>
        <v>0</v>
      </c>
      <c r="AQ181" s="57">
        <f>AQ179-AQ180</f>
        <v>0</v>
      </c>
      <c r="AR181" s="57">
        <f>AR179-AR180</f>
        <v>-13120</v>
      </c>
      <c r="AS181" s="57">
        <f>AS179-AS180</f>
        <v>0</v>
      </c>
      <c r="AU181" s="57">
        <f t="shared" ref="AU181:AZ181" si="368">AU179-AU180</f>
        <v>-13810</v>
      </c>
      <c r="AV181" s="57">
        <f t="shared" si="368"/>
        <v>0</v>
      </c>
      <c r="AW181" s="57">
        <f t="shared" si="368"/>
        <v>-10364</v>
      </c>
      <c r="AX181" s="57">
        <f t="shared" si="368"/>
        <v>0</v>
      </c>
      <c r="AY181" s="57">
        <f t="shared" si="368"/>
        <v>-12140</v>
      </c>
      <c r="AZ181" s="57">
        <f t="shared" si="368"/>
        <v>0</v>
      </c>
      <c r="BA181" s="57">
        <f>BA179-BA180</f>
        <v>0</v>
      </c>
      <c r="BB181" s="57">
        <f>BB179-BB180</f>
        <v>-13120</v>
      </c>
      <c r="BC181" s="57">
        <f>BC179-BC180</f>
        <v>0</v>
      </c>
      <c r="BD181" s="199"/>
      <c r="BF181" s="57">
        <f t="shared" ref="BF181:BK181" si="369">BF179-BF180</f>
        <v>-13810</v>
      </c>
      <c r="BG181" s="57">
        <f t="shared" si="369"/>
        <v>3895.70091</v>
      </c>
      <c r="BH181" s="57">
        <f t="shared" si="369"/>
        <v>-6626.5138400000014</v>
      </c>
      <c r="BI181" s="57">
        <f t="shared" si="369"/>
        <v>3817.3876299999997</v>
      </c>
      <c r="BJ181" s="57">
        <f t="shared" si="369"/>
        <v>-8800.4097499999989</v>
      </c>
      <c r="BK181" s="57">
        <f t="shared" si="369"/>
        <v>2747.5452500000001</v>
      </c>
      <c r="BL181" s="57">
        <f>BL179-BL180</f>
        <v>2692.8707599999989</v>
      </c>
      <c r="BM181" s="57">
        <f>BM179-BM180</f>
        <v>-10639.816369999999</v>
      </c>
      <c r="BN181" s="57">
        <f>BN179-BN180</f>
        <v>2332.9787999999999</v>
      </c>
    </row>
    <row r="182" spans="2:67" x14ac:dyDescent="0.3">
      <c r="N182" s="197"/>
      <c r="Y182" s="197"/>
      <c r="BD182" s="197"/>
    </row>
    <row r="183" spans="2:67" x14ac:dyDescent="0.3">
      <c r="C183" s="36" t="s">
        <v>128</v>
      </c>
      <c r="E183" s="42">
        <f t="shared" ref="E183:M183" si="370">E24</f>
        <v>0</v>
      </c>
      <c r="F183" s="42">
        <f t="shared" si="370"/>
        <v>-32166.196959999997</v>
      </c>
      <c r="G183" s="42">
        <f t="shared" si="370"/>
        <v>-26666.022469999996</v>
      </c>
      <c r="H183" s="42">
        <f t="shared" si="370"/>
        <v>-25693.452228474573</v>
      </c>
      <c r="I183" s="42">
        <f t="shared" si="370"/>
        <v>-26382.603418002665</v>
      </c>
      <c r="J183" s="42">
        <f t="shared" si="370"/>
        <v>-19274.7176</v>
      </c>
      <c r="K183" s="42">
        <f t="shared" si="370"/>
        <v>-21829.13200999999</v>
      </c>
      <c r="L183" s="42">
        <f t="shared" si="370"/>
        <v>-33653.910598260874</v>
      </c>
      <c r="M183" s="42">
        <f t="shared" si="370"/>
        <v>-22226.428770257666</v>
      </c>
      <c r="N183" s="197"/>
      <c r="P183" s="42">
        <f t="shared" ref="P183:X183" si="371">P24</f>
        <v>0</v>
      </c>
      <c r="Q183" s="42">
        <f t="shared" si="371"/>
        <v>-32166.196959999997</v>
      </c>
      <c r="R183" s="42">
        <f t="shared" si="371"/>
        <v>-26666.022469999996</v>
      </c>
      <c r="S183" s="42">
        <f t="shared" si="371"/>
        <v>-25693.452228474573</v>
      </c>
      <c r="T183" s="42">
        <f t="shared" si="371"/>
        <v>-26382.603418002665</v>
      </c>
      <c r="U183" s="42">
        <f t="shared" si="371"/>
        <v>-19274.7176</v>
      </c>
      <c r="V183" s="42">
        <f t="shared" si="371"/>
        <v>-21829.13200999999</v>
      </c>
      <c r="W183" s="42">
        <f t="shared" si="371"/>
        <v>-33653.910598260874</v>
      </c>
      <c r="X183" s="42">
        <f t="shared" si="371"/>
        <v>-22226.428770257666</v>
      </c>
      <c r="Y183" s="197"/>
      <c r="AA183" s="42">
        <f t="shared" ref="AA183:AI183" si="372">AA24</f>
        <v>0</v>
      </c>
      <c r="AB183" s="42">
        <f t="shared" si="372"/>
        <v>0</v>
      </c>
      <c r="AC183" s="42">
        <f t="shared" si="372"/>
        <v>0</v>
      </c>
      <c r="AD183" s="42">
        <f t="shared" si="372"/>
        <v>0</v>
      </c>
      <c r="AE183" s="42">
        <f t="shared" si="372"/>
        <v>0</v>
      </c>
      <c r="AF183" s="42">
        <f t="shared" si="372"/>
        <v>0</v>
      </c>
      <c r="AG183" s="42">
        <f t="shared" si="372"/>
        <v>0</v>
      </c>
      <c r="AH183" s="42">
        <f t="shared" si="372"/>
        <v>0</v>
      </c>
      <c r="AI183" s="42">
        <f t="shared" si="372"/>
        <v>0</v>
      </c>
      <c r="AK183" s="42">
        <f t="shared" ref="AK183:AS183" si="373">AK24</f>
        <v>0</v>
      </c>
      <c r="AL183" s="42">
        <f t="shared" si="373"/>
        <v>0</v>
      </c>
      <c r="AM183" s="42">
        <f t="shared" si="373"/>
        <v>0</v>
      </c>
      <c r="AN183" s="42">
        <f t="shared" si="373"/>
        <v>0</v>
      </c>
      <c r="AO183" s="42">
        <f t="shared" si="373"/>
        <v>0</v>
      </c>
      <c r="AP183" s="42">
        <f t="shared" si="373"/>
        <v>0</v>
      </c>
      <c r="AQ183" s="42">
        <f t="shared" si="373"/>
        <v>0</v>
      </c>
      <c r="AR183" s="42">
        <f t="shared" si="373"/>
        <v>0</v>
      </c>
      <c r="AS183" s="42">
        <f t="shared" si="373"/>
        <v>0</v>
      </c>
      <c r="AU183" s="42">
        <f t="shared" ref="AU183:BC183" si="374">AU24</f>
        <v>0</v>
      </c>
      <c r="AV183" s="42">
        <f t="shared" si="374"/>
        <v>0</v>
      </c>
      <c r="AW183" s="42">
        <f t="shared" si="374"/>
        <v>0</v>
      </c>
      <c r="AX183" s="42">
        <f t="shared" si="374"/>
        <v>0</v>
      </c>
      <c r="AY183" s="42">
        <f t="shared" si="374"/>
        <v>0</v>
      </c>
      <c r="AZ183" s="42">
        <f t="shared" si="374"/>
        <v>0</v>
      </c>
      <c r="BA183" s="42">
        <f t="shared" si="374"/>
        <v>0</v>
      </c>
      <c r="BB183" s="42">
        <f t="shared" si="374"/>
        <v>0</v>
      </c>
      <c r="BC183" s="42">
        <f t="shared" si="374"/>
        <v>0</v>
      </c>
      <c r="BD183" s="197"/>
      <c r="BF183" s="42">
        <f t="shared" ref="BF183:BN183" si="375">BF24</f>
        <v>0</v>
      </c>
      <c r="BG183" s="42">
        <f t="shared" si="375"/>
        <v>0</v>
      </c>
      <c r="BH183" s="42">
        <f t="shared" si="375"/>
        <v>0</v>
      </c>
      <c r="BI183" s="42">
        <f t="shared" si="375"/>
        <v>0</v>
      </c>
      <c r="BJ183" s="42">
        <f t="shared" si="375"/>
        <v>0</v>
      </c>
      <c r="BK183" s="42">
        <f t="shared" si="375"/>
        <v>0</v>
      </c>
      <c r="BL183" s="42">
        <f t="shared" si="375"/>
        <v>0</v>
      </c>
      <c r="BM183" s="42">
        <f t="shared" si="375"/>
        <v>0</v>
      </c>
      <c r="BN183" s="42">
        <f t="shared" si="375"/>
        <v>0</v>
      </c>
    </row>
    <row r="184" spans="2:67" x14ac:dyDescent="0.3">
      <c r="C184" s="36" t="s">
        <v>97</v>
      </c>
      <c r="E184" s="140">
        <v>-6745</v>
      </c>
      <c r="F184" s="140">
        <v>-1306.694</v>
      </c>
      <c r="G184" s="140">
        <v>-4113.2862100000002</v>
      </c>
      <c r="H184" s="140">
        <v>-1883.52917</v>
      </c>
      <c r="I184" s="140">
        <v>-4163.8719500000007</v>
      </c>
      <c r="J184" s="140">
        <v>-1679.5621299999998</v>
      </c>
      <c r="K184" s="140">
        <v>-1452.1101600000002</v>
      </c>
      <c r="L184" s="140">
        <v>-3669.7935599999996</v>
      </c>
      <c r="M184" s="140">
        <v>-698.74857000000065</v>
      </c>
      <c r="N184" s="198"/>
      <c r="O184" s="38"/>
      <c r="P184" s="140">
        <f>$E184</f>
        <v>-6745</v>
      </c>
      <c r="Q184" s="140">
        <f>$F184</f>
        <v>-1306.694</v>
      </c>
      <c r="R184" s="140">
        <f>$G184</f>
        <v>-4113.2862100000002</v>
      </c>
      <c r="S184" s="140">
        <f>$H184</f>
        <v>-1883.52917</v>
      </c>
      <c r="T184" s="140">
        <f>$I184</f>
        <v>-4163.8719500000007</v>
      </c>
      <c r="U184" s="140">
        <f>$J184</f>
        <v>-1679.5621299999998</v>
      </c>
      <c r="V184" s="140">
        <f>$K184</f>
        <v>-1452.1101600000002</v>
      </c>
      <c r="W184" s="140">
        <f>$L184</f>
        <v>-3669.7935599999996</v>
      </c>
      <c r="X184" s="140">
        <f>$M184</f>
        <v>-698.74857000000065</v>
      </c>
      <c r="Y184" s="198"/>
      <c r="AA184" s="140">
        <f>$E184</f>
        <v>-6745</v>
      </c>
      <c r="AB184" s="140">
        <f>$F184</f>
        <v>-1306.694</v>
      </c>
      <c r="AC184" s="140">
        <f>$G184</f>
        <v>-4113.2862100000002</v>
      </c>
      <c r="AD184" s="140">
        <f>$H184</f>
        <v>-1883.52917</v>
      </c>
      <c r="AE184" s="140">
        <f>$I184</f>
        <v>-4163.8719500000007</v>
      </c>
      <c r="AF184" s="140">
        <f>$J184</f>
        <v>-1679.5621299999998</v>
      </c>
      <c r="AG184" s="140">
        <f>$K184</f>
        <v>-1452.1101600000002</v>
      </c>
      <c r="AH184" s="140">
        <f>$L184</f>
        <v>-3669.7935599999996</v>
      </c>
      <c r="AI184" s="140">
        <f>$M184</f>
        <v>-698.74857000000065</v>
      </c>
      <c r="AK184" s="140">
        <f>$E184</f>
        <v>-6745</v>
      </c>
      <c r="AL184" s="140">
        <f>$F184</f>
        <v>-1306.694</v>
      </c>
      <c r="AM184" s="140">
        <f>$G184</f>
        <v>-4113.2862100000002</v>
      </c>
      <c r="AN184" s="140">
        <f>$H184</f>
        <v>-1883.52917</v>
      </c>
      <c r="AO184" s="140">
        <f>$I184</f>
        <v>-4163.8719500000007</v>
      </c>
      <c r="AP184" s="140">
        <f>$J184</f>
        <v>-1679.5621299999998</v>
      </c>
      <c r="AQ184" s="140">
        <f>$K184</f>
        <v>-1452.1101600000002</v>
      </c>
      <c r="AR184" s="140">
        <f>$L184</f>
        <v>-3669.7935599999996</v>
      </c>
      <c r="AS184" s="140">
        <f>$M184</f>
        <v>-698.74857000000065</v>
      </c>
      <c r="AU184" s="140">
        <f>$E184</f>
        <v>-6745</v>
      </c>
      <c r="AV184" s="140">
        <f>$F184</f>
        <v>-1306.694</v>
      </c>
      <c r="AW184" s="140">
        <f>$G184</f>
        <v>-4113.2862100000002</v>
      </c>
      <c r="AX184" s="140">
        <f>$H184</f>
        <v>-1883.52917</v>
      </c>
      <c r="AY184" s="140">
        <f>$I184</f>
        <v>-4163.8719500000007</v>
      </c>
      <c r="AZ184" s="140">
        <f>$J184</f>
        <v>-1679.5621299999998</v>
      </c>
      <c r="BA184" s="140">
        <f>$K184</f>
        <v>-1452.1101600000002</v>
      </c>
      <c r="BB184" s="140">
        <f>$L184</f>
        <v>-3669.7935599999996</v>
      </c>
      <c r="BC184" s="140">
        <f>$M184</f>
        <v>-698.74857000000065</v>
      </c>
      <c r="BD184" s="198"/>
      <c r="BF184" s="140">
        <f>$E184</f>
        <v>-6745</v>
      </c>
      <c r="BG184" s="140">
        <f>$F184</f>
        <v>-1306.694</v>
      </c>
      <c r="BH184" s="140">
        <f>$G184</f>
        <v>-4113.2862100000002</v>
      </c>
      <c r="BI184" s="140">
        <f>$H184</f>
        <v>-1883.52917</v>
      </c>
      <c r="BJ184" s="140">
        <f>$I184</f>
        <v>-4163.8719500000007</v>
      </c>
      <c r="BK184" s="140">
        <f>$J184</f>
        <v>-1679.5621299999998</v>
      </c>
      <c r="BL184" s="140">
        <f>$K184</f>
        <v>-1452.1101600000002</v>
      </c>
      <c r="BM184" s="140">
        <f>$L184</f>
        <v>-3669.7935599999996</v>
      </c>
      <c r="BN184" s="140">
        <f>$M184</f>
        <v>-698.74857000000065</v>
      </c>
    </row>
    <row r="185" spans="2:67" x14ac:dyDescent="0.3">
      <c r="C185" s="56" t="s">
        <v>98</v>
      </c>
      <c r="E185" s="57">
        <f t="shared" ref="E185:J185" si="376">E183-E184</f>
        <v>6745</v>
      </c>
      <c r="F185" s="57">
        <f t="shared" si="376"/>
        <v>-30859.502959999998</v>
      </c>
      <c r="G185" s="57">
        <f t="shared" si="376"/>
        <v>-22552.736259999998</v>
      </c>
      <c r="H185" s="57">
        <f t="shared" si="376"/>
        <v>-23809.923058474571</v>
      </c>
      <c r="I185" s="57">
        <f t="shared" si="376"/>
        <v>-22218.731468002665</v>
      </c>
      <c r="J185" s="57">
        <f t="shared" si="376"/>
        <v>-17595.155470000002</v>
      </c>
      <c r="K185" s="57">
        <f>K183-K184</f>
        <v>-20377.02184999999</v>
      </c>
      <c r="L185" s="57">
        <f>L183-L184</f>
        <v>-29984.117038260876</v>
      </c>
      <c r="M185" s="57">
        <f>M183-M184</f>
        <v>-21527.680200257666</v>
      </c>
      <c r="N185" s="176"/>
      <c r="P185" s="57">
        <f t="shared" ref="P185:U185" si="377">P183-P184</f>
        <v>6745</v>
      </c>
      <c r="Q185" s="57">
        <f t="shared" si="377"/>
        <v>-30859.502959999998</v>
      </c>
      <c r="R185" s="57">
        <f t="shared" si="377"/>
        <v>-22552.736259999998</v>
      </c>
      <c r="S185" s="57">
        <f t="shared" si="377"/>
        <v>-23809.923058474571</v>
      </c>
      <c r="T185" s="57">
        <f t="shared" si="377"/>
        <v>-22218.731468002665</v>
      </c>
      <c r="U185" s="57">
        <f t="shared" si="377"/>
        <v>-17595.155470000002</v>
      </c>
      <c r="V185" s="57">
        <f>V183-V184</f>
        <v>-20377.02184999999</v>
      </c>
      <c r="W185" s="57">
        <f>W183-W184</f>
        <v>-29984.117038260876</v>
      </c>
      <c r="X185" s="57">
        <f>X183-X184</f>
        <v>-21527.680200257666</v>
      </c>
      <c r="Y185" s="176"/>
      <c r="AA185" s="57">
        <f t="shared" ref="AA185:AF185" si="378">AA183-AA184</f>
        <v>6745</v>
      </c>
      <c r="AB185" s="57">
        <f t="shared" si="378"/>
        <v>1306.694</v>
      </c>
      <c r="AC185" s="57">
        <f t="shared" si="378"/>
        <v>4113.2862100000002</v>
      </c>
      <c r="AD185" s="57">
        <f t="shared" si="378"/>
        <v>1883.52917</v>
      </c>
      <c r="AE185" s="57">
        <f t="shared" si="378"/>
        <v>4163.8719500000007</v>
      </c>
      <c r="AF185" s="57">
        <f t="shared" si="378"/>
        <v>1679.5621299999998</v>
      </c>
      <c r="AG185" s="57">
        <f>AG183-AG184</f>
        <v>1452.1101600000002</v>
      </c>
      <c r="AH185" s="57">
        <f>AH183-AH184</f>
        <v>3669.7935599999996</v>
      </c>
      <c r="AI185" s="57">
        <f>AI183-AI184</f>
        <v>698.74857000000065</v>
      </c>
      <c r="AK185" s="57">
        <f t="shared" ref="AK185:AP185" si="379">AK183-AK184</f>
        <v>6745</v>
      </c>
      <c r="AL185" s="57">
        <f t="shared" si="379"/>
        <v>1306.694</v>
      </c>
      <c r="AM185" s="57">
        <f t="shared" si="379"/>
        <v>4113.2862100000002</v>
      </c>
      <c r="AN185" s="57">
        <f t="shared" si="379"/>
        <v>1883.52917</v>
      </c>
      <c r="AO185" s="57">
        <f t="shared" si="379"/>
        <v>4163.8719500000007</v>
      </c>
      <c r="AP185" s="57">
        <f t="shared" si="379"/>
        <v>1679.5621299999998</v>
      </c>
      <c r="AQ185" s="57">
        <f>AQ183-AQ184</f>
        <v>1452.1101600000002</v>
      </c>
      <c r="AR185" s="57">
        <f>AR183-AR184</f>
        <v>3669.7935599999996</v>
      </c>
      <c r="AS185" s="57">
        <f>AS183-AS184</f>
        <v>698.74857000000065</v>
      </c>
      <c r="AU185" s="57">
        <f t="shared" ref="AU185:AZ185" si="380">AU183-AU184</f>
        <v>6745</v>
      </c>
      <c r="AV185" s="57">
        <f t="shared" si="380"/>
        <v>1306.694</v>
      </c>
      <c r="AW185" s="57">
        <f t="shared" si="380"/>
        <v>4113.2862100000002</v>
      </c>
      <c r="AX185" s="57">
        <f t="shared" si="380"/>
        <v>1883.52917</v>
      </c>
      <c r="AY185" s="57">
        <f t="shared" si="380"/>
        <v>4163.8719500000007</v>
      </c>
      <c r="AZ185" s="57">
        <f t="shared" si="380"/>
        <v>1679.5621299999998</v>
      </c>
      <c r="BA185" s="57">
        <f>BA183-BA184</f>
        <v>1452.1101600000002</v>
      </c>
      <c r="BB185" s="57">
        <f>BB183-BB184</f>
        <v>3669.7935599999996</v>
      </c>
      <c r="BC185" s="57">
        <f>BC183-BC184</f>
        <v>698.74857000000065</v>
      </c>
      <c r="BD185" s="176"/>
      <c r="BF185" s="57">
        <f t="shared" ref="BF185:BK185" si="381">BF183-BF184</f>
        <v>6745</v>
      </c>
      <c r="BG185" s="57">
        <f t="shared" si="381"/>
        <v>1306.694</v>
      </c>
      <c r="BH185" s="57">
        <f t="shared" si="381"/>
        <v>4113.2862100000002</v>
      </c>
      <c r="BI185" s="57">
        <f t="shared" si="381"/>
        <v>1883.52917</v>
      </c>
      <c r="BJ185" s="57">
        <f t="shared" si="381"/>
        <v>4163.8719500000007</v>
      </c>
      <c r="BK185" s="57">
        <f t="shared" si="381"/>
        <v>1679.5621299999998</v>
      </c>
      <c r="BL185" s="57">
        <f>BL183-BL184</f>
        <v>1452.1101600000002</v>
      </c>
      <c r="BM185" s="57">
        <f>BM183-BM184</f>
        <v>3669.7935599999996</v>
      </c>
      <c r="BN185" s="57">
        <f>BN183-BN184</f>
        <v>698.74857000000065</v>
      </c>
    </row>
    <row r="190" spans="2:67" x14ac:dyDescent="0.3">
      <c r="F190" s="229"/>
    </row>
    <row r="191" spans="2:67" x14ac:dyDescent="0.3">
      <c r="F191" s="133"/>
    </row>
    <row r="192" spans="2:67" x14ac:dyDescent="0.3">
      <c r="F192" s="38"/>
      <c r="N192" s="201"/>
    </row>
    <row r="193" spans="6:6" x14ac:dyDescent="0.3">
      <c r="F193" s="42"/>
    </row>
  </sheetData>
  <pageMargins left="0.7" right="0.7" top="1.3149999999999999" bottom="0.75" header="0.3" footer="0.3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B9021-EF02-4DE0-84C8-27CDB197DE79}">
  <sheetPr>
    <tabColor theme="5"/>
  </sheetPr>
  <dimension ref="B2:AK185"/>
  <sheetViews>
    <sheetView showGridLines="0" zoomScale="115" zoomScaleNormal="115" workbookViewId="0">
      <pane xSplit="3" ySplit="3" topLeftCell="D70" activePane="bottomRight" state="frozen"/>
      <selection activeCell="G5" sqref="G5"/>
      <selection pane="topRight" activeCell="G5" sqref="G5"/>
      <selection pane="bottomLeft" activeCell="G5" sqref="G5"/>
      <selection pane="bottomRight" activeCell="O71" sqref="O71"/>
    </sheetView>
  </sheetViews>
  <sheetFormatPr defaultColWidth="8.81640625" defaultRowHeight="13" x14ac:dyDescent="0.3"/>
  <cols>
    <col min="1" max="1" width="2.54296875" style="36" customWidth="1"/>
    <col min="2" max="2" width="4.1796875" style="36" bestFit="1" customWidth="1"/>
    <col min="3" max="3" width="38.54296875" style="36" bestFit="1" customWidth="1"/>
    <col min="4" max="4" width="6.81640625" style="110" bestFit="1" customWidth="1"/>
    <col min="5" max="8" width="13.81640625" style="36" customWidth="1"/>
    <col min="9" max="9" width="13.81640625" style="132" bestFit="1" customWidth="1"/>
    <col min="10" max="10" width="5" style="36" bestFit="1" customWidth="1"/>
    <col min="11" max="14" width="13.81640625" style="36" customWidth="1"/>
    <col min="15" max="15" width="13.81640625" style="132" bestFit="1" customWidth="1"/>
    <col min="16" max="16" width="4.1796875" style="36" bestFit="1" customWidth="1"/>
    <col min="17" max="20" width="13.81640625" style="36" customWidth="1"/>
    <col min="21" max="21" width="3.26953125" style="36" customWidth="1"/>
    <col min="22" max="25" width="13.81640625" style="36" customWidth="1"/>
    <col min="26" max="26" width="1.26953125" style="36" customWidth="1"/>
    <col min="27" max="30" width="13.81640625" style="36" customWidth="1"/>
    <col min="31" max="31" width="13.81640625" style="133" customWidth="1"/>
    <col min="32" max="32" width="5.54296875" style="36" bestFit="1" customWidth="1"/>
    <col min="33" max="36" width="13.81640625" style="36" customWidth="1"/>
    <col min="37" max="37" width="1.54296875" style="36" customWidth="1"/>
    <col min="38" max="16384" width="8.81640625" style="36"/>
  </cols>
  <sheetData>
    <row r="2" spans="2:37" s="32" customFormat="1" ht="14.5" customHeight="1" x14ac:dyDescent="0.3">
      <c r="B2" s="139"/>
      <c r="C2" s="30" t="s">
        <v>73</v>
      </c>
      <c r="D2" s="30"/>
      <c r="E2" s="136"/>
      <c r="F2" s="136"/>
      <c r="G2" s="136"/>
      <c r="H2" s="136"/>
      <c r="I2" s="167"/>
      <c r="K2" s="31" t="s">
        <v>240</v>
      </c>
      <c r="L2" s="31"/>
      <c r="M2" s="31"/>
      <c r="N2" s="31"/>
      <c r="O2" s="167"/>
      <c r="P2" s="36"/>
      <c r="Q2" s="31" t="s">
        <v>69</v>
      </c>
      <c r="R2" s="31"/>
      <c r="S2" s="31"/>
      <c r="T2" s="31"/>
      <c r="U2" s="36"/>
      <c r="V2" s="31" t="s">
        <v>70</v>
      </c>
      <c r="W2" s="31"/>
      <c r="X2" s="31"/>
      <c r="Y2" s="31"/>
      <c r="Z2" s="36"/>
      <c r="AA2" s="31" t="s">
        <v>76</v>
      </c>
      <c r="AB2" s="31"/>
      <c r="AC2" s="31"/>
      <c r="AD2" s="31"/>
      <c r="AE2" s="263"/>
      <c r="AF2" s="36"/>
      <c r="AG2" s="31" t="s">
        <v>77</v>
      </c>
      <c r="AH2" s="31"/>
      <c r="AI2" s="31"/>
      <c r="AJ2" s="31"/>
      <c r="AK2" s="36"/>
    </row>
    <row r="3" spans="2:37" s="35" customFormat="1" x14ac:dyDescent="0.3">
      <c r="B3" s="33"/>
      <c r="C3" s="34"/>
      <c r="D3" s="129" t="s">
        <v>148</v>
      </c>
      <c r="E3" s="34" t="s">
        <v>206</v>
      </c>
      <c r="F3" s="34" t="s">
        <v>219</v>
      </c>
      <c r="G3" s="34" t="s">
        <v>226</v>
      </c>
      <c r="H3" s="34" t="s">
        <v>245</v>
      </c>
      <c r="I3" s="168" t="s">
        <v>181</v>
      </c>
      <c r="K3" s="34" t="str">
        <f>E3</f>
        <v>Q4-2023</v>
      </c>
      <c r="L3" s="34" t="str">
        <f>F3</f>
        <v>H1-2024</v>
      </c>
      <c r="M3" s="34" t="str">
        <f>G3</f>
        <v>Q4-2024</v>
      </c>
      <c r="N3" s="34" t="str">
        <f>H3</f>
        <v>H1-2025</v>
      </c>
      <c r="O3" s="34" t="str">
        <f>I3</f>
        <v>%</v>
      </c>
      <c r="P3" s="205"/>
      <c r="Q3" s="34" t="str">
        <f>E3</f>
        <v>Q4-2023</v>
      </c>
      <c r="R3" s="34" t="str">
        <f>F3</f>
        <v>H1-2024</v>
      </c>
      <c r="S3" s="34" t="str">
        <f>G3</f>
        <v>Q4-2024</v>
      </c>
      <c r="T3" s="34" t="str">
        <f>H3</f>
        <v>H1-2025</v>
      </c>
      <c r="U3" s="205"/>
      <c r="V3" s="34" t="str">
        <f>E3</f>
        <v>Q4-2023</v>
      </c>
      <c r="W3" s="34" t="str">
        <f>F3</f>
        <v>H1-2024</v>
      </c>
      <c r="X3" s="34" t="str">
        <f>G3</f>
        <v>Q4-2024</v>
      </c>
      <c r="Y3" s="34" t="str">
        <f>H3</f>
        <v>H1-2025</v>
      </c>
      <c r="Z3" s="205"/>
      <c r="AA3" s="34" t="str">
        <f>E3</f>
        <v>Q4-2023</v>
      </c>
      <c r="AB3" s="34" t="str">
        <f>F3</f>
        <v>H1-2024</v>
      </c>
      <c r="AC3" s="34" t="str">
        <f>G3</f>
        <v>Q4-2024</v>
      </c>
      <c r="AD3" s="34" t="str">
        <f>H3</f>
        <v>H1-2025</v>
      </c>
      <c r="AE3" s="264" t="s">
        <v>181</v>
      </c>
      <c r="AF3" s="205"/>
      <c r="AG3" s="34" t="str">
        <f>E3</f>
        <v>Q4-2023</v>
      </c>
      <c r="AH3" s="34" t="str">
        <f>F3</f>
        <v>H1-2024</v>
      </c>
      <c r="AI3" s="34" t="str">
        <f>G3</f>
        <v>Q4-2024</v>
      </c>
      <c r="AJ3" s="34" t="str">
        <f>H3</f>
        <v>H1-2025</v>
      </c>
      <c r="AK3" s="205"/>
    </row>
    <row r="4" spans="2:37" x14ac:dyDescent="0.3">
      <c r="C4" s="37" t="s">
        <v>74</v>
      </c>
      <c r="D4" s="107"/>
    </row>
    <row r="5" spans="2:37" x14ac:dyDescent="0.3">
      <c r="C5" s="36" t="s">
        <v>85</v>
      </c>
      <c r="D5" s="108">
        <v>17746</v>
      </c>
      <c r="E5" s="38"/>
      <c r="F5" s="38">
        <f>VLOOKUP($C5,'Segment IFRS17'!$W$460:$AB$527,6,0)/1000</f>
        <v>273753.78070999996</v>
      </c>
      <c r="G5" s="38"/>
      <c r="H5" s="38">
        <f>VLOOKUP($C5,'Segment IFRS17'!$W$539:$AB$600,6,0)/1000</f>
        <v>318844.71773000003</v>
      </c>
      <c r="I5" s="132">
        <f>H5/F5-1</f>
        <v>0.16471347684424131</v>
      </c>
      <c r="K5" s="38"/>
      <c r="L5" s="38">
        <f>VLOOKUP($C5,'Segment IFRS17'!$W$460:$AB$531,2,0)/1000</f>
        <v>273753.78070999996</v>
      </c>
      <c r="M5" s="38"/>
      <c r="N5" s="38">
        <f>VLOOKUP($C5,'Segment IFRS17'!$W$539:$AB$600,2,0)/1000</f>
        <v>318844.71773000003</v>
      </c>
      <c r="O5" s="132">
        <f>N5/L5-1</f>
        <v>0.16471347684424131</v>
      </c>
      <c r="Q5" s="38"/>
      <c r="R5" s="38">
        <f>VLOOKUP($C5,'Segment IFRS17'!$W$460:$AB$531,3,0)/1000</f>
        <v>0</v>
      </c>
      <c r="S5" s="38"/>
      <c r="T5" s="38">
        <f>VLOOKUP($C5,'Segment IFRS17'!$W$539:$AB$600,3,0)/1000</f>
        <v>0</v>
      </c>
      <c r="V5" s="38"/>
      <c r="W5" s="38">
        <f>VLOOKUP($C5,'Segment IFRS17'!$W$460:$AB$531,4,0)/1000</f>
        <v>0</v>
      </c>
      <c r="X5" s="38"/>
      <c r="Y5" s="38">
        <f>VLOOKUP($C5,'Segment IFRS17'!$W$539:$AB$600,4,0)/1000</f>
        <v>0</v>
      </c>
      <c r="AA5" s="38"/>
      <c r="AB5" s="38">
        <f>R5+W5</f>
        <v>0</v>
      </c>
      <c r="AC5" s="38"/>
      <c r="AD5" s="38">
        <f>T5+Y5</f>
        <v>0</v>
      </c>
      <c r="AG5" s="38"/>
      <c r="AH5" s="38">
        <f>VLOOKUP($C5,'Segment IFRS17'!$W$460:$AB$531,5,0)/1000</f>
        <v>0</v>
      </c>
      <c r="AI5" s="38"/>
      <c r="AJ5" s="38">
        <f>VLOOKUP($C5,'Segment IFRS17'!$W$539:$AB$600,5,0)/1000</f>
        <v>0</v>
      </c>
    </row>
    <row r="6" spans="2:37" x14ac:dyDescent="0.3">
      <c r="C6" s="39" t="s">
        <v>92</v>
      </c>
      <c r="D6" s="109"/>
      <c r="E6" s="40"/>
      <c r="F6" s="40">
        <f>F5/F$142</f>
        <v>0.10261714363872841</v>
      </c>
      <c r="G6" s="40"/>
      <c r="H6" s="40">
        <f>H5/H$142</f>
        <v>0.16197085270463704</v>
      </c>
      <c r="I6" s="169"/>
      <c r="K6" s="40"/>
      <c r="L6" s="40">
        <f>L5/L$142</f>
        <v>0.10261714363872841</v>
      </c>
      <c r="M6" s="40"/>
      <c r="N6" s="40">
        <f>N5/N$142</f>
        <v>0.16197085270463704</v>
      </c>
      <c r="O6" s="169"/>
      <c r="Q6" s="40"/>
      <c r="R6" s="40"/>
      <c r="S6" s="40"/>
      <c r="T6" s="40"/>
      <c r="V6" s="40"/>
      <c r="W6" s="40"/>
      <c r="X6" s="40"/>
      <c r="Y6" s="40"/>
      <c r="AA6" s="40"/>
      <c r="AB6" s="40"/>
      <c r="AC6" s="40"/>
      <c r="AD6" s="40"/>
      <c r="AE6" s="40"/>
      <c r="AG6" s="40"/>
      <c r="AH6" s="40">
        <f>AH5/AH$142</f>
        <v>0</v>
      </c>
      <c r="AI6" s="40"/>
      <c r="AJ6" s="40">
        <f>AJ5/AJ$142</f>
        <v>0</v>
      </c>
    </row>
    <row r="7" spans="2:37" x14ac:dyDescent="0.3">
      <c r="C7" s="36" t="s">
        <v>19</v>
      </c>
      <c r="D7" s="110">
        <v>9</v>
      </c>
      <c r="E7" s="38"/>
      <c r="F7" s="38">
        <f>VLOOKUP($C7,'Segment IFRS17'!$W$460:$AB$531,6,0)/1000</f>
        <v>183370.06995512001</v>
      </c>
      <c r="G7" s="38"/>
      <c r="H7" s="38">
        <f>VLOOKUP($C7,'Segment IFRS17'!$W$539:$AB$600,6,0)/1000</f>
        <v>187802.21107272001</v>
      </c>
      <c r="I7" s="132">
        <f>H7/F7-1</f>
        <v>2.4170471869726429E-2</v>
      </c>
      <c r="K7" s="38"/>
      <c r="L7" s="38">
        <f>VLOOKUP($C7,'Segment IFRS17'!$W$460:$AB$531,2,0)/1000</f>
        <v>183370.06995512001</v>
      </c>
      <c r="M7" s="38"/>
      <c r="N7" s="38">
        <f>VLOOKUP($C7,'Segment IFRS17'!$W$539:$AB$600,2,0)/1000</f>
        <v>187802.21107272001</v>
      </c>
      <c r="O7" s="132">
        <f>N7/L7-1</f>
        <v>2.4170471869726429E-2</v>
      </c>
      <c r="Q7" s="38"/>
      <c r="R7" s="38">
        <f>VLOOKUP($C7,'Segment IFRS17'!$W$460:$AB$531,3,0)/1000</f>
        <v>0</v>
      </c>
      <c r="S7" s="38"/>
      <c r="T7" s="38">
        <f>VLOOKUP($C7,'Segment IFRS17'!$W$539:$AB$600,3,0)/1000</f>
        <v>0</v>
      </c>
      <c r="V7" s="38"/>
      <c r="W7" s="38">
        <f>VLOOKUP($C7,'Segment IFRS17'!$W$460:$AB$531,4,0)/1000</f>
        <v>0</v>
      </c>
      <c r="X7" s="38"/>
      <c r="Y7" s="38">
        <f>VLOOKUP($C7,'Segment IFRS17'!$W$539:$AB$600,4,0)/1000</f>
        <v>0</v>
      </c>
      <c r="AA7" s="38"/>
      <c r="AB7" s="38">
        <f>R7+W7</f>
        <v>0</v>
      </c>
      <c r="AC7" s="38"/>
      <c r="AD7" s="38">
        <f>T7+Y7</f>
        <v>0</v>
      </c>
      <c r="AG7" s="38"/>
      <c r="AH7" s="38">
        <f>VLOOKUP($C7,'Segment IFRS17'!$W$460:$AB$531,5,0)/1000</f>
        <v>0</v>
      </c>
      <c r="AI7" s="38"/>
      <c r="AJ7" s="38">
        <f>VLOOKUP($C7,'Segment IFRS17'!$W$539:$AB$600,5,0)/1000</f>
        <v>0</v>
      </c>
    </row>
    <row r="8" spans="2:37" x14ac:dyDescent="0.3">
      <c r="C8" s="39" t="s">
        <v>57</v>
      </c>
      <c r="D8" s="109"/>
      <c r="E8" s="40"/>
      <c r="F8" s="40">
        <f>F7/AVERAGE(E118:F118)*2</f>
        <v>2.929059682174337E-2</v>
      </c>
      <c r="G8" s="40"/>
      <c r="H8" s="40">
        <f>H7/AVERAGE(G118:H118)*2</f>
        <v>3.2002200224032731E-2</v>
      </c>
      <c r="I8" s="169"/>
      <c r="K8" s="40"/>
      <c r="L8" s="40">
        <f>L7/AVERAGE(K118:L118)*2</f>
        <v>2.929059682174337E-2</v>
      </c>
      <c r="M8" s="40"/>
      <c r="N8" s="40">
        <f>N7/AVERAGE(M118:N118)*2</f>
        <v>3.2002200224032731E-2</v>
      </c>
      <c r="O8" s="169"/>
      <c r="Q8" s="40"/>
      <c r="R8" s="40"/>
      <c r="S8" s="40"/>
      <c r="T8" s="40"/>
      <c r="V8" s="40"/>
      <c r="W8" s="40"/>
      <c r="X8" s="40"/>
      <c r="Y8" s="40"/>
      <c r="AA8" s="40"/>
      <c r="AB8" s="40"/>
      <c r="AC8" s="40"/>
      <c r="AD8" s="40"/>
      <c r="AE8" s="40"/>
      <c r="AG8" s="40"/>
      <c r="AH8" s="40"/>
      <c r="AI8" s="40"/>
      <c r="AJ8" s="40"/>
    </row>
    <row r="9" spans="2:37" x14ac:dyDescent="0.3">
      <c r="C9" s="36" t="s">
        <v>86</v>
      </c>
      <c r="D9" s="110">
        <v>10</v>
      </c>
      <c r="E9" s="38"/>
      <c r="F9" s="38">
        <f>VLOOKUP($C9,'Segment IFRS17'!$W$460:$AB$531,6,0)/1000</f>
        <v>8182.1194999999943</v>
      </c>
      <c r="G9" s="38"/>
      <c r="H9" s="38">
        <f>VLOOKUP($C9,'Segment IFRS17'!$W$539:$AB$600,6,0)/1000</f>
        <v>5446.2810200000022</v>
      </c>
      <c r="I9" s="132">
        <f t="shared" ref="I9:I69" si="0">H9/F9-1</f>
        <v>-0.33436794463830477</v>
      </c>
      <c r="J9" s="132">
        <f>19/52</f>
        <v>0.36538461538461536</v>
      </c>
      <c r="K9" s="38"/>
      <c r="L9" s="38">
        <f>VLOOKUP($C9,'Segment IFRS17'!$W$460:$AB$531,2,0)/1000</f>
        <v>8182.1194999999943</v>
      </c>
      <c r="M9" s="38"/>
      <c r="N9" s="38">
        <f>VLOOKUP($C9,'Segment IFRS17'!$W$539:$AB$600,2,0)/1000</f>
        <v>5446.2810200000022</v>
      </c>
      <c r="O9" s="132">
        <f>N9/L9-1</f>
        <v>-0.33436794463830477</v>
      </c>
      <c r="Q9" s="38"/>
      <c r="R9" s="38">
        <f>VLOOKUP($C9,'Segment IFRS17'!$W$460:$AB$531,3,0)/1000</f>
        <v>0</v>
      </c>
      <c r="S9" s="38"/>
      <c r="T9" s="38">
        <f>VLOOKUP($C9,'Segment IFRS17'!$W$539:$AB$600,3,0)/1000</f>
        <v>0</v>
      </c>
      <c r="V9" s="38"/>
      <c r="W9" s="38">
        <f>VLOOKUP($C9,'Segment IFRS17'!$W$460:$AB$531,4,0)/1000</f>
        <v>0</v>
      </c>
      <c r="X9" s="38"/>
      <c r="Y9" s="38">
        <f>VLOOKUP($C9,'Segment IFRS17'!$W$539:$AB$600,4,0)/1000</f>
        <v>0</v>
      </c>
      <c r="AA9" s="38"/>
      <c r="AB9" s="38">
        <f>R9+W9</f>
        <v>0</v>
      </c>
      <c r="AC9" s="38"/>
      <c r="AD9" s="38">
        <f>T9+Y9</f>
        <v>0</v>
      </c>
      <c r="AG9" s="38"/>
      <c r="AH9" s="38">
        <f>VLOOKUP($C9,'Segment IFRS17'!$W$460:$AB$531,5,0)/1000</f>
        <v>0</v>
      </c>
      <c r="AI9" s="38"/>
      <c r="AJ9" s="38">
        <f>VLOOKUP($C9,'Segment IFRS17'!$W$539:$AB$600,5,0)/1000</f>
        <v>0</v>
      </c>
    </row>
    <row r="10" spans="2:37" x14ac:dyDescent="0.3">
      <c r="C10" s="36" t="s">
        <v>87</v>
      </c>
      <c r="E10" s="38"/>
      <c r="F10" s="38">
        <f>VLOOKUP($C10,'Segment IFRS17'!$W$460:$AB$531,6,0)/1000</f>
        <v>-138668.14356</v>
      </c>
      <c r="G10" s="38"/>
      <c r="H10" s="38">
        <f>VLOOKUP($C10,'Segment IFRS17'!$W$539:$AB$600,6,0)/1000</f>
        <v>-133692.28158000001</v>
      </c>
      <c r="I10" s="132">
        <f t="shared" si="0"/>
        <v>-3.5883237867441409E-2</v>
      </c>
      <c r="K10" s="38"/>
      <c r="L10" s="38">
        <f>VLOOKUP($C10,'Segment IFRS17'!$W$460:$AB$531,2,0)/1000</f>
        <v>-138668.14356</v>
      </c>
      <c r="M10" s="38"/>
      <c r="N10" s="38">
        <f>VLOOKUP($C10,'Segment IFRS17'!$W$539:$AB$600,2,0)/1000</f>
        <v>-133692.28158000001</v>
      </c>
      <c r="O10" s="132">
        <f>N10/L10-1</f>
        <v>-3.5883237867441409E-2</v>
      </c>
      <c r="Q10" s="38"/>
      <c r="R10" s="38">
        <f>VLOOKUP($C10,'Segment IFRS17'!$W$460:$AB$531,3,0)/1000</f>
        <v>0</v>
      </c>
      <c r="S10" s="38"/>
      <c r="T10" s="38">
        <f>VLOOKUP($C10,'Segment IFRS17'!$W$539:$AB$600,3,0)/1000</f>
        <v>0</v>
      </c>
      <c r="V10" s="38"/>
      <c r="W10" s="38">
        <f>VLOOKUP($C10,'Segment IFRS17'!$W$460:$AB$531,4,0)/1000</f>
        <v>0</v>
      </c>
      <c r="X10" s="38"/>
      <c r="Y10" s="38">
        <f>VLOOKUP($C10,'Segment IFRS17'!$W$539:$AB$600,4,0)/1000</f>
        <v>0</v>
      </c>
      <c r="AA10" s="38"/>
      <c r="AB10" s="38">
        <f>R10+W10</f>
        <v>0</v>
      </c>
      <c r="AC10" s="38"/>
      <c r="AD10" s="38">
        <f>T10+Y10</f>
        <v>0</v>
      </c>
      <c r="AG10" s="38"/>
      <c r="AH10" s="38">
        <f>VLOOKUP($C10,'Segment IFRS17'!$W$460:$AB$531,5,0)/1000</f>
        <v>0</v>
      </c>
      <c r="AI10" s="38"/>
      <c r="AJ10" s="38">
        <f>VLOOKUP($C10,'Segment IFRS17'!$W$539:$AB$600,5,0)/1000</f>
        <v>0</v>
      </c>
    </row>
    <row r="11" spans="2:37" x14ac:dyDescent="0.3">
      <c r="C11" s="43" t="s">
        <v>18</v>
      </c>
      <c r="D11" s="111"/>
      <c r="E11" s="44"/>
      <c r="F11" s="44">
        <f>F5+F7+F9+F10</f>
        <v>326637.82660511992</v>
      </c>
      <c r="G11" s="44"/>
      <c r="H11" s="44">
        <f>H5+H7+H9+H10</f>
        <v>378400.92824272002</v>
      </c>
      <c r="I11" s="170">
        <f t="shared" si="0"/>
        <v>0.15847246528546655</v>
      </c>
      <c r="K11" s="44"/>
      <c r="L11" s="44">
        <f>L5+L7+L9+L10</f>
        <v>326637.82660511992</v>
      </c>
      <c r="M11" s="44"/>
      <c r="N11" s="44">
        <f>N5+N7+N9+N10</f>
        <v>378400.92824272002</v>
      </c>
      <c r="O11" s="170">
        <f>N11/L11-1</f>
        <v>0.15847246528546655</v>
      </c>
      <c r="Q11" s="44"/>
      <c r="R11" s="44">
        <f>R5+R7+R9+R10</f>
        <v>0</v>
      </c>
      <c r="S11" s="44"/>
      <c r="T11" s="44">
        <f>T5+T7+T9+T10</f>
        <v>0</v>
      </c>
      <c r="V11" s="44"/>
      <c r="W11" s="44">
        <f>W5+W7+W9+W10</f>
        <v>0</v>
      </c>
      <c r="X11" s="44"/>
      <c r="Y11" s="44">
        <f>Y5+Y7+Y9+Y10</f>
        <v>0</v>
      </c>
      <c r="AA11" s="44"/>
      <c r="AB11" s="44">
        <f>AB5+AB7+AB9+AB10</f>
        <v>0</v>
      </c>
      <c r="AC11" s="44"/>
      <c r="AD11" s="44">
        <f>AD5+AD7+AD9+AD10</f>
        <v>0</v>
      </c>
      <c r="AE11" s="265"/>
      <c r="AG11" s="44"/>
      <c r="AH11" s="44">
        <f>AH5+AH7+AH9+AH10</f>
        <v>0</v>
      </c>
      <c r="AI11" s="44"/>
      <c r="AJ11" s="44">
        <f>AJ5+AJ7+AJ9+AJ10</f>
        <v>0</v>
      </c>
    </row>
    <row r="12" spans="2:37" x14ac:dyDescent="0.3">
      <c r="C12" s="39" t="s">
        <v>56</v>
      </c>
      <c r="D12" s="109"/>
      <c r="E12" s="40"/>
      <c r="F12" s="40">
        <f>F11/F$142</f>
        <v>0.12244083235543513</v>
      </c>
      <c r="G12" s="40"/>
      <c r="H12" s="40">
        <f>H11/H$142</f>
        <v>0.19222498477644617</v>
      </c>
      <c r="I12" s="169"/>
      <c r="K12" s="40"/>
      <c r="L12" s="40">
        <f>L11/L$142</f>
        <v>0.12244083235543513</v>
      </c>
      <c r="M12" s="40"/>
      <c r="N12" s="40">
        <f>N11/N$142</f>
        <v>0.19222498477644617</v>
      </c>
      <c r="O12" s="169"/>
      <c r="Q12" s="40"/>
      <c r="R12" s="40"/>
      <c r="S12" s="40"/>
      <c r="T12" s="40"/>
      <c r="V12" s="40"/>
      <c r="W12" s="40"/>
      <c r="X12" s="40"/>
      <c r="Y12" s="40"/>
      <c r="AA12" s="40"/>
      <c r="AB12" s="40"/>
      <c r="AC12" s="40"/>
      <c r="AD12" s="40"/>
      <c r="AE12" s="40"/>
      <c r="AG12" s="40"/>
      <c r="AH12" s="40">
        <f>AH11/AH$142</f>
        <v>0</v>
      </c>
      <c r="AI12" s="40"/>
      <c r="AJ12" s="40">
        <f>AJ11/AJ$142</f>
        <v>0</v>
      </c>
    </row>
    <row r="13" spans="2:37" x14ac:dyDescent="0.3">
      <c r="C13" s="37"/>
      <c r="D13" s="107"/>
      <c r="E13" s="37"/>
      <c r="F13" s="37"/>
      <c r="G13" s="37"/>
      <c r="H13" s="37"/>
      <c r="I13" s="171"/>
      <c r="K13" s="37"/>
      <c r="L13" s="37"/>
      <c r="M13" s="37"/>
      <c r="N13" s="37"/>
      <c r="O13" s="171"/>
      <c r="Q13" s="37"/>
      <c r="R13" s="37"/>
      <c r="S13" s="37"/>
      <c r="T13" s="37"/>
      <c r="V13" s="37"/>
      <c r="W13" s="37"/>
      <c r="X13" s="37"/>
      <c r="Y13" s="37"/>
      <c r="AA13" s="37"/>
      <c r="AB13" s="37"/>
      <c r="AC13" s="37"/>
      <c r="AD13" s="37"/>
      <c r="AE13" s="256"/>
      <c r="AG13" s="37"/>
      <c r="AH13" s="37"/>
      <c r="AI13" s="37"/>
      <c r="AJ13" s="37"/>
    </row>
    <row r="14" spans="2:37" x14ac:dyDescent="0.3">
      <c r="C14" s="36" t="s">
        <v>12</v>
      </c>
      <c r="D14" s="110">
        <v>11</v>
      </c>
      <c r="E14" s="38"/>
      <c r="F14" s="38">
        <f>VLOOKUP($C14,'Segment IFRS17'!$W$460:$AB$531,6,0)/1000</f>
        <v>1050801.0861600004</v>
      </c>
      <c r="G14" s="38"/>
      <c r="H14" s="38">
        <f>VLOOKUP($C14,'Segment IFRS17'!$W$539:$AB$600,6,0)/1000</f>
        <v>1384607.7431999997</v>
      </c>
      <c r="I14" s="132">
        <f t="shared" si="0"/>
        <v>0.31766874000848921</v>
      </c>
      <c r="J14" s="132"/>
      <c r="K14" s="38"/>
      <c r="L14" s="38">
        <f>VLOOKUP($C14,'Segment IFRS17'!$W$460:$AB$531,2,0)/1000</f>
        <v>1050801.0861600004</v>
      </c>
      <c r="M14" s="38"/>
      <c r="N14" s="38">
        <f>VLOOKUP($C14,'Segment IFRS17'!$W$539:$AB$600,2,0)/1000</f>
        <v>1384607.7431999997</v>
      </c>
      <c r="O14" s="132">
        <f>N14/L14-1</f>
        <v>0.31766874000848921</v>
      </c>
      <c r="Q14" s="38"/>
      <c r="R14" s="38">
        <f>VLOOKUP($C14,'Segment IFRS17'!$W$460:$AB$531,3,0)/1000</f>
        <v>0</v>
      </c>
      <c r="S14" s="38"/>
      <c r="T14" s="38">
        <f>VLOOKUP($C14,'Segment IFRS17'!$W$539:$AB$600,3,0)/1000</f>
        <v>0</v>
      </c>
      <c r="V14" s="38"/>
      <c r="W14" s="38">
        <f>VLOOKUP($C14,'Segment IFRS17'!$W$460:$AB$531,4,0)/1000</f>
        <v>0</v>
      </c>
      <c r="X14" s="38"/>
      <c r="Y14" s="38">
        <f>VLOOKUP($C14,'Segment IFRS17'!$W$539:$AB$600,4,0)/1000</f>
        <v>0</v>
      </c>
      <c r="AA14" s="38"/>
      <c r="AB14" s="38">
        <f>R14+W14</f>
        <v>0</v>
      </c>
      <c r="AC14" s="38"/>
      <c r="AD14" s="38">
        <f>T14+Y14</f>
        <v>0</v>
      </c>
      <c r="AG14" s="38"/>
      <c r="AH14" s="38">
        <f>VLOOKUP($C14,'Segment IFRS17'!$W$460:$AB$531,5,0)/1000</f>
        <v>0</v>
      </c>
      <c r="AI14" s="38"/>
      <c r="AJ14" s="38">
        <f>VLOOKUP($C14,'Segment IFRS17'!$W$539:$AB$600,5,0)/1000</f>
        <v>0</v>
      </c>
    </row>
    <row r="15" spans="2:37" x14ac:dyDescent="0.3">
      <c r="C15" s="36" t="s">
        <v>3</v>
      </c>
      <c r="E15" s="38"/>
      <c r="F15" s="38">
        <f>VLOOKUP($C15,'Segment IFRS17'!$W$460:$AB$531,6,0)/1000</f>
        <v>-678609.08772999991</v>
      </c>
      <c r="G15" s="38"/>
      <c r="H15" s="38">
        <f>VLOOKUP($C15,'Segment IFRS17'!$W$539:$AB$600,6,0)/1000</f>
        <v>-904960.25703139254</v>
      </c>
      <c r="I15" s="132">
        <f t="shared" si="0"/>
        <v>0.33355163288271727</v>
      </c>
      <c r="J15" s="132"/>
      <c r="K15" s="38"/>
      <c r="L15" s="38">
        <f>VLOOKUP($C15,'Segment IFRS17'!$W$460:$AB$531,2,0)/1000</f>
        <v>-678581.73314999987</v>
      </c>
      <c r="M15" s="38"/>
      <c r="N15" s="38">
        <f>VLOOKUP($C15,'Segment IFRS17'!$W$539:$AB$600,2,0)/1000</f>
        <v>-904907.94271139253</v>
      </c>
      <c r="O15" s="132">
        <f>N15/L15-1</f>
        <v>0.33352829659999617</v>
      </c>
      <c r="Q15" s="38"/>
      <c r="R15" s="38">
        <f>VLOOKUP($C15,'Segment IFRS17'!$W$460:$AB$531,3,0)/1000</f>
        <v>0</v>
      </c>
      <c r="S15" s="38"/>
      <c r="T15" s="38">
        <f>VLOOKUP($C15,'Segment IFRS17'!$W$539:$AB$600,3,0)/1000</f>
        <v>0</v>
      </c>
      <c r="V15" s="38"/>
      <c r="W15" s="38">
        <f>VLOOKUP($C15,'Segment IFRS17'!$W$460:$AB$531,4,0)/1000</f>
        <v>0</v>
      </c>
      <c r="X15" s="38"/>
      <c r="Y15" s="38">
        <f>VLOOKUP($C15,'Segment IFRS17'!$W$539:$AB$600,4,0)/1000</f>
        <v>0</v>
      </c>
      <c r="AA15" s="38"/>
      <c r="AB15" s="38">
        <f>R15+W15</f>
        <v>0</v>
      </c>
      <c r="AC15" s="38"/>
      <c r="AD15" s="38">
        <f>T15+Y15</f>
        <v>0</v>
      </c>
      <c r="AG15" s="38"/>
      <c r="AH15" s="38">
        <f>VLOOKUP($C15,'Segment IFRS17'!$W$460:$AB$531,5,0)/1000</f>
        <v>-27.354580000000002</v>
      </c>
      <c r="AI15" s="38"/>
      <c r="AJ15" s="38">
        <f>VLOOKUP($C15,'Segment IFRS17'!$W$539:$AB$600,5,0)/1000</f>
        <v>-52.314320000000002</v>
      </c>
    </row>
    <row r="16" spans="2:37" x14ac:dyDescent="0.3">
      <c r="C16" s="36" t="s">
        <v>88</v>
      </c>
      <c r="E16" s="38"/>
      <c r="F16" s="38">
        <f>VLOOKUP($C16,'Segment IFRS17'!$W$460:$AB$531,6,0)/1000</f>
        <v>54527.627449999993</v>
      </c>
      <c r="G16" s="38"/>
      <c r="H16" s="38">
        <f>VLOOKUP($C16,'Segment IFRS17'!$W$539:$AB$600,6,0)/1000</f>
        <v>84779.420606538013</v>
      </c>
      <c r="I16" s="132">
        <f t="shared" si="0"/>
        <v>0.55479753239360918</v>
      </c>
      <c r="J16" s="132"/>
      <c r="K16" s="38"/>
      <c r="L16" s="38">
        <f>VLOOKUP($C16,'Segment IFRS17'!$W$460:$AB$531,2,0)/1000</f>
        <v>53990.581669999992</v>
      </c>
      <c r="M16" s="38"/>
      <c r="N16" s="38">
        <f>VLOOKUP($C16,'Segment IFRS17'!$W$539:$AB$600,2,0)/1000</f>
        <v>81567.309216538008</v>
      </c>
      <c r="O16" s="132">
        <f>N16/L16-1</f>
        <v>0.51076922480835396</v>
      </c>
      <c r="Q16" s="38"/>
      <c r="R16" s="38">
        <f>VLOOKUP($C16,'Segment IFRS17'!$W$460:$AB$531,3,0)/1000</f>
        <v>0</v>
      </c>
      <c r="S16" s="38"/>
      <c r="T16" s="38">
        <f>VLOOKUP($C16,'Segment IFRS17'!$W$539:$AB$600,3,0)/1000</f>
        <v>0</v>
      </c>
      <c r="V16" s="38"/>
      <c r="W16" s="38">
        <f>VLOOKUP($C16,'Segment IFRS17'!$W$460:$AB$531,4,0)/1000</f>
        <v>0</v>
      </c>
      <c r="X16" s="38"/>
      <c r="Y16" s="38">
        <f>VLOOKUP($C16,'Segment IFRS17'!$W$539:$AB$600,4,0)/1000</f>
        <v>0</v>
      </c>
      <c r="AA16" s="38"/>
      <c r="AB16" s="38">
        <f>R16+W16</f>
        <v>0</v>
      </c>
      <c r="AC16" s="38"/>
      <c r="AD16" s="38">
        <f>T16+Y16</f>
        <v>0</v>
      </c>
      <c r="AG16" s="38"/>
      <c r="AH16" s="38">
        <f>VLOOKUP($C16,'Segment IFRS17'!$W$460:$AB$531,5,0)/1000</f>
        <v>537.04577999999992</v>
      </c>
      <c r="AI16" s="38"/>
      <c r="AJ16" s="38">
        <f>VLOOKUP($C16,'Segment IFRS17'!$W$539:$AB$600,5,0)/1000</f>
        <v>3212.1113900000005</v>
      </c>
    </row>
    <row r="17" spans="3:37" x14ac:dyDescent="0.3">
      <c r="C17" s="36" t="s">
        <v>13</v>
      </c>
      <c r="E17" s="38"/>
      <c r="F17" s="38">
        <f>VLOOKUP($C17,'Segment IFRS17'!$W$460:$AB$531,6,0)/1000</f>
        <v>-6795.2342399999998</v>
      </c>
      <c r="G17" s="38"/>
      <c r="H17" s="38">
        <f>VLOOKUP($C17,'Segment IFRS17'!$W$539:$AB$600,6,0)/1000</f>
        <v>-11251.134709999997</v>
      </c>
      <c r="I17" s="132">
        <f t="shared" si="0"/>
        <v>0.65573905366947249</v>
      </c>
      <c r="J17" s="132"/>
      <c r="K17" s="38"/>
      <c r="L17" s="38">
        <f>VLOOKUP($C17,'Segment IFRS17'!$W$460:$AB$531,2,0)/1000</f>
        <v>-6795.2342399999998</v>
      </c>
      <c r="M17" s="38"/>
      <c r="N17" s="38">
        <f>VLOOKUP($C17,'Segment IFRS17'!$W$539:$AB$600,2,0)/1000</f>
        <v>-11251.134709999997</v>
      </c>
      <c r="O17" s="132">
        <f>N17/L17-1</f>
        <v>0.65573905366947249</v>
      </c>
      <c r="Q17" s="38"/>
      <c r="R17" s="38">
        <f>VLOOKUP($C17,'Segment IFRS17'!$W$460:$AB$531,3,0)/1000</f>
        <v>0</v>
      </c>
      <c r="S17" s="38"/>
      <c r="T17" s="38">
        <f>VLOOKUP($C17,'Segment IFRS17'!$W$539:$AB$600,3,0)/1000</f>
        <v>0</v>
      </c>
      <c r="V17" s="38"/>
      <c r="W17" s="38">
        <f>VLOOKUP($C17,'Segment IFRS17'!$W$460:$AB$531,4,0)/1000</f>
        <v>0</v>
      </c>
      <c r="X17" s="38"/>
      <c r="Y17" s="38">
        <f>VLOOKUP($C17,'Segment IFRS17'!$W$539:$AB$600,4,0)/1000</f>
        <v>0</v>
      </c>
      <c r="AA17" s="38"/>
      <c r="AB17" s="38">
        <f>R17+W17</f>
        <v>0</v>
      </c>
      <c r="AC17" s="38"/>
      <c r="AD17" s="38">
        <f>T17+Y17</f>
        <v>0</v>
      </c>
      <c r="AG17" s="38"/>
      <c r="AH17" s="38">
        <f>VLOOKUP($C17,'Segment IFRS17'!$W$460:$AB$531,5,0)/1000</f>
        <v>0</v>
      </c>
      <c r="AI17" s="38"/>
      <c r="AJ17" s="38">
        <f>VLOOKUP($C17,'Segment IFRS17'!$W$539:$AB$600,5,0)/1000</f>
        <v>0</v>
      </c>
    </row>
    <row r="18" spans="3:37" x14ac:dyDescent="0.3">
      <c r="C18" s="43" t="s">
        <v>14</v>
      </c>
      <c r="D18" s="111"/>
      <c r="E18" s="44"/>
      <c r="F18" s="44">
        <f>F14+F15+F16+F17</f>
        <v>419924.39164000045</v>
      </c>
      <c r="G18" s="44"/>
      <c r="H18" s="44">
        <f>H14+H15+H16+H17</f>
        <v>553175.77206514508</v>
      </c>
      <c r="I18" s="170">
        <f t="shared" si="0"/>
        <v>0.31732231582151216</v>
      </c>
      <c r="J18" s="132"/>
      <c r="K18" s="44"/>
      <c r="L18" s="44">
        <f>L14+L15+L16+L17</f>
        <v>419414.70044000051</v>
      </c>
      <c r="M18" s="44"/>
      <c r="N18" s="44">
        <f>N14+N15+N16+N17</f>
        <v>550015.97499514511</v>
      </c>
      <c r="O18" s="170">
        <f>N18/L18-1</f>
        <v>0.31138935859456796</v>
      </c>
      <c r="Q18" s="44"/>
      <c r="R18" s="44">
        <f>R14+R15+R16+R17</f>
        <v>0</v>
      </c>
      <c r="S18" s="44"/>
      <c r="T18" s="44">
        <f>T14+T15+T16+T17</f>
        <v>0</v>
      </c>
      <c r="V18" s="44"/>
      <c r="W18" s="44">
        <f>W14+W15+W16+W17</f>
        <v>0</v>
      </c>
      <c r="X18" s="44"/>
      <c r="Y18" s="44">
        <f>Y14+Y15+Y16+Y17</f>
        <v>0</v>
      </c>
      <c r="AA18" s="44"/>
      <c r="AB18" s="44">
        <f>AB14+AB15+AB16+AB17</f>
        <v>0</v>
      </c>
      <c r="AC18" s="44"/>
      <c r="AD18" s="44">
        <f>AD14+AD15+AD16+AD17</f>
        <v>0</v>
      </c>
      <c r="AE18" s="265"/>
      <c r="AG18" s="44"/>
      <c r="AH18" s="44">
        <f>AH14+AH15+AH16+AH17</f>
        <v>509.69119999999992</v>
      </c>
      <c r="AI18" s="44"/>
      <c r="AJ18" s="44">
        <f>AJ14+AJ15+AJ16+AJ17</f>
        <v>3159.7970700000005</v>
      </c>
    </row>
    <row r="19" spans="3:37" x14ac:dyDescent="0.3">
      <c r="C19" s="39" t="s">
        <v>54</v>
      </c>
      <c r="D19" s="109"/>
      <c r="E19" s="40"/>
      <c r="F19" s="40">
        <f>F18/AVERAGE(E115:F115)*2</f>
        <v>0.10197975310981024</v>
      </c>
      <c r="G19" s="40"/>
      <c r="H19" s="40">
        <f>H18/AVERAGE(G115:H115)*2</f>
        <v>0.12359178904803006</v>
      </c>
      <c r="I19" s="169"/>
      <c r="J19" s="104"/>
      <c r="K19" s="40"/>
      <c r="L19" s="40">
        <f>L18/AVERAGE(K115:L115)*2</f>
        <v>0.1018559732490233</v>
      </c>
      <c r="M19" s="40"/>
      <c r="N19" s="40">
        <f>N18/AVERAGE(M115:N115)*2</f>
        <v>0.12288582000052081</v>
      </c>
      <c r="O19" s="169"/>
      <c r="Q19" s="40"/>
      <c r="R19" s="40"/>
      <c r="S19" s="40"/>
      <c r="T19" s="40"/>
      <c r="V19" s="40"/>
      <c r="W19" s="40"/>
      <c r="X19" s="40"/>
      <c r="Y19" s="40"/>
      <c r="AA19" s="40"/>
      <c r="AB19" s="40"/>
      <c r="AC19" s="40"/>
      <c r="AD19" s="40"/>
      <c r="AE19" s="40"/>
      <c r="AG19" s="40"/>
      <c r="AH19" s="40"/>
      <c r="AI19" s="40"/>
      <c r="AJ19" s="40"/>
    </row>
    <row r="20" spans="3:37" x14ac:dyDescent="0.3">
      <c r="C20" s="45"/>
      <c r="D20" s="112"/>
      <c r="E20" s="45"/>
      <c r="F20" s="45"/>
      <c r="G20" s="45"/>
      <c r="H20" s="45"/>
      <c r="I20" s="172"/>
      <c r="K20" s="45"/>
      <c r="L20" s="45"/>
      <c r="M20" s="45"/>
      <c r="N20" s="45"/>
      <c r="O20" s="172"/>
      <c r="Q20" s="45"/>
      <c r="R20" s="45"/>
      <c r="S20" s="45"/>
      <c r="T20" s="45"/>
      <c r="V20" s="45"/>
      <c r="W20" s="45"/>
      <c r="X20" s="45"/>
      <c r="Y20" s="45"/>
      <c r="AA20" s="45"/>
      <c r="AB20" s="45"/>
      <c r="AC20" s="45"/>
      <c r="AD20" s="45"/>
      <c r="AE20" s="249"/>
      <c r="AG20" s="45"/>
      <c r="AH20" s="45"/>
      <c r="AI20" s="45"/>
      <c r="AJ20" s="45"/>
    </row>
    <row r="21" spans="3:37" x14ac:dyDescent="0.3">
      <c r="C21" s="36" t="s">
        <v>15</v>
      </c>
      <c r="D21" s="110">
        <v>12</v>
      </c>
      <c r="E21" s="38"/>
      <c r="F21" s="38">
        <f>VLOOKUP($C21,'Segment IFRS17'!$W$460:$AB$531,6,0)/1000</f>
        <v>92722.167539999966</v>
      </c>
      <c r="G21" s="38"/>
      <c r="H21" s="38">
        <f>VLOOKUP($C21,'Segment IFRS17'!$W$539:$AB$600,6,0)/1000</f>
        <v>91150.236887779072</v>
      </c>
      <c r="I21" s="132">
        <f t="shared" si="0"/>
        <v>-1.6953126678609709E-2</v>
      </c>
      <c r="K21" s="38"/>
      <c r="L21" s="38">
        <f>VLOOKUP($C21,'Segment IFRS17'!$W$460:$AB$531,2,0)/1000</f>
        <v>85088.980469999966</v>
      </c>
      <c r="M21" s="38"/>
      <c r="N21" s="38">
        <f>VLOOKUP($C21,'Segment IFRS17'!$W$539:$AB$600,2,0)/1000</f>
        <v>85709.820877779071</v>
      </c>
      <c r="O21" s="132">
        <f>N21/L21-1</f>
        <v>7.2963667486649619E-3</v>
      </c>
      <c r="Q21" s="38"/>
      <c r="R21" s="38">
        <f>VLOOKUP($C21,'Segment IFRS17'!$W$460:$AB$531,3,0)/1000</f>
        <v>0</v>
      </c>
      <c r="S21" s="38"/>
      <c r="T21" s="38">
        <f>VLOOKUP($C21,'Segment IFRS17'!$W$539:$AB$600,3,0)/1000</f>
        <v>0</v>
      </c>
      <c r="V21" s="38"/>
      <c r="W21" s="38">
        <f>VLOOKUP($C21,'Segment IFRS17'!$W$460:$AB$531,4,0)/1000</f>
        <v>0</v>
      </c>
      <c r="X21" s="38"/>
      <c r="Y21" s="38">
        <f>VLOOKUP($C21,'Segment IFRS17'!$W$539:$AB$600,4,0)/1000</f>
        <v>0</v>
      </c>
      <c r="AA21" s="38"/>
      <c r="AB21" s="38">
        <f>R21+W21</f>
        <v>0</v>
      </c>
      <c r="AC21" s="38"/>
      <c r="AD21" s="38">
        <f>T21+Y21</f>
        <v>0</v>
      </c>
      <c r="AG21" s="38"/>
      <c r="AH21" s="38">
        <f>VLOOKUP($C21,'Segment IFRS17'!$W$460:$AB$531,5,0)/1000</f>
        <v>7633.187069999999</v>
      </c>
      <c r="AI21" s="38"/>
      <c r="AJ21" s="38">
        <f>VLOOKUP($C21,'Segment IFRS17'!$W$539:$AB$600,5,0)/1000</f>
        <v>5440.416009999999</v>
      </c>
    </row>
    <row r="22" spans="3:37" x14ac:dyDescent="0.3">
      <c r="C22" s="39" t="s">
        <v>55</v>
      </c>
      <c r="D22" s="109"/>
      <c r="E22" s="40"/>
      <c r="F22" s="40">
        <f>F21/F$128</f>
        <v>1.95997945475847E-2</v>
      </c>
      <c r="G22" s="40"/>
      <c r="H22" s="40">
        <f>H21/H$128</f>
        <v>1.8089555350663099E-2</v>
      </c>
      <c r="I22" s="169"/>
      <c r="K22" s="40"/>
      <c r="L22" s="40">
        <f>L21/L$128</f>
        <v>1.798627641826854E-2</v>
      </c>
      <c r="M22" s="40"/>
      <c r="N22" s="40">
        <f>N21/N$128</f>
        <v>1.7009857591186145E-2</v>
      </c>
      <c r="O22" s="169"/>
      <c r="Q22" s="40"/>
      <c r="R22" s="40"/>
      <c r="S22" s="40"/>
      <c r="T22" s="40"/>
      <c r="V22" s="40"/>
      <c r="W22" s="40"/>
      <c r="X22" s="40"/>
      <c r="Y22" s="40"/>
      <c r="AA22" s="40"/>
      <c r="AB22" s="40"/>
      <c r="AC22" s="40"/>
      <c r="AD22" s="40"/>
      <c r="AE22" s="40"/>
      <c r="AG22" s="40"/>
      <c r="AH22" s="40">
        <f>AH21/AH$128</f>
        <v>1.6135181293161565E-3</v>
      </c>
      <c r="AI22" s="40"/>
      <c r="AJ22" s="40">
        <f>AJ21/AJ$128</f>
        <v>1.0796977594769541E-3</v>
      </c>
    </row>
    <row r="23" spans="3:37" x14ac:dyDescent="0.3">
      <c r="C23" s="39" t="s">
        <v>99</v>
      </c>
      <c r="D23" s="109"/>
      <c r="E23" s="40"/>
      <c r="F23" s="40">
        <f>F181/F$128</f>
        <v>1.7409031798174882E-2</v>
      </c>
      <c r="G23" s="40"/>
      <c r="H23" s="40">
        <f>H181/H$128</f>
        <v>1.8089555350663099E-2</v>
      </c>
      <c r="I23" s="169"/>
      <c r="K23" s="40"/>
      <c r="L23" s="40">
        <f>L181/L$128</f>
        <v>1.5795513668858726E-2</v>
      </c>
      <c r="M23" s="40"/>
      <c r="N23" s="40">
        <f>N181/N$128</f>
        <v>1.7009857591186145E-2</v>
      </c>
      <c r="O23" s="169"/>
      <c r="Q23" s="40"/>
      <c r="R23" s="40"/>
      <c r="S23" s="40"/>
      <c r="T23" s="40"/>
      <c r="V23" s="40"/>
      <c r="W23" s="40"/>
      <c r="X23" s="40"/>
      <c r="Y23" s="40"/>
      <c r="AA23" s="40"/>
      <c r="AB23" s="40"/>
      <c r="AC23" s="40"/>
      <c r="AD23" s="40"/>
      <c r="AE23" s="40"/>
      <c r="AG23" s="40"/>
      <c r="AH23" s="40"/>
      <c r="AI23" s="40"/>
      <c r="AJ23" s="40"/>
    </row>
    <row r="24" spans="3:37" x14ac:dyDescent="0.3">
      <c r="C24" s="36" t="s">
        <v>16</v>
      </c>
      <c r="D24" s="110">
        <v>13</v>
      </c>
      <c r="E24" s="38"/>
      <c r="F24" s="38">
        <f>VLOOKUP($C24,'Segment IFRS17'!$W$460:$AB$531,6,0)/1000</f>
        <v>-58832.21942999999</v>
      </c>
      <c r="G24" s="38"/>
      <c r="H24" s="38">
        <f>VLOOKUP($C24,'Segment IFRS17'!$W$539:$AB$600,6,0)/1000</f>
        <v>-41103.84960999999</v>
      </c>
      <c r="I24" s="132">
        <f t="shared" si="0"/>
        <v>-0.30133777021779107</v>
      </c>
      <c r="K24" s="38"/>
      <c r="L24" s="38">
        <f>VLOOKUP($C24,'Segment IFRS17'!$W$460:$AB$531,2,0)/1000</f>
        <v>-58832.21942999999</v>
      </c>
      <c r="M24" s="38"/>
      <c r="N24" s="38">
        <f>VLOOKUP($C24,'Segment IFRS17'!$W$539:$AB$600,2,0)/1000</f>
        <v>-41103.84960999999</v>
      </c>
      <c r="O24" s="132">
        <f>N24/L24-1</f>
        <v>-0.30133777021779107</v>
      </c>
      <c r="Q24" s="38"/>
      <c r="R24" s="38">
        <f>VLOOKUP($C24,'Segment IFRS17'!$W$460:$AB$531,3,0)/1000</f>
        <v>0</v>
      </c>
      <c r="S24" s="38"/>
      <c r="T24" s="38">
        <f>VLOOKUP($C24,'Segment IFRS17'!$W$539:$AB$600,3,0)/1000</f>
        <v>0</v>
      </c>
      <c r="V24" s="38"/>
      <c r="W24" s="38">
        <f>VLOOKUP($C24,'Segment IFRS17'!$W$460:$AB$531,4,0)/1000</f>
        <v>0</v>
      </c>
      <c r="X24" s="38"/>
      <c r="Y24" s="38">
        <f>VLOOKUP($C24,'Segment IFRS17'!$W$539:$AB$600,4,0)/1000</f>
        <v>0</v>
      </c>
      <c r="AA24" s="38"/>
      <c r="AB24" s="38">
        <f>R24+W24</f>
        <v>0</v>
      </c>
      <c r="AC24" s="38"/>
      <c r="AD24" s="38">
        <f>T24+Y24</f>
        <v>0</v>
      </c>
      <c r="AG24" s="38"/>
      <c r="AH24" s="38">
        <f>VLOOKUP($C24,'Segment IFRS17'!$W$460:$AB$531,5,0)/1000</f>
        <v>0</v>
      </c>
      <c r="AI24" s="38"/>
      <c r="AJ24" s="38">
        <f>VLOOKUP($C24,'Segment IFRS17'!$W$539:$AB$600,5,0)/1000</f>
        <v>0</v>
      </c>
    </row>
    <row r="25" spans="3:37" x14ac:dyDescent="0.3">
      <c r="C25" s="39" t="s">
        <v>126</v>
      </c>
      <c r="D25" s="109"/>
      <c r="E25" s="40"/>
      <c r="F25" s="40">
        <f>-F24/F$128</f>
        <v>1.2436070512577026E-2</v>
      </c>
      <c r="G25" s="40"/>
      <c r="H25" s="40">
        <f>-H24/H$128</f>
        <v>8.1574155814960678E-3</v>
      </c>
      <c r="I25" s="169"/>
      <c r="K25" s="40"/>
      <c r="L25" s="40">
        <f>-L24/L$128</f>
        <v>1.2436070512577026E-2</v>
      </c>
      <c r="M25" s="40"/>
      <c r="N25" s="40">
        <f>-N24/N$128</f>
        <v>8.1574155814960678E-3</v>
      </c>
      <c r="O25" s="169"/>
      <c r="Q25" s="40"/>
      <c r="R25" s="40"/>
      <c r="S25" s="40"/>
      <c r="T25" s="40"/>
      <c r="V25" s="40"/>
      <c r="W25" s="40"/>
      <c r="X25" s="40"/>
      <c r="Y25" s="40"/>
      <c r="AA25" s="40"/>
      <c r="AB25" s="40"/>
      <c r="AC25" s="40"/>
      <c r="AD25" s="40"/>
      <c r="AE25" s="40"/>
      <c r="AG25" s="40"/>
      <c r="AH25" s="40">
        <f>-AH24/AH$128</f>
        <v>0</v>
      </c>
      <c r="AI25" s="40"/>
      <c r="AJ25" s="40">
        <f>-AJ24/AJ$128</f>
        <v>0</v>
      </c>
    </row>
    <row r="26" spans="3:37" x14ac:dyDescent="0.3">
      <c r="C26" s="39" t="s">
        <v>127</v>
      </c>
      <c r="D26" s="109"/>
      <c r="E26" s="40"/>
      <c r="F26" s="40">
        <f>-F185/F$128</f>
        <v>1.1290384411978186E-2</v>
      </c>
      <c r="G26" s="40"/>
      <c r="H26" s="40">
        <f>-H185/H$128</f>
        <v>7.5359080444411834E-3</v>
      </c>
      <c r="I26" s="169"/>
      <c r="K26" s="40"/>
      <c r="L26" s="40">
        <f>-L185/L$128</f>
        <v>1.1290384411978186E-2</v>
      </c>
      <c r="M26" s="40"/>
      <c r="N26" s="40">
        <f>-N185/N$128</f>
        <v>7.5359080444411834E-3</v>
      </c>
      <c r="O26" s="169"/>
      <c r="Q26" s="40"/>
      <c r="R26" s="40"/>
      <c r="S26" s="40"/>
      <c r="T26" s="40"/>
      <c r="V26" s="40"/>
      <c r="W26" s="40"/>
      <c r="X26" s="40"/>
      <c r="Y26" s="40"/>
      <c r="AA26" s="40"/>
      <c r="AB26" s="40"/>
      <c r="AC26" s="40"/>
      <c r="AD26" s="40"/>
      <c r="AE26" s="40"/>
      <c r="AG26" s="40"/>
      <c r="AH26" s="40"/>
      <c r="AI26" s="40"/>
      <c r="AJ26" s="40"/>
    </row>
    <row r="27" spans="3:37" x14ac:dyDescent="0.3">
      <c r="C27" s="43" t="s">
        <v>17</v>
      </c>
      <c r="D27" s="111"/>
      <c r="E27" s="44"/>
      <c r="F27" s="44">
        <f>F21+F24</f>
        <v>33889.948109999976</v>
      </c>
      <c r="G27" s="44"/>
      <c r="H27" s="44">
        <f>H21+H24</f>
        <v>50046.387277779082</v>
      </c>
      <c r="I27" s="170">
        <f t="shared" si="0"/>
        <v>0.47673248466886231</v>
      </c>
      <c r="K27" s="44"/>
      <c r="L27" s="44">
        <f>L21+L24</f>
        <v>26256.761039999976</v>
      </c>
      <c r="M27" s="44"/>
      <c r="N27" s="44">
        <f>N21+N24</f>
        <v>44605.971267779081</v>
      </c>
      <c r="O27" s="170">
        <f>N27/L27-1</f>
        <v>0.69883753749465227</v>
      </c>
      <c r="Q27" s="44"/>
      <c r="R27" s="44">
        <f>R21+R24</f>
        <v>0</v>
      </c>
      <c r="S27" s="44"/>
      <c r="T27" s="44">
        <f>T21+T24</f>
        <v>0</v>
      </c>
      <c r="U27" s="49"/>
      <c r="V27" s="44"/>
      <c r="W27" s="44">
        <f>W21+W24</f>
        <v>0</v>
      </c>
      <c r="X27" s="44"/>
      <c r="Y27" s="44">
        <f>Y21+Y24</f>
        <v>0</v>
      </c>
      <c r="Z27" s="49"/>
      <c r="AA27" s="44"/>
      <c r="AB27" s="44">
        <f>AB21+AB24</f>
        <v>0</v>
      </c>
      <c r="AC27" s="44"/>
      <c r="AD27" s="44">
        <f>AD21+AD24</f>
        <v>0</v>
      </c>
      <c r="AE27" s="265"/>
      <c r="AF27" s="49"/>
      <c r="AG27" s="44"/>
      <c r="AH27" s="44">
        <f>AH21+AH24</f>
        <v>7633.187069999999</v>
      </c>
      <c r="AI27" s="44"/>
      <c r="AJ27" s="44">
        <f>AJ21+AJ24</f>
        <v>5440.416009999999</v>
      </c>
      <c r="AK27" s="49"/>
    </row>
    <row r="28" spans="3:37" x14ac:dyDescent="0.3">
      <c r="C28" s="39" t="s">
        <v>91</v>
      </c>
      <c r="D28" s="109"/>
      <c r="E28" s="40"/>
      <c r="F28" s="40">
        <f>F27/F$128</f>
        <v>7.163724035007671E-3</v>
      </c>
      <c r="G28" s="40"/>
      <c r="H28" s="40">
        <f>H27/H$128</f>
        <v>9.9321397691670317E-3</v>
      </c>
      <c r="I28" s="169"/>
      <c r="K28" s="40"/>
      <c r="L28" s="40">
        <f>L27/L$128</f>
        <v>5.5502059056915147E-3</v>
      </c>
      <c r="M28" s="40"/>
      <c r="N28" s="40">
        <f>N27/N$128</f>
        <v>8.8524420096900772E-3</v>
      </c>
      <c r="O28" s="169"/>
      <c r="Q28" s="40"/>
      <c r="R28" s="40"/>
      <c r="S28" s="40"/>
      <c r="T28" s="40"/>
      <c r="V28" s="40"/>
      <c r="W28" s="40"/>
      <c r="X28" s="40"/>
      <c r="Y28" s="40"/>
      <c r="AA28" s="40"/>
      <c r="AB28" s="40"/>
      <c r="AC28" s="40"/>
      <c r="AD28" s="40"/>
      <c r="AE28" s="40"/>
      <c r="AG28" s="40"/>
      <c r="AH28" s="40">
        <f>AH27/AH$128</f>
        <v>1.6135181293161565E-3</v>
      </c>
      <c r="AI28" s="40"/>
      <c r="AJ28" s="40">
        <f>AJ27/AJ$128</f>
        <v>1.0796977594769541E-3</v>
      </c>
    </row>
    <row r="29" spans="3:37" x14ac:dyDescent="0.3">
      <c r="E29" s="104"/>
      <c r="F29" s="104"/>
      <c r="G29" s="104"/>
      <c r="H29" s="104"/>
      <c r="K29" s="104"/>
      <c r="L29" s="104"/>
      <c r="M29" s="104"/>
      <c r="N29" s="104"/>
      <c r="Q29" s="104"/>
      <c r="R29" s="104"/>
      <c r="S29" s="104"/>
      <c r="T29" s="104"/>
      <c r="V29" s="104"/>
      <c r="W29" s="104"/>
      <c r="X29" s="104"/>
      <c r="Y29" s="104"/>
      <c r="AA29" s="104"/>
      <c r="AB29" s="104"/>
      <c r="AC29" s="104"/>
      <c r="AD29" s="104"/>
      <c r="AG29" s="104"/>
      <c r="AH29" s="104"/>
      <c r="AI29" s="104"/>
      <c r="AJ29" s="104"/>
    </row>
    <row r="30" spans="3:37" x14ac:dyDescent="0.3">
      <c r="C30" s="46" t="s">
        <v>20</v>
      </c>
      <c r="D30" s="113"/>
      <c r="E30" s="47"/>
      <c r="F30" s="47">
        <f>VLOOKUP($C30,'Segment IFRS17'!$W$460:$AB$531,6,0)/1000</f>
        <v>-34922.38285610899</v>
      </c>
      <c r="G30" s="47"/>
      <c r="H30" s="47">
        <f>VLOOKUP($C30,'Segment IFRS17'!$W$539:$AB$600,6,0)/1000</f>
        <v>-2965.2139280520269</v>
      </c>
      <c r="I30" s="173">
        <f t="shared" si="0"/>
        <v>-0.91509130576027342</v>
      </c>
      <c r="K30" s="47"/>
      <c r="L30" s="47">
        <f>VLOOKUP($C30,'Segment IFRS17'!$W$460:$AB$531,2,0)/1000</f>
        <v>-21848.195428814019</v>
      </c>
      <c r="M30" s="47"/>
      <c r="N30" s="47">
        <f>VLOOKUP($C30,'Segment IFRS17'!$W$539:$AB$600,2,0)/1000</f>
        <v>9942.5470693752886</v>
      </c>
      <c r="O30" s="173">
        <f>N30/L30-1</f>
        <v>-1.4550740632914139</v>
      </c>
      <c r="Q30" s="47"/>
      <c r="R30" s="47">
        <f>VLOOKUP($C30,'Segment IFRS17'!$W$460:$AB$531,3,0)/1000</f>
        <v>0</v>
      </c>
      <c r="S30" s="47"/>
      <c r="T30" s="47">
        <f>VLOOKUP($C30,'Segment IFRS17'!$W$539:$AB$600,3,0)/1000</f>
        <v>0</v>
      </c>
      <c r="V30" s="47"/>
      <c r="W30" s="47">
        <f>VLOOKUP($C30,'Segment IFRS17'!$W$460:$AB$531,4,0)/1000</f>
        <v>0</v>
      </c>
      <c r="X30" s="47"/>
      <c r="Y30" s="47">
        <f>VLOOKUP($C30,'Segment IFRS17'!$W$539:$AB$600,4,0)/1000</f>
        <v>0</v>
      </c>
      <c r="AA30" s="47"/>
      <c r="AB30" s="47">
        <f>R30+W30</f>
        <v>0</v>
      </c>
      <c r="AC30" s="47"/>
      <c r="AD30" s="47">
        <f>T30+Y30</f>
        <v>0</v>
      </c>
      <c r="AE30" s="266"/>
      <c r="AG30" s="47"/>
      <c r="AH30" s="47">
        <f>VLOOKUP($C30,'Segment IFRS17'!$W$460:$AB$531,5,0)/1000</f>
        <v>-13074.187427294974</v>
      </c>
      <c r="AI30" s="47"/>
      <c r="AJ30" s="47">
        <f>VLOOKUP($C30,'Segment IFRS17'!$W$539:$AB$600,5,0)/1000</f>
        <v>-12907.760997427315</v>
      </c>
    </row>
    <row r="32" spans="3:37" x14ac:dyDescent="0.3">
      <c r="C32" s="36" t="s">
        <v>0</v>
      </c>
      <c r="E32" s="38"/>
      <c r="F32" s="38">
        <f>VLOOKUP($C32,'Segment IFRS17'!$W$460:$AB$531,6,0)/1000</f>
        <v>0</v>
      </c>
      <c r="G32" s="38"/>
      <c r="H32" s="38">
        <f>VLOOKUP($C32,'Segment IFRS17'!$W$539:$AB$600,6,0)/1000</f>
        <v>0</v>
      </c>
      <c r="K32" s="38"/>
      <c r="L32" s="38">
        <f>VLOOKUP($C32,'Segment IFRS17'!$W$460:$AB$531,2,0)/1000</f>
        <v>0</v>
      </c>
      <c r="M32" s="38"/>
      <c r="N32" s="38">
        <f>VLOOKUP($C32,'Segment IFRS17'!$W$539:$AB$600,2,0)/1000</f>
        <v>0</v>
      </c>
      <c r="Q32" s="38"/>
      <c r="R32" s="38">
        <f>VLOOKUP($C32,'Segment IFRS17'!$W$460:$AB$531,3,0)/1000</f>
        <v>0</v>
      </c>
      <c r="S32" s="38"/>
      <c r="T32" s="38">
        <f>VLOOKUP($C32,'Segment IFRS17'!$W$539:$AB$600,3,0)/1000</f>
        <v>0</v>
      </c>
      <c r="V32" s="38"/>
      <c r="W32" s="38">
        <f>VLOOKUP($C32,'Segment IFRS17'!$W$460:$AB$531,4,0)/1000</f>
        <v>0</v>
      </c>
      <c r="X32" s="38"/>
      <c r="Y32" s="38">
        <f>VLOOKUP($C32,'Segment IFRS17'!$W$539:$AB$600,4,0)/1000</f>
        <v>0</v>
      </c>
      <c r="AA32" s="38"/>
      <c r="AB32" s="38">
        <f>R32+W32</f>
        <v>0</v>
      </c>
      <c r="AC32" s="38"/>
      <c r="AD32" s="38">
        <f>T32+Y32</f>
        <v>0</v>
      </c>
      <c r="AG32" s="38"/>
      <c r="AH32" s="38">
        <f>VLOOKUP($C32,'Segment IFRS17'!$W$460:$AB$531,5,0)/1000</f>
        <v>0</v>
      </c>
      <c r="AI32" s="38"/>
      <c r="AJ32" s="38">
        <f>VLOOKUP($C32,'Segment IFRS17'!$W$539:$AB$600,5,0)/1000</f>
        <v>0</v>
      </c>
    </row>
    <row r="33" spans="3:37" x14ac:dyDescent="0.3">
      <c r="C33" s="36" t="s">
        <v>2</v>
      </c>
      <c r="E33" s="38"/>
      <c r="F33" s="38">
        <f>VLOOKUP($C33,'Segment IFRS17'!$W$460:$AB$531,6,0)/1000</f>
        <v>-4.6999999999999999E-4</v>
      </c>
      <c r="G33" s="38"/>
      <c r="H33" s="38">
        <f>VLOOKUP($C33,'Segment IFRS17'!$W$539:$AB$600,6,0)/1000</f>
        <v>-4.6999999999999999E-4</v>
      </c>
      <c r="I33" s="132">
        <f t="shared" si="0"/>
        <v>0</v>
      </c>
      <c r="K33" s="38"/>
      <c r="L33" s="38">
        <f>VLOOKUP($C33,'Segment IFRS17'!$W$460:$AB$531,2,0)/1000</f>
        <v>-4.6999999999999999E-4</v>
      </c>
      <c r="M33" s="38"/>
      <c r="N33" s="38">
        <f>VLOOKUP($C33,'Segment IFRS17'!$W$539:$AB$600,2,0)/1000</f>
        <v>-4.6999999999999999E-4</v>
      </c>
      <c r="Q33" s="38"/>
      <c r="R33" s="38">
        <f>VLOOKUP($C33,'Segment IFRS17'!$W$460:$AB$531,3,0)/1000</f>
        <v>0</v>
      </c>
      <c r="S33" s="38"/>
      <c r="T33" s="38">
        <f>VLOOKUP($C33,'Segment IFRS17'!$W$539:$AB$600,3,0)/1000</f>
        <v>0</v>
      </c>
      <c r="V33" s="38"/>
      <c r="W33" s="38">
        <f>VLOOKUP($C33,'Segment IFRS17'!$W$460:$AB$531,4,0)/1000</f>
        <v>0</v>
      </c>
      <c r="X33" s="38"/>
      <c r="Y33" s="38">
        <f>VLOOKUP($C33,'Segment IFRS17'!$W$539:$AB$600,4,0)/1000</f>
        <v>0</v>
      </c>
      <c r="AA33" s="38"/>
      <c r="AB33" s="38">
        <f>R33+W33</f>
        <v>0</v>
      </c>
      <c r="AC33" s="38"/>
      <c r="AD33" s="38">
        <f>T33+Y33</f>
        <v>0</v>
      </c>
      <c r="AG33" s="38"/>
      <c r="AH33" s="38">
        <f>VLOOKUP($C33,'Segment IFRS17'!$W$460:$AB$531,5,0)/1000</f>
        <v>0</v>
      </c>
      <c r="AI33" s="38"/>
      <c r="AJ33" s="38">
        <f>VLOOKUP($C33,'Segment IFRS17'!$W$539:$AB$600,5,0)/1000</f>
        <v>0</v>
      </c>
    </row>
    <row r="34" spans="3:37" x14ac:dyDescent="0.3">
      <c r="C34" s="43" t="s">
        <v>21</v>
      </c>
      <c r="D34" s="111"/>
      <c r="E34" s="44"/>
      <c r="F34" s="44">
        <f>SUM(F32:F33)</f>
        <v>-4.6999999999999999E-4</v>
      </c>
      <c r="G34" s="44"/>
      <c r="H34" s="44">
        <f>SUM(H32:H33)</f>
        <v>-4.6999999999999999E-4</v>
      </c>
      <c r="I34" s="170">
        <f t="shared" si="0"/>
        <v>0</v>
      </c>
      <c r="K34" s="44"/>
      <c r="L34" s="44">
        <f>SUM(L32:L33)</f>
        <v>-4.6999999999999999E-4</v>
      </c>
      <c r="M34" s="44"/>
      <c r="N34" s="44">
        <f>SUM(N32:N33)</f>
        <v>-4.6999999999999999E-4</v>
      </c>
      <c r="O34" s="170"/>
      <c r="P34" s="49"/>
      <c r="Q34" s="44"/>
      <c r="R34" s="44">
        <f>SUM(R32:R33)</f>
        <v>0</v>
      </c>
      <c r="S34" s="44"/>
      <c r="T34" s="44">
        <f>SUM(T32:T33)</f>
        <v>0</v>
      </c>
      <c r="U34" s="49"/>
      <c r="V34" s="44"/>
      <c r="W34" s="44">
        <f>SUM(W32:W33)</f>
        <v>0</v>
      </c>
      <c r="X34" s="44"/>
      <c r="Y34" s="44">
        <f>SUM(Y32:Y33)</f>
        <v>0</v>
      </c>
      <c r="Z34" s="49"/>
      <c r="AA34" s="44"/>
      <c r="AB34" s="44">
        <f>SUM(AB32:AB33)</f>
        <v>0</v>
      </c>
      <c r="AC34" s="44"/>
      <c r="AD34" s="44">
        <f>SUM(AD32:AD33)</f>
        <v>0</v>
      </c>
      <c r="AE34" s="265"/>
      <c r="AF34" s="49"/>
      <c r="AG34" s="44"/>
      <c r="AH34" s="44">
        <f>SUM(AH32:AH33)</f>
        <v>0</v>
      </c>
      <c r="AI34" s="44"/>
      <c r="AJ34" s="44">
        <f>SUM(AJ32:AJ33)</f>
        <v>0</v>
      </c>
      <c r="AK34" s="49"/>
    </row>
    <row r="35" spans="3:37" ht="13.5" thickBot="1" x14ac:dyDescent="0.35">
      <c r="C35" s="50" t="s">
        <v>22</v>
      </c>
      <c r="D35" s="114"/>
      <c r="E35" s="51"/>
      <c r="F35" s="51">
        <f>F18+F27+F11+F30+F34</f>
        <v>745529.78302901145</v>
      </c>
      <c r="G35" s="51"/>
      <c r="H35" s="51">
        <f>H18+H27+H11+H30+H34</f>
        <v>978657.87318759214</v>
      </c>
      <c r="I35" s="174">
        <f t="shared" si="0"/>
        <v>0.31270124341834471</v>
      </c>
      <c r="J35" s="132">
        <f>H35/$H$64</f>
        <v>0.82325334422998719</v>
      </c>
      <c r="K35" s="51"/>
      <c r="L35" s="51">
        <f>L18+L27+L11+L30+L34</f>
        <v>750461.09218630637</v>
      </c>
      <c r="M35" s="51"/>
      <c r="N35" s="51">
        <f>N18+N27+N11+N30+N34</f>
        <v>982965.42110501952</v>
      </c>
      <c r="O35" s="174">
        <f>N35/L35-1</f>
        <v>0.30981530067249996</v>
      </c>
      <c r="P35" s="259"/>
      <c r="Q35" s="51"/>
      <c r="R35" s="51">
        <f>R18+R27+R11+R30+R34</f>
        <v>0</v>
      </c>
      <c r="S35" s="51"/>
      <c r="T35" s="51">
        <f>T18+T27+T11+T30+T34</f>
        <v>0</v>
      </c>
      <c r="U35" s="53"/>
      <c r="V35" s="51"/>
      <c r="W35" s="51">
        <f>W18+W27+W11+W30+W34</f>
        <v>0</v>
      </c>
      <c r="X35" s="51"/>
      <c r="Y35" s="51">
        <f>Y18+Y27+Y11+Y30+Y34</f>
        <v>0</v>
      </c>
      <c r="Z35" s="53"/>
      <c r="AA35" s="51"/>
      <c r="AB35" s="51">
        <f>AB18+AB27+AB11+AB30+AB34</f>
        <v>0</v>
      </c>
      <c r="AC35" s="51"/>
      <c r="AD35" s="51">
        <f>AD18+AD27+AD11+AD30+AD34</f>
        <v>0</v>
      </c>
      <c r="AE35" s="267"/>
      <c r="AF35" s="53"/>
      <c r="AG35" s="51"/>
      <c r="AH35" s="51">
        <f>AH18+AH27+AH11+AH30+AH34</f>
        <v>-4931.3091572949743</v>
      </c>
      <c r="AI35" s="51"/>
      <c r="AJ35" s="51">
        <f>AJ18+AJ27+AJ11+AJ30+AJ34</f>
        <v>-4307.547917427315</v>
      </c>
      <c r="AK35" s="53"/>
    </row>
    <row r="36" spans="3:37" ht="13.5" thickTop="1" x14ac:dyDescent="0.3">
      <c r="C36" s="39" t="s">
        <v>58</v>
      </c>
      <c r="D36" s="109"/>
      <c r="E36" s="41"/>
      <c r="F36" s="41">
        <f>(F35-F24-F17-F15-F10)/1000</f>
        <v>1628.4344679890114</v>
      </c>
      <c r="G36" s="41"/>
      <c r="H36" s="41">
        <f>(H35-H24-H17-H15-H10)/1000</f>
        <v>2069.665396118985</v>
      </c>
      <c r="I36" s="169">
        <f t="shared" si="0"/>
        <v>0.2709540585166188</v>
      </c>
      <c r="K36" s="41"/>
      <c r="L36" s="41">
        <f>(L35-L24-L17-L15-L10)/1000</f>
        <v>1633.338422566306</v>
      </c>
      <c r="M36" s="41"/>
      <c r="N36" s="41">
        <f>(N35-N24-N17-N15-N10)/1000</f>
        <v>2073.9206297164119</v>
      </c>
      <c r="O36" s="169"/>
      <c r="Q36" s="41"/>
      <c r="R36" s="41"/>
      <c r="S36" s="41"/>
      <c r="T36" s="41"/>
      <c r="V36" s="41"/>
      <c r="W36" s="41"/>
      <c r="X36" s="41"/>
      <c r="Y36" s="41"/>
      <c r="AA36" s="41"/>
      <c r="AB36" s="41"/>
      <c r="AC36" s="41"/>
      <c r="AD36" s="41"/>
      <c r="AE36" s="40"/>
      <c r="AG36" s="41"/>
      <c r="AH36" s="41">
        <f>(AH35-AH24-AH17-AH15-AH10)/1000</f>
        <v>-4.9039545772949742</v>
      </c>
      <c r="AI36" s="41"/>
      <c r="AJ36" s="41">
        <f>(AJ35-AJ24-AJ17-AJ15-AJ10)/1000</f>
        <v>-4.2552335974273143</v>
      </c>
    </row>
    <row r="37" spans="3:37" x14ac:dyDescent="0.3">
      <c r="C37" s="39" t="s">
        <v>59</v>
      </c>
      <c r="D37" s="109"/>
      <c r="E37" s="40"/>
      <c r="F37" s="40">
        <f>(F36*1000)/F139</f>
        <v>0.34150088268947726</v>
      </c>
      <c r="G37" s="40"/>
      <c r="H37" s="40">
        <f>(H36*1000)/H139</f>
        <v>0.40451688402022185</v>
      </c>
      <c r="I37" s="169">
        <f t="shared" si="0"/>
        <v>0.18452661332663167</v>
      </c>
      <c r="K37" s="40"/>
      <c r="L37" s="40">
        <f>(L36*1000)/L139</f>
        <v>0.34252929669675586</v>
      </c>
      <c r="M37" s="40"/>
      <c r="N37" s="40">
        <f>(N36*1000)/N139</f>
        <v>0.40534857103534855</v>
      </c>
      <c r="O37" s="169"/>
      <c r="Q37" s="40"/>
      <c r="R37" s="40"/>
      <c r="S37" s="40"/>
      <c r="T37" s="40"/>
      <c r="V37" s="40"/>
      <c r="W37" s="40"/>
      <c r="X37" s="40"/>
      <c r="Y37" s="40"/>
      <c r="AA37" s="40"/>
      <c r="AB37" s="40"/>
      <c r="AC37" s="40"/>
      <c r="AD37" s="40"/>
      <c r="AE37" s="40"/>
      <c r="AG37" s="40"/>
      <c r="AH37" s="40">
        <f>(AH36*1000)/AH139</f>
        <v>-1.0284140072786992E-3</v>
      </c>
      <c r="AI37" s="40"/>
      <c r="AJ37" s="40">
        <f>(AJ36*1000)/AJ139</f>
        <v>-8.3168701512681517E-4</v>
      </c>
    </row>
    <row r="38" spans="3:37" x14ac:dyDescent="0.3">
      <c r="C38" s="39" t="s">
        <v>60</v>
      </c>
      <c r="D38" s="109"/>
      <c r="E38" s="40"/>
      <c r="F38" s="40">
        <f>(F36*1000)/AVERAGE(E123:F123)*2</f>
        <v>0.15691070856760594</v>
      </c>
      <c r="G38" s="40"/>
      <c r="H38" s="40">
        <f>(H36*1000)/AVERAGE(G123:H123)*2</f>
        <v>0.2000789212941691</v>
      </c>
      <c r="I38" s="169">
        <f t="shared" si="0"/>
        <v>0.2751132355505479</v>
      </c>
      <c r="K38" s="40"/>
      <c r="L38" s="40">
        <f>(L36*1000)/AVERAGE(K123:L123)*2</f>
        <v>0.1573832378603916</v>
      </c>
      <c r="M38" s="40"/>
      <c r="N38" s="40">
        <f>(N36*1000)/AVERAGE(M123:N123)*2</f>
        <v>0.20049028370551558</v>
      </c>
      <c r="O38" s="169"/>
      <c r="Q38" s="40"/>
      <c r="R38" s="40"/>
      <c r="S38" s="40"/>
      <c r="T38" s="40"/>
      <c r="V38" s="40"/>
      <c r="W38" s="40"/>
      <c r="X38" s="40"/>
      <c r="Y38" s="40"/>
      <c r="AA38" s="40"/>
      <c r="AB38" s="40"/>
      <c r="AC38" s="40"/>
      <c r="AD38" s="40"/>
      <c r="AE38" s="40"/>
      <c r="AG38" s="40"/>
      <c r="AH38" s="40">
        <f>(AH36*1000)/AVERAGE(AG123:AH123)*2</f>
        <v>-4.7252929278570227E-4</v>
      </c>
      <c r="AI38" s="40"/>
      <c r="AJ38" s="40">
        <f>(AJ36*1000)/AVERAGE(AI123:AJ123)*2</f>
        <v>-4.1136241134652365E-4</v>
      </c>
    </row>
    <row r="39" spans="3:37" x14ac:dyDescent="0.3">
      <c r="C39" s="45"/>
      <c r="D39" s="112"/>
      <c r="E39" s="45"/>
      <c r="F39" s="45"/>
      <c r="G39" s="45"/>
      <c r="H39" s="45"/>
      <c r="I39" s="172"/>
      <c r="K39" s="45"/>
      <c r="L39" s="45"/>
      <c r="M39" s="45"/>
      <c r="N39" s="45"/>
      <c r="O39" s="172"/>
      <c r="Q39" s="45"/>
      <c r="R39" s="45"/>
      <c r="S39" s="45"/>
      <c r="T39" s="45"/>
      <c r="V39" s="45"/>
      <c r="W39" s="45"/>
      <c r="X39" s="45"/>
      <c r="Y39" s="45"/>
      <c r="AA39" s="45"/>
      <c r="AB39" s="45"/>
      <c r="AC39" s="45"/>
      <c r="AD39" s="45"/>
      <c r="AE39" s="249"/>
      <c r="AG39" s="45"/>
      <c r="AH39" s="45"/>
      <c r="AI39" s="45"/>
      <c r="AJ39" s="45"/>
    </row>
    <row r="40" spans="3:37" x14ac:dyDescent="0.3">
      <c r="C40" s="37" t="s">
        <v>23</v>
      </c>
      <c r="D40" s="107"/>
      <c r="E40" s="37"/>
      <c r="F40" s="37"/>
      <c r="G40" s="37"/>
      <c r="H40" s="37"/>
      <c r="I40" s="171"/>
      <c r="K40" s="37"/>
      <c r="L40" s="37"/>
      <c r="M40" s="37"/>
      <c r="N40" s="37"/>
      <c r="O40" s="171"/>
      <c r="Q40" s="37"/>
      <c r="R40" s="37"/>
      <c r="S40" s="37"/>
      <c r="T40" s="37"/>
      <c r="V40" s="37"/>
      <c r="W40" s="37"/>
      <c r="X40" s="37"/>
      <c r="Y40" s="37"/>
      <c r="AA40" s="37"/>
      <c r="AB40" s="37"/>
      <c r="AC40" s="37"/>
      <c r="AD40" s="37"/>
      <c r="AE40" s="256"/>
      <c r="AG40" s="37"/>
      <c r="AH40" s="37"/>
      <c r="AI40" s="37"/>
      <c r="AJ40" s="37"/>
    </row>
    <row r="41" spans="3:37" ht="14.5" x14ac:dyDescent="0.35">
      <c r="C41" t="s">
        <v>241</v>
      </c>
      <c r="E41" s="38"/>
      <c r="F41" s="38">
        <f>VLOOKUP($C41,'Segment IFRS17'!$W$460:$AB$531,6,0)/1000</f>
        <v>821899.71396989177</v>
      </c>
      <c r="G41" s="38"/>
      <c r="H41" s="38">
        <f>VLOOKUP($C41,'Segment IFRS17'!$W$539:$AB$600,6,0)/1000</f>
        <v>1326700.34794875</v>
      </c>
      <c r="I41" s="132">
        <f t="shared" si="0"/>
        <v>0.61418762581215636</v>
      </c>
      <c r="K41" s="38"/>
      <c r="L41" s="38">
        <f>VLOOKUP($C41,'Segment IFRS17'!$W$460:$AB$531,2,0)/1000</f>
        <v>0</v>
      </c>
      <c r="M41" s="38"/>
      <c r="N41" s="38">
        <f>VLOOKUP($C41,'Segment IFRS17'!$W$539:$AB$600,2,0)/1000</f>
        <v>0</v>
      </c>
      <c r="Q41" s="38"/>
      <c r="R41" s="38">
        <f>VLOOKUP($C41,'Segment IFRS17'!$W$460:$AB$531,3,0)/1000</f>
        <v>821899.71396989177</v>
      </c>
      <c r="S41" s="38"/>
      <c r="T41" s="38">
        <f>VLOOKUP($C41,'Segment IFRS17'!$W$539:$AB$600,3,0)/1000</f>
        <v>1326700.34794875</v>
      </c>
      <c r="V41" s="38"/>
      <c r="W41" s="38">
        <f>VLOOKUP($C41,'Segment IFRS17'!$W$460:$AB$531,4,0)/1000</f>
        <v>0</v>
      </c>
      <c r="X41" s="38"/>
      <c r="Y41" s="38">
        <f>VLOOKUP($C41,'Segment IFRS17'!$W$539:$AB$600,4,0)/1000</f>
        <v>0</v>
      </c>
      <c r="AA41" s="38"/>
      <c r="AB41" s="38">
        <f>R41+W41</f>
        <v>821899.71396989177</v>
      </c>
      <c r="AC41" s="38"/>
      <c r="AD41" s="38">
        <f>T41+Y41</f>
        <v>1326700.34794875</v>
      </c>
      <c r="AE41" s="133">
        <f>AD41/AB41-1</f>
        <v>0.61418762581215636</v>
      </c>
      <c r="AG41" s="38"/>
      <c r="AH41" s="38">
        <f>VLOOKUP($C41,'Segment IFRS17'!$W$460:$AB$531,5,0)/1000</f>
        <v>0</v>
      </c>
      <c r="AI41" s="38"/>
      <c r="AJ41" s="38">
        <f>VLOOKUP($C41,'Segment IFRS17'!$W$539:$AB$600,5,0)/1000</f>
        <v>0</v>
      </c>
    </row>
    <row r="42" spans="3:37" ht="14.5" x14ac:dyDescent="0.35">
      <c r="C42" t="s">
        <v>231</v>
      </c>
      <c r="E42" s="38"/>
      <c r="F42" s="38">
        <f>VLOOKUP($C42,'Segment IFRS17'!$W$460:$AB$531,6,0)/1000</f>
        <v>-784463.58814035822</v>
      </c>
      <c r="G42" s="38"/>
      <c r="H42" s="38">
        <f>VLOOKUP($C42,'Segment IFRS17'!$W$539:$AB$600,6,0)/1000</f>
        <v>-1202632.7363387549</v>
      </c>
      <c r="I42" s="132">
        <f t="shared" si="0"/>
        <v>0.53306380885020355</v>
      </c>
      <c r="K42" s="38"/>
      <c r="L42" s="38">
        <f>VLOOKUP($C42,'Segment IFRS17'!$W$460:$AB$531,2,0)/1000</f>
        <v>0</v>
      </c>
      <c r="M42" s="38"/>
      <c r="N42" s="38">
        <f>VLOOKUP($C42,'Segment IFRS17'!$W$539:$AB$600,2,0)/1000</f>
        <v>0</v>
      </c>
      <c r="Q42" s="38"/>
      <c r="R42" s="38">
        <f>VLOOKUP($C42,'Segment IFRS17'!$W$460:$AB$531,3,0)/1000</f>
        <v>-784463.58814035822</v>
      </c>
      <c r="S42" s="38"/>
      <c r="T42" s="38">
        <f>VLOOKUP($C42,'Segment IFRS17'!$W$539:$AB$600,3,0)/1000</f>
        <v>-1202632.7363387549</v>
      </c>
      <c r="V42" s="38"/>
      <c r="W42" s="38">
        <f>VLOOKUP($C42,'Segment IFRS17'!$W$460:$AB$531,4,0)/1000</f>
        <v>0</v>
      </c>
      <c r="X42" s="38"/>
      <c r="Y42" s="38">
        <f>VLOOKUP($C42,'Segment IFRS17'!$W$539:$AB$600,4,0)/1000</f>
        <v>0</v>
      </c>
      <c r="AA42" s="38"/>
      <c r="AB42" s="38">
        <f>R42+W42</f>
        <v>-784463.58814035822</v>
      </c>
      <c r="AC42" s="38"/>
      <c r="AD42" s="38">
        <f>T42+Y42</f>
        <v>-1202632.7363387549</v>
      </c>
      <c r="AE42" s="133">
        <f>AD42/AB42-1</f>
        <v>0.53306380885020355</v>
      </c>
      <c r="AG42" s="38"/>
      <c r="AH42" s="38">
        <f>VLOOKUP($C42,'Segment IFRS17'!$W$460:$AB$531,5,0)/1000</f>
        <v>0</v>
      </c>
      <c r="AI42" s="38"/>
      <c r="AJ42" s="38">
        <f>VLOOKUP($C42,'Segment IFRS17'!$W$539:$AB$600,5,0)/1000</f>
        <v>0</v>
      </c>
    </row>
    <row r="43" spans="3:37" ht="13.5" thickBot="1" x14ac:dyDescent="0.35">
      <c r="C43" s="54" t="s">
        <v>238</v>
      </c>
      <c r="D43" s="55"/>
      <c r="E43" s="55"/>
      <c r="F43" s="55">
        <f>SUM(F41:F42)</f>
        <v>37436.125829533557</v>
      </c>
      <c r="G43" s="55"/>
      <c r="H43" s="55">
        <f>SUM(H41:H42)</f>
        <v>124067.61160999513</v>
      </c>
      <c r="I43" s="175">
        <f t="shared" si="0"/>
        <v>2.3141146115102953</v>
      </c>
      <c r="K43" s="55"/>
      <c r="L43" s="55">
        <f>SUM(L41:L42)</f>
        <v>0</v>
      </c>
      <c r="M43" s="55"/>
      <c r="N43" s="55">
        <f>SUM(N41:N42)</f>
        <v>0</v>
      </c>
      <c r="O43" s="175"/>
      <c r="Q43" s="55"/>
      <c r="R43" s="55">
        <f>SUM(R41:R42)</f>
        <v>37436.125829533557</v>
      </c>
      <c r="S43" s="55"/>
      <c r="T43" s="55">
        <f>SUM(T41:T42)</f>
        <v>124067.61160999513</v>
      </c>
      <c r="V43" s="55"/>
      <c r="W43" s="55">
        <f>SUM(W41:W42)</f>
        <v>0</v>
      </c>
      <c r="X43" s="55"/>
      <c r="Y43" s="55">
        <f>SUM(Y41:Y42)</f>
        <v>0</v>
      </c>
      <c r="AA43" s="55"/>
      <c r="AB43" s="55">
        <f>SUM(AB41:AB42)</f>
        <v>37436.125829533557</v>
      </c>
      <c r="AC43" s="55"/>
      <c r="AD43" s="55">
        <f>SUM(AD41:AD42)</f>
        <v>124067.61160999513</v>
      </c>
      <c r="AE43" s="268">
        <f>AD43/AB43-1</f>
        <v>2.3141146115102953</v>
      </c>
      <c r="AG43" s="55"/>
      <c r="AH43" s="55">
        <f>SUM(AH41:AH42)</f>
        <v>0</v>
      </c>
      <c r="AI43" s="55"/>
      <c r="AJ43" s="55">
        <f>SUM(AJ41:AJ42)</f>
        <v>0</v>
      </c>
    </row>
    <row r="44" spans="3:37" ht="15" thickTop="1" x14ac:dyDescent="0.35">
      <c r="C44" t="s">
        <v>233</v>
      </c>
      <c r="D44" s="109"/>
      <c r="E44" s="38"/>
      <c r="F44" s="38">
        <f>VLOOKUP($C44,'Segment IFRS17'!$W$460:$AB$531,6,0)/1000</f>
        <v>-226336.01484263825</v>
      </c>
      <c r="G44" s="38"/>
      <c r="H44" s="38">
        <f>VLOOKUP($C44,'Segment IFRS17'!$W$539:$AB$600,6,0)/1000</f>
        <v>-426761.58146552683</v>
      </c>
      <c r="I44" s="169">
        <f t="shared" si="0"/>
        <v>0.88552220362382861</v>
      </c>
      <c r="K44" s="38"/>
      <c r="L44" s="38"/>
      <c r="M44" s="38"/>
      <c r="N44" s="38">
        <f>VLOOKUP($C44,'Segment IFRS17'!$W$539:$AB$600,2,0)/1000</f>
        <v>0</v>
      </c>
      <c r="O44" s="169"/>
      <c r="Q44" s="38"/>
      <c r="R44" s="38">
        <f>VLOOKUP($C44,'Segment IFRS17'!$W$460:$AB$531,3,0)/1000</f>
        <v>-226336.01484263825</v>
      </c>
      <c r="S44" s="38"/>
      <c r="T44" s="38">
        <f>VLOOKUP($C44,'Segment IFRS17'!$W$539:$AB$600,3,0)/1000</f>
        <v>-426761.58146552683</v>
      </c>
      <c r="V44" s="38"/>
      <c r="W44" s="38">
        <f>VLOOKUP($C44,'Segment IFRS17'!$W$460:$AB$531,4,0)/1000</f>
        <v>0</v>
      </c>
      <c r="X44" s="38"/>
      <c r="Y44" s="38">
        <f>VLOOKUP($C44,'Segment IFRS17'!$W$539:$AB$600,4,0)/1000</f>
        <v>0</v>
      </c>
      <c r="AA44" s="38"/>
      <c r="AB44" s="38">
        <f>R44+W44</f>
        <v>-226336.01484263825</v>
      </c>
      <c r="AC44" s="38"/>
      <c r="AD44" s="38">
        <f>T44+Y44</f>
        <v>-426761.58146552683</v>
      </c>
      <c r="AG44" s="38"/>
      <c r="AH44" s="38">
        <f>VLOOKUP($C44,'Segment IFRS17'!$W$460:$AB$531,5,0)/1000</f>
        <v>0</v>
      </c>
      <c r="AI44" s="38"/>
      <c r="AJ44" s="38">
        <f>VLOOKUP($C44,'Segment IFRS17'!$W$539:$AB$600,5,0)/1000</f>
        <v>0</v>
      </c>
    </row>
    <row r="45" spans="3:37" ht="14.5" x14ac:dyDescent="0.35">
      <c r="C45" t="s">
        <v>234</v>
      </c>
      <c r="D45" s="109"/>
      <c r="E45" s="38"/>
      <c r="F45" s="38">
        <f>VLOOKUP($C45,'Segment IFRS17'!$W$460:$AB$531,6,0)/1000</f>
        <v>264229.05982902634</v>
      </c>
      <c r="G45" s="38"/>
      <c r="H45" s="38">
        <f>VLOOKUP($C45,'Segment IFRS17'!$W$539:$AB$600,6,0)/1000</f>
        <v>397134.43995315849</v>
      </c>
      <c r="I45" s="169">
        <f t="shared" si="0"/>
        <v>0.50299304781287391</v>
      </c>
      <c r="K45" s="38"/>
      <c r="L45" s="38"/>
      <c r="M45" s="38"/>
      <c r="N45" s="38">
        <f>VLOOKUP($C45,'Segment IFRS17'!$W$539:$AB$600,2,0)/1000</f>
        <v>0</v>
      </c>
      <c r="O45" s="169"/>
      <c r="Q45" s="38"/>
      <c r="R45" s="38">
        <f>VLOOKUP($C45,'Segment IFRS17'!$W$460:$AB$531,3,0)/1000</f>
        <v>264229.05982902634</v>
      </c>
      <c r="S45" s="38"/>
      <c r="T45" s="38">
        <f>VLOOKUP($C45,'Segment IFRS17'!$W$539:$AB$600,3,0)/1000</f>
        <v>397134.43995315849</v>
      </c>
      <c r="V45" s="38"/>
      <c r="W45" s="38">
        <f>VLOOKUP($C45,'Segment IFRS17'!$W$460:$AB$531,4,0)/1000</f>
        <v>0</v>
      </c>
      <c r="X45" s="38"/>
      <c r="Y45" s="38">
        <f>VLOOKUP($C45,'Segment IFRS17'!$W$539:$AB$600,4,0)/1000</f>
        <v>0</v>
      </c>
      <c r="AA45" s="38"/>
      <c r="AB45" s="38">
        <f>R45+W45</f>
        <v>264229.05982902634</v>
      </c>
      <c r="AC45" s="38"/>
      <c r="AD45" s="38">
        <f>T45+Y45</f>
        <v>397134.43995315849</v>
      </c>
      <c r="AG45" s="38"/>
      <c r="AH45" s="38">
        <f>VLOOKUP($C45,'Segment IFRS17'!$W$460:$AB$531,5,0)/1000</f>
        <v>0</v>
      </c>
      <c r="AI45" s="38"/>
      <c r="AJ45" s="38">
        <f>VLOOKUP($C45,'Segment IFRS17'!$W$539:$AB$600,5,0)/1000</f>
        <v>0</v>
      </c>
    </row>
    <row r="46" spans="3:37" ht="13.5" thickBot="1" x14ac:dyDescent="0.35">
      <c r="C46" s="54" t="s">
        <v>239</v>
      </c>
      <c r="D46" s="115">
        <v>15</v>
      </c>
      <c r="E46" s="252"/>
      <c r="F46" s="252">
        <f>F44+F45</f>
        <v>37893.044986388093</v>
      </c>
      <c r="G46" s="252">
        <f>G44+G45</f>
        <v>0</v>
      </c>
      <c r="H46" s="252">
        <f>H44+H45</f>
        <v>-29627.14151236834</v>
      </c>
      <c r="I46" s="175">
        <f t="shared" si="0"/>
        <v>-1.7818622526379437</v>
      </c>
      <c r="K46" s="252"/>
      <c r="L46" s="252">
        <f>L44+L45</f>
        <v>0</v>
      </c>
      <c r="M46" s="252">
        <f>M44+M45</f>
        <v>0</v>
      </c>
      <c r="N46" s="252">
        <f>N44+N45</f>
        <v>0</v>
      </c>
      <c r="O46" s="175"/>
      <c r="Q46" s="252"/>
      <c r="R46" s="252">
        <f>R44+R45</f>
        <v>37893.044986388093</v>
      </c>
      <c r="S46" s="252">
        <f>S44+S45</f>
        <v>0</v>
      </c>
      <c r="T46" s="252">
        <f>T44+T45</f>
        <v>-29627.14151236834</v>
      </c>
      <c r="V46" s="252"/>
      <c r="W46" s="252">
        <f>W44+W45</f>
        <v>0</v>
      </c>
      <c r="X46" s="252">
        <f>X44+X45</f>
        <v>0</v>
      </c>
      <c r="Y46" s="252">
        <f>Y44+Y45</f>
        <v>0</v>
      </c>
      <c r="AA46" s="252"/>
      <c r="AB46" s="252">
        <f>AB44+AB45</f>
        <v>37893.044986388093</v>
      </c>
      <c r="AC46" s="252">
        <f>AC44+AC45</f>
        <v>0</v>
      </c>
      <c r="AD46" s="252">
        <f>AD44+AD45</f>
        <v>-29627.14151236834</v>
      </c>
      <c r="AE46" s="268">
        <f>AD46/AB46-1</f>
        <v>-1.7818622526379437</v>
      </c>
      <c r="AG46" s="252"/>
      <c r="AH46" s="252">
        <f>AH44+AH45</f>
        <v>0</v>
      </c>
      <c r="AI46" s="252">
        <f>AI44+AI45</f>
        <v>0</v>
      </c>
      <c r="AJ46" s="252">
        <f>AJ44+AJ45</f>
        <v>0</v>
      </c>
    </row>
    <row r="47" spans="3:37" ht="13.5" thickTop="1" x14ac:dyDescent="0.3">
      <c r="C47" s="36" t="s">
        <v>236</v>
      </c>
      <c r="D47" s="109"/>
      <c r="E47" s="40"/>
      <c r="F47" s="38">
        <f>VLOOKUP($C47,'Segment IFRS17'!$W$460:$AB$531,6,0)/1000</f>
        <v>-23049.04314814465</v>
      </c>
      <c r="G47" s="40"/>
      <c r="H47" s="38">
        <f>VLOOKUP($C47,'Segment IFRS17'!$W$539:$AB$600,6,0)/1000</f>
        <v>-34987.103620662318</v>
      </c>
      <c r="I47" s="169">
        <f t="shared" si="0"/>
        <v>0.5179416948368476</v>
      </c>
      <c r="K47" s="38"/>
      <c r="L47" s="38"/>
      <c r="M47" s="38"/>
      <c r="N47" s="38">
        <f>VLOOKUP($C47,'Segment IFRS17'!$W$539:$AB$600,2,0)/1000</f>
        <v>0</v>
      </c>
      <c r="O47" s="169"/>
      <c r="Q47" s="38"/>
      <c r="R47" s="38">
        <f>VLOOKUP($C47,'Segment IFRS17'!$W$460:$AB$531,3,0)/1000</f>
        <v>-23049.04314814465</v>
      </c>
      <c r="S47" s="38"/>
      <c r="T47" s="38">
        <f>VLOOKUP($C47,'Segment IFRS17'!$W$539:$AB$600,3,0)/1000</f>
        <v>-34987.103620662318</v>
      </c>
      <c r="V47" s="38"/>
      <c r="W47" s="38">
        <f>VLOOKUP($C47,'Segment IFRS17'!$W$460:$AB$531,4,0)/1000</f>
        <v>0</v>
      </c>
      <c r="X47" s="38"/>
      <c r="Y47" s="38">
        <f>VLOOKUP($C47,'Segment IFRS17'!$W$539:$AB$600,4,0)/1000</f>
        <v>0</v>
      </c>
      <c r="AA47" s="38"/>
      <c r="AB47" s="38">
        <f>R47+W47</f>
        <v>-23049.04314814465</v>
      </c>
      <c r="AC47" s="38"/>
      <c r="AD47" s="38">
        <f>T47+Y47</f>
        <v>-34987.103620662318</v>
      </c>
      <c r="AG47" s="38"/>
      <c r="AH47" s="38">
        <f>VLOOKUP($C47,'Segment IFRS17'!$W$460:$AB$531,5,0)/1000</f>
        <v>0</v>
      </c>
      <c r="AI47" s="38"/>
      <c r="AJ47" s="38">
        <f>VLOOKUP($C47,'Segment IFRS17'!$W$539:$AB$600,5,0)/1000</f>
        <v>0</v>
      </c>
    </row>
    <row r="48" spans="3:37" x14ac:dyDescent="0.3">
      <c r="C48" s="36" t="s">
        <v>237</v>
      </c>
      <c r="E48" s="38"/>
      <c r="F48" s="38">
        <f>VLOOKUP($C48,'Segment IFRS17'!$W$460:$AB$531,6,0)/1000</f>
        <v>13821.162569160681</v>
      </c>
      <c r="G48" s="38"/>
      <c r="H48" s="38">
        <f>VLOOKUP($C48,'Segment IFRS17'!$W$539:$AB$600,6,0)/1000</f>
        <v>20065.423169414153</v>
      </c>
      <c r="I48" s="132">
        <f t="shared" si="0"/>
        <v>0.45178982368577025</v>
      </c>
      <c r="K48" s="38"/>
      <c r="L48" s="38">
        <f>VLOOKUP($C48,'Segment IFRS17'!$W$460:$AB$531,2,0)/1000</f>
        <v>0</v>
      </c>
      <c r="M48" s="38"/>
      <c r="N48" s="38">
        <f>VLOOKUP($C48,'Segment IFRS17'!$W$539:$AB$600,2,0)/1000</f>
        <v>0</v>
      </c>
      <c r="Q48" s="38"/>
      <c r="R48" s="38">
        <f>VLOOKUP($C48,'Segment IFRS17'!$W$460:$AB$531,3,0)/1000</f>
        <v>13821.162569160681</v>
      </c>
      <c r="S48" s="38"/>
      <c r="T48" s="38">
        <f>VLOOKUP($C48,'Segment IFRS17'!$W$539:$AB$600,3,0)/1000</f>
        <v>20065.423169414153</v>
      </c>
      <c r="V48" s="38"/>
      <c r="W48" s="38">
        <f>VLOOKUP($C48,'Segment IFRS17'!$W$460:$AB$531,4,0)/1000</f>
        <v>0</v>
      </c>
      <c r="X48" s="38"/>
      <c r="Y48" s="38">
        <f>VLOOKUP($C48,'Segment IFRS17'!$W$539:$AB$600,4,0)/1000</f>
        <v>0</v>
      </c>
      <c r="AA48" s="38"/>
      <c r="AB48" s="38">
        <f>R48+W48</f>
        <v>13821.162569160681</v>
      </c>
      <c r="AC48" s="38"/>
      <c r="AD48" s="38">
        <f>T48+Y48</f>
        <v>20065.423169414153</v>
      </c>
      <c r="AG48" s="38"/>
      <c r="AH48" s="38">
        <f>VLOOKUP($C48,'Segment IFRS17'!$W$460:$AB$531,5,0)/1000</f>
        <v>0</v>
      </c>
      <c r="AI48" s="38"/>
      <c r="AJ48" s="38">
        <f>VLOOKUP($C48,'Segment IFRS17'!$W$539:$AB$600,5,0)/1000</f>
        <v>0</v>
      </c>
    </row>
    <row r="49" spans="3:37" x14ac:dyDescent="0.3">
      <c r="C49" s="43" t="s">
        <v>90</v>
      </c>
      <c r="D49" s="260"/>
      <c r="E49" s="261"/>
      <c r="F49" s="44">
        <f>F43+F46+F47+F48</f>
        <v>66101.290236937682</v>
      </c>
      <c r="G49" s="261"/>
      <c r="H49" s="44">
        <f>H43+H46+H47+H48</f>
        <v>79518.789646378631</v>
      </c>
      <c r="I49" s="262">
        <f t="shared" si="0"/>
        <v>0.20298392605267468</v>
      </c>
      <c r="K49" s="44"/>
      <c r="L49" s="44">
        <f>L43+L46+L47+L48</f>
        <v>0</v>
      </c>
      <c r="M49" s="261"/>
      <c r="N49" s="44">
        <f>N43+N46+N47+N48</f>
        <v>0</v>
      </c>
      <c r="O49" s="262"/>
      <c r="Q49" s="44"/>
      <c r="R49" s="44">
        <f>R43+R46+R47+R48</f>
        <v>66101.290236937682</v>
      </c>
      <c r="S49" s="261"/>
      <c r="T49" s="44">
        <f>T43+T46+T47+T48</f>
        <v>79518.789646378631</v>
      </c>
      <c r="V49" s="44"/>
      <c r="W49" s="44">
        <f>W43+W46+W47+W48</f>
        <v>0</v>
      </c>
      <c r="X49" s="261"/>
      <c r="Y49" s="44">
        <f>Y43+Y46+Y47+Y48</f>
        <v>0</v>
      </c>
      <c r="AA49" s="44"/>
      <c r="AB49" s="44">
        <f>AB43+AB46+AB47+AB48</f>
        <v>66101.290236937682</v>
      </c>
      <c r="AC49" s="261"/>
      <c r="AD49" s="44">
        <f>AD43+AD46+AD47+AD48</f>
        <v>79518.789646378631</v>
      </c>
      <c r="AE49" s="265">
        <f>AD49/AB49-1</f>
        <v>0.20298392605267468</v>
      </c>
      <c r="AF49" s="261"/>
      <c r="AG49" s="44">
        <f>AG43+AG46+AG47+AG48</f>
        <v>0</v>
      </c>
      <c r="AH49" s="44">
        <f>AH43+AH46+AH47+AH48</f>
        <v>0</v>
      </c>
      <c r="AI49" s="261"/>
      <c r="AJ49" s="44">
        <f>AJ43+AJ46+AJ47+AJ48</f>
        <v>0</v>
      </c>
    </row>
    <row r="50" spans="3:37" x14ac:dyDescent="0.3">
      <c r="C50" s="45"/>
      <c r="D50" s="109"/>
      <c r="E50" s="40"/>
      <c r="F50" s="40"/>
      <c r="G50" s="40"/>
      <c r="H50" s="40"/>
      <c r="I50" s="169"/>
      <c r="K50" s="40"/>
      <c r="L50" s="40"/>
      <c r="M50" s="40"/>
      <c r="N50" s="40"/>
      <c r="O50" s="169"/>
      <c r="Q50" s="40"/>
      <c r="R50" s="40"/>
      <c r="S50" s="40"/>
      <c r="T50" s="40"/>
      <c r="V50" s="40"/>
      <c r="W50" s="40"/>
      <c r="X50" s="40"/>
      <c r="Y50" s="40"/>
      <c r="AA50" s="40"/>
      <c r="AB50" s="40"/>
      <c r="AC50" s="40"/>
      <c r="AD50" s="40"/>
      <c r="AE50" s="40"/>
      <c r="AG50" s="40"/>
      <c r="AH50" s="40"/>
      <c r="AI50" s="40"/>
      <c r="AJ50" s="40"/>
    </row>
    <row r="51" spans="3:37" x14ac:dyDescent="0.3">
      <c r="C51" s="46" t="s">
        <v>89</v>
      </c>
      <c r="D51" s="113"/>
      <c r="E51" s="47"/>
      <c r="F51" s="47">
        <f>VLOOKUP($C51,'Segment IFRS17'!$W$460:$AB$531,6,0)/1000</f>
        <v>104374.09516240394</v>
      </c>
      <c r="G51" s="47"/>
      <c r="H51" s="47">
        <f>VLOOKUP($C51,'Segment IFRS17'!$W$539:$AB$600,6,0)/1000</f>
        <v>117563.6167900679</v>
      </c>
      <c r="I51" s="173">
        <f t="shared" si="0"/>
        <v>0.1263677697721961</v>
      </c>
      <c r="K51" s="47"/>
      <c r="L51" s="47">
        <f>VLOOKUP($C51,'Segment IFRS17'!$W$460:$AB$531,2,0)/1000</f>
        <v>0</v>
      </c>
      <c r="M51" s="47"/>
      <c r="N51" s="47">
        <f>VLOOKUP($C51,'Segment IFRS17'!$W$539:$AB$600,2,0)/1000</f>
        <v>0</v>
      </c>
      <c r="O51" s="173"/>
      <c r="Q51" s="47"/>
      <c r="R51" s="47">
        <f>VLOOKUP($C51,'Segment IFRS17'!$W$460:$AB$531,3,0)/1000</f>
        <v>102544.43731240394</v>
      </c>
      <c r="S51" s="47"/>
      <c r="T51" s="47">
        <f>VLOOKUP($C51,'Segment IFRS17'!$W$539:$AB$600,3,0)/1000</f>
        <v>116748.3226500679</v>
      </c>
      <c r="V51" s="47"/>
      <c r="W51" s="47">
        <f>VLOOKUP($C51,'Segment IFRS17'!$W$460:$AB$531,4,0)/1000</f>
        <v>1829.6578500000001</v>
      </c>
      <c r="X51" s="47"/>
      <c r="Y51" s="47">
        <f>VLOOKUP($C51,'Segment IFRS17'!$W$539:$AB$600,4,0)/1000</f>
        <v>815.29413999999997</v>
      </c>
      <c r="AA51" s="47"/>
      <c r="AB51" s="47">
        <f>R51+W51</f>
        <v>104374.09516240394</v>
      </c>
      <c r="AC51" s="47"/>
      <c r="AD51" s="47">
        <f>T51+Y51</f>
        <v>117563.6167900679</v>
      </c>
      <c r="AE51" s="266"/>
      <c r="AG51" s="47"/>
      <c r="AH51" s="47">
        <f>VLOOKUP($C51,'Segment IFRS17'!$W$460:$AB$531,5,0)/1000</f>
        <v>0</v>
      </c>
      <c r="AI51" s="47"/>
      <c r="AJ51" s="47">
        <f>VLOOKUP($C51,'Segment IFRS17'!$W$539:$AB$600,5,0)/1000</f>
        <v>0</v>
      </c>
    </row>
    <row r="53" spans="3:37" x14ac:dyDescent="0.3">
      <c r="C53" s="36" t="s">
        <v>31</v>
      </c>
      <c r="D53" s="110">
        <v>16</v>
      </c>
      <c r="E53" s="38"/>
      <c r="F53" s="38">
        <f>VLOOKUP($C53,'Segment IFRS17'!$W$460:$AB$531,6,0)/1000</f>
        <v>53609.560099999988</v>
      </c>
      <c r="G53" s="38"/>
      <c r="H53" s="38">
        <f>VLOOKUP($C53,'Segment IFRS17'!$W$539:$AB$600,6,0)/1000</f>
        <v>68859.993450000009</v>
      </c>
      <c r="I53" s="132">
        <f t="shared" si="0"/>
        <v>0.28447227176557321</v>
      </c>
      <c r="K53" s="38"/>
      <c r="L53" s="38">
        <f>VLOOKUP($C53,'Segment IFRS17'!$W$460:$AB$531,2,0)/1000</f>
        <v>0</v>
      </c>
      <c r="M53" s="38"/>
      <c r="N53" s="38">
        <f>VLOOKUP($C53,'Segment IFRS17'!$W$539:$AB$600,2,0)/1000</f>
        <v>0</v>
      </c>
      <c r="Q53" s="38"/>
      <c r="R53" s="38">
        <f>VLOOKUP($C53,'Segment IFRS17'!$W$460:$AB$531,3,0)/1000</f>
        <v>0</v>
      </c>
      <c r="S53" s="38"/>
      <c r="T53" s="38">
        <f>VLOOKUP($C53,'Segment IFRS17'!$W$539:$AB$600,3,0)/1000</f>
        <v>0</v>
      </c>
      <c r="V53" s="38"/>
      <c r="W53" s="38">
        <f>VLOOKUP($C53,'Segment IFRS17'!$W$460:$AB$531,4,0)/1000</f>
        <v>53609.560099999988</v>
      </c>
      <c r="X53" s="38"/>
      <c r="Y53" s="38">
        <f>VLOOKUP($C53,'Segment IFRS17'!$W$539:$AB$600,4,0)/1000</f>
        <v>68859.993450000009</v>
      </c>
      <c r="AA53" s="38"/>
      <c r="AB53" s="38">
        <f>R53+W53</f>
        <v>53609.560099999988</v>
      </c>
      <c r="AC53" s="38"/>
      <c r="AD53" s="38">
        <f>T53+Y53</f>
        <v>68859.993450000009</v>
      </c>
      <c r="AG53" s="38"/>
      <c r="AH53" s="38">
        <f>VLOOKUP($C53,'Segment IFRS17'!$W$460:$AB$531,5,0)/1000</f>
        <v>0</v>
      </c>
      <c r="AI53" s="38"/>
      <c r="AJ53" s="38">
        <f>VLOOKUP($C53,'Segment IFRS17'!$W$539:$AB$600,5,0)/1000</f>
        <v>0</v>
      </c>
    </row>
    <row r="54" spans="3:37" x14ac:dyDescent="0.3">
      <c r="C54" s="36" t="s">
        <v>32</v>
      </c>
      <c r="D54" s="110">
        <v>17</v>
      </c>
      <c r="E54" s="38"/>
      <c r="F54" s="38">
        <f>VLOOKUP($C54,'Segment IFRS17'!$W$460:$AB$531,6,0)/1000</f>
        <v>-20072.72104</v>
      </c>
      <c r="G54" s="38"/>
      <c r="H54" s="38">
        <f>VLOOKUP($C54,'Segment IFRS17'!$W$539:$AB$600,6,0)/1000</f>
        <v>-53127.027480000004</v>
      </c>
      <c r="I54" s="132">
        <f t="shared" si="0"/>
        <v>1.6467277343281408</v>
      </c>
      <c r="K54" s="38"/>
      <c r="L54" s="38">
        <f>VLOOKUP($C54,'Segment IFRS17'!$W$460:$AB$531,2,0)/1000</f>
        <v>0</v>
      </c>
      <c r="M54" s="38"/>
      <c r="N54" s="38">
        <f>VLOOKUP($C54,'Segment IFRS17'!$W$539:$AB$600,2,0)/1000</f>
        <v>0</v>
      </c>
      <c r="Q54" s="38"/>
      <c r="R54" s="38">
        <f>VLOOKUP($C54,'Segment IFRS17'!$W$460:$AB$531,3,0)/1000</f>
        <v>0</v>
      </c>
      <c r="S54" s="38"/>
      <c r="T54" s="38">
        <f>VLOOKUP($C54,'Segment IFRS17'!$W$539:$AB$600,3,0)/1000</f>
        <v>0</v>
      </c>
      <c r="V54" s="38"/>
      <c r="W54" s="38">
        <f>VLOOKUP($C54,'Segment IFRS17'!$W$460:$AB$531,4,0)/1000</f>
        <v>-20072.72104</v>
      </c>
      <c r="X54" s="38"/>
      <c r="Y54" s="38">
        <f>VLOOKUP($C54,'Segment IFRS17'!$W$539:$AB$600,4,0)/1000</f>
        <v>-53127.027480000004</v>
      </c>
      <c r="AA54" s="38"/>
      <c r="AB54" s="38">
        <f>R54+W54</f>
        <v>-20072.72104</v>
      </c>
      <c r="AC54" s="38"/>
      <c r="AD54" s="38">
        <f>T54+Y54</f>
        <v>-53127.027480000004</v>
      </c>
      <c r="AG54" s="38"/>
      <c r="AH54" s="38">
        <f>VLOOKUP($C54,'Segment IFRS17'!$W$460:$AB$531,5,0)/1000</f>
        <v>0</v>
      </c>
      <c r="AI54" s="38"/>
      <c r="AJ54" s="38">
        <f>VLOOKUP($C54,'Segment IFRS17'!$W$539:$AB$600,5,0)/1000</f>
        <v>0</v>
      </c>
    </row>
    <row r="55" spans="3:37" x14ac:dyDescent="0.3">
      <c r="C55" s="56" t="s">
        <v>33</v>
      </c>
      <c r="D55" s="116"/>
      <c r="E55" s="57"/>
      <c r="F55" s="57">
        <f>SUM(F53:F54)</f>
        <v>33536.839059999984</v>
      </c>
      <c r="G55" s="57"/>
      <c r="H55" s="57">
        <f>SUM(H53:H54)</f>
        <v>15732.965970000005</v>
      </c>
      <c r="I55" s="176">
        <f t="shared" si="0"/>
        <v>-0.53087510895548262</v>
      </c>
      <c r="K55" s="57"/>
      <c r="L55" s="57">
        <f>SUM(L53:L54)</f>
        <v>0</v>
      </c>
      <c r="M55" s="57"/>
      <c r="N55" s="57">
        <f>SUM(N53:N54)</f>
        <v>0</v>
      </c>
      <c r="O55" s="176"/>
      <c r="P55" s="42"/>
      <c r="Q55" s="57"/>
      <c r="R55" s="57">
        <f>SUM(R53:R54)</f>
        <v>0</v>
      </c>
      <c r="S55" s="57"/>
      <c r="T55" s="57">
        <f>SUM(T53:T54)</f>
        <v>0</v>
      </c>
      <c r="U55" s="42"/>
      <c r="V55" s="57"/>
      <c r="W55" s="57">
        <f>SUM(W53:W54)</f>
        <v>33536.839059999984</v>
      </c>
      <c r="X55" s="57"/>
      <c r="Y55" s="57">
        <f>SUM(Y53:Y54)</f>
        <v>15732.965970000005</v>
      </c>
      <c r="Z55" s="42"/>
      <c r="AA55" s="57"/>
      <c r="AB55" s="57">
        <f>SUM(AB53:AB54)</f>
        <v>33536.839059999984</v>
      </c>
      <c r="AC55" s="57"/>
      <c r="AD55" s="57">
        <f>SUM(AD53:AD54)</f>
        <v>15732.965970000005</v>
      </c>
      <c r="AE55" s="269">
        <f>AD55/AB55-1</f>
        <v>-0.53087510895548262</v>
      </c>
      <c r="AF55" s="42"/>
      <c r="AG55" s="57"/>
      <c r="AH55" s="57">
        <f>SUM(AH53:AH54)</f>
        <v>0</v>
      </c>
      <c r="AI55" s="57"/>
      <c r="AJ55" s="57">
        <f>SUM(AJ53:AJ54)</f>
        <v>0</v>
      </c>
      <c r="AK55" s="42"/>
    </row>
    <row r="56" spans="3:37" x14ac:dyDescent="0.3">
      <c r="C56" s="39" t="s">
        <v>64</v>
      </c>
      <c r="D56" s="109"/>
      <c r="E56" s="40"/>
      <c r="F56" s="40"/>
      <c r="G56" s="40"/>
      <c r="H56" s="40"/>
      <c r="I56" s="169"/>
      <c r="K56" s="40"/>
      <c r="L56" s="40"/>
      <c r="M56" s="40"/>
      <c r="N56" s="40"/>
      <c r="O56" s="169"/>
      <c r="Q56" s="40"/>
      <c r="R56" s="40"/>
      <c r="S56" s="40"/>
      <c r="T56" s="40"/>
      <c r="V56" s="40"/>
      <c r="W56" s="40">
        <f>W55/W175</f>
        <v>0.13126107378450894</v>
      </c>
      <c r="X56" s="40"/>
      <c r="Y56" s="40">
        <f>Y55/Y175</f>
        <v>4.5438164261190218E-2</v>
      </c>
      <c r="AA56" s="40"/>
      <c r="AB56" s="40"/>
      <c r="AC56" s="40"/>
      <c r="AD56" s="40"/>
      <c r="AE56" s="40"/>
      <c r="AG56" s="40"/>
      <c r="AH56" s="40"/>
      <c r="AI56" s="40"/>
      <c r="AJ56" s="40"/>
    </row>
    <row r="57" spans="3:37" ht="13.5" thickBot="1" x14ac:dyDescent="0.35">
      <c r="C57" s="50" t="s">
        <v>34</v>
      </c>
      <c r="D57" s="114"/>
      <c r="E57" s="51"/>
      <c r="F57" s="51">
        <f>F49+F51+F55</f>
        <v>204012.22445934161</v>
      </c>
      <c r="G57" s="51"/>
      <c r="H57" s="51">
        <f>H49+H51+H55</f>
        <v>212815.37240644655</v>
      </c>
      <c r="I57" s="174">
        <f t="shared" si="0"/>
        <v>4.3150100296364124E-2</v>
      </c>
      <c r="J57" s="132">
        <f>H57/$H$64</f>
        <v>0.17902167022527413</v>
      </c>
      <c r="K57" s="51"/>
      <c r="L57" s="51">
        <f>L49+L51+L55</f>
        <v>0</v>
      </c>
      <c r="M57" s="51"/>
      <c r="N57" s="51">
        <f>N49+N51+N55</f>
        <v>0</v>
      </c>
      <c r="O57" s="174"/>
      <c r="P57" s="53"/>
      <c r="Q57" s="51"/>
      <c r="R57" s="51">
        <f>R49+R51+R55</f>
        <v>168645.72754934162</v>
      </c>
      <c r="S57" s="51"/>
      <c r="T57" s="51">
        <f>T49+T51+T55</f>
        <v>196267.11229644652</v>
      </c>
      <c r="U57" s="53"/>
      <c r="V57" s="51"/>
      <c r="W57" s="51">
        <f>W49+W51+W55</f>
        <v>35366.496909999987</v>
      </c>
      <c r="X57" s="51"/>
      <c r="Y57" s="51">
        <f>Y49+Y51+Y55</f>
        <v>16548.260110000003</v>
      </c>
      <c r="Z57" s="53"/>
      <c r="AA57" s="51"/>
      <c r="AB57" s="51">
        <f>AB49+AB51+AB55</f>
        <v>204012.22445934161</v>
      </c>
      <c r="AC57" s="51"/>
      <c r="AD57" s="51">
        <f>AD49+AD51+AD55</f>
        <v>212815.37240644655</v>
      </c>
      <c r="AE57" s="267">
        <f>AD57/AB57-1</f>
        <v>4.3150100296364124E-2</v>
      </c>
      <c r="AF57" s="259"/>
      <c r="AG57" s="51"/>
      <c r="AH57" s="51">
        <f>AH49+AH51+AH55</f>
        <v>0</v>
      </c>
      <c r="AI57" s="51"/>
      <c r="AJ57" s="51">
        <f>AJ49+AJ51+AJ55</f>
        <v>0</v>
      </c>
      <c r="AK57" s="53"/>
    </row>
    <row r="58" spans="3:37" ht="13.5" thickTop="1" x14ac:dyDescent="0.3">
      <c r="C58" s="39" t="s">
        <v>79</v>
      </c>
      <c r="D58" s="109"/>
      <c r="E58" s="41"/>
      <c r="F58" s="41">
        <f>(F41+F48+F51+F53)/1000</f>
        <v>993.70453180145648</v>
      </c>
      <c r="G58" s="41"/>
      <c r="H58" s="41">
        <f>(H41+H48+H51+H53)/1000</f>
        <v>1533.1893813582319</v>
      </c>
      <c r="I58" s="169">
        <f t="shared" si="0"/>
        <v>0.54290267608899789</v>
      </c>
      <c r="K58" s="41"/>
      <c r="L58" s="41"/>
      <c r="M58" s="41"/>
      <c r="N58" s="41"/>
      <c r="O58" s="169"/>
      <c r="Q58" s="41"/>
      <c r="R58" s="41">
        <f>(R41+R48+R51+R53)/1000</f>
        <v>938.26531385145643</v>
      </c>
      <c r="S58" s="41"/>
      <c r="T58" s="41">
        <f>(T41+T48+T51+T53)/1000</f>
        <v>1463.514093768232</v>
      </c>
      <c r="V58" s="41"/>
      <c r="W58" s="41">
        <f>(W41+W48+W51+W53)/1000</f>
        <v>55.439217949999993</v>
      </c>
      <c r="X58" s="41"/>
      <c r="Y58" s="41">
        <f>(Y41+Y48+Y51+Y53)/1000</f>
        <v>69.675287590000011</v>
      </c>
      <c r="AA58" s="41"/>
      <c r="AB58" s="41">
        <f>(AB41+AB48+AB51+AB53)/1000</f>
        <v>993.70453180145648</v>
      </c>
      <c r="AC58" s="41"/>
      <c r="AD58" s="41">
        <f>(AD41+AD48+AD51+AD53)/1000</f>
        <v>1533.1893813582319</v>
      </c>
      <c r="AE58" s="40"/>
      <c r="AG58" s="41"/>
      <c r="AH58" s="41">
        <f>(AH41+AH48+AH51+AH53)/1000</f>
        <v>0</v>
      </c>
      <c r="AI58" s="41"/>
      <c r="AJ58" s="41">
        <f>(AJ41+AJ48+AJ51+AJ53)/1000</f>
        <v>0</v>
      </c>
    </row>
    <row r="60" spans="3:37" x14ac:dyDescent="0.3">
      <c r="C60" s="36" t="s">
        <v>35</v>
      </c>
      <c r="D60" s="110">
        <v>18</v>
      </c>
      <c r="E60" s="38"/>
      <c r="F60" s="38">
        <f>VLOOKUP($C60,'Segment IFRS17'!$W$460:$AB$531,6,0)/1000</f>
        <v>28929.184680413946</v>
      </c>
      <c r="G60" s="38"/>
      <c r="H60" s="38">
        <f>VLOOKUP($C60,'Segment IFRS17'!$W$539:$AB$600,6,0)/1000</f>
        <v>30414.055682816626</v>
      </c>
      <c r="I60" s="132">
        <f t="shared" si="0"/>
        <v>5.1327786068163572E-2</v>
      </c>
      <c r="K60" s="38"/>
      <c r="L60" s="38">
        <f>VLOOKUP($C60,'Segment IFRS17'!$W$460:$AB$531,2,0)/1000</f>
        <v>11346.425309999999</v>
      </c>
      <c r="M60" s="38"/>
      <c r="N60" s="38">
        <f>VLOOKUP($C60,'Segment IFRS17'!$W$539:$AB$600,2,0)/1000</f>
        <v>11586.0515</v>
      </c>
      <c r="O60" s="132">
        <f>N60/L60-1</f>
        <v>2.1119091119280453E-2</v>
      </c>
      <c r="Q60" s="38"/>
      <c r="R60" s="38">
        <f>VLOOKUP($C60,'Segment IFRS17'!$W$460:$AB$531,3,0)/1000</f>
        <v>9239.9903504139475</v>
      </c>
      <c r="S60" s="38"/>
      <c r="T60" s="38">
        <f>VLOOKUP($C60,'Segment IFRS17'!$W$539:$AB$600,3,0)/1000</f>
        <v>5049.4423528166262</v>
      </c>
      <c r="V60" s="38"/>
      <c r="W60" s="38">
        <f>VLOOKUP($C60,'Segment IFRS17'!$W$460:$AB$531,4,0)/1000</f>
        <v>0</v>
      </c>
      <c r="X60" s="38"/>
      <c r="Y60" s="38">
        <f>VLOOKUP($C60,'Segment IFRS17'!$W$539:$AB$600,4,0)/1000</f>
        <v>0</v>
      </c>
      <c r="AA60" s="38"/>
      <c r="AB60" s="38">
        <f>R60+W60</f>
        <v>9239.9903504139475</v>
      </c>
      <c r="AC60" s="38"/>
      <c r="AD60" s="38">
        <f>T60+Y60</f>
        <v>5049.4423528166262</v>
      </c>
      <c r="AG60" s="38"/>
      <c r="AH60" s="38">
        <f>VLOOKUP($C60,'Segment IFRS17'!$W$460:$AB$531,5,0)/1000</f>
        <v>8342.7690199999997</v>
      </c>
      <c r="AI60" s="38"/>
      <c r="AJ60" s="38">
        <f>VLOOKUP($C60,'Segment IFRS17'!$W$539:$AB$600,5,0)/1000</f>
        <v>13778.561830000001</v>
      </c>
    </row>
    <row r="61" spans="3:37" x14ac:dyDescent="0.3">
      <c r="C61" s="36" t="s">
        <v>36</v>
      </c>
      <c r="D61" s="110">
        <v>19</v>
      </c>
      <c r="E61" s="38"/>
      <c r="F61" s="38">
        <f>VLOOKUP($C61,'Segment IFRS17'!$W$460:$AB$531,6,0)/1000</f>
        <v>-22374.602899999998</v>
      </c>
      <c r="G61" s="38"/>
      <c r="H61" s="38">
        <f>VLOOKUP($C61,'Segment IFRS17'!$W$539:$AB$600,6,0)/1000</f>
        <v>-33118.52183999875</v>
      </c>
      <c r="I61" s="132">
        <f t="shared" si="0"/>
        <v>0.48018367020934938</v>
      </c>
      <c r="K61" s="38"/>
      <c r="L61" s="38">
        <f>VLOOKUP($C61,'Segment IFRS17'!$W$460:$AB$531,2,0)/1000</f>
        <v>-19454.757260000002</v>
      </c>
      <c r="M61" s="38"/>
      <c r="N61" s="38">
        <f>VLOOKUP($C61,'Segment IFRS17'!$W$539:$AB$600,2,0)/1000</f>
        <v>-29486.198069999999</v>
      </c>
      <c r="O61" s="132">
        <f>N61/L61-1</f>
        <v>0.515629194234418</v>
      </c>
      <c r="Q61" s="38"/>
      <c r="R61" s="38">
        <f>VLOOKUP($C61,'Segment IFRS17'!$W$460:$AB$531,3,0)/1000</f>
        <v>4.3999999994412067E-4</v>
      </c>
      <c r="S61" s="38"/>
      <c r="T61" s="38">
        <f>VLOOKUP($C61,'Segment IFRS17'!$W$539:$AB$600,3,0)/1000</f>
        <v>-16.06285999874957</v>
      </c>
      <c r="V61" s="38"/>
      <c r="W61" s="38">
        <f>VLOOKUP($C61,'Segment IFRS17'!$W$460:$AB$531,4,0)/1000</f>
        <v>0</v>
      </c>
      <c r="X61" s="38"/>
      <c r="Y61" s="38">
        <f>VLOOKUP($C61,'Segment IFRS17'!$W$539:$AB$600,4,0)/1000</f>
        <v>0</v>
      </c>
      <c r="AA61" s="38"/>
      <c r="AB61" s="38">
        <f>R61+W61</f>
        <v>4.3999999994412067E-4</v>
      </c>
      <c r="AC61" s="38"/>
      <c r="AD61" s="38">
        <f>T61+Y61</f>
        <v>-16.06285999874957</v>
      </c>
      <c r="AG61" s="38"/>
      <c r="AH61" s="38">
        <f>VLOOKUP($C61,'Segment IFRS17'!$W$460:$AB$531,5,0)/1000</f>
        <v>-2919.8460800000003</v>
      </c>
      <c r="AI61" s="38"/>
      <c r="AJ61" s="38">
        <f>VLOOKUP($C61,'Segment IFRS17'!$W$539:$AB$600,5,0)/1000</f>
        <v>-3616.26091</v>
      </c>
    </row>
    <row r="62" spans="3:37" ht="13.5" thickBot="1" x14ac:dyDescent="0.35">
      <c r="C62" s="50" t="s">
        <v>37</v>
      </c>
      <c r="D62" s="114"/>
      <c r="E62" s="58"/>
      <c r="F62" s="58">
        <f>SUM(F60:F61)</f>
        <v>6554.5817804139479</v>
      </c>
      <c r="G62" s="58"/>
      <c r="H62" s="58">
        <f>SUM(H60:H61)</f>
        <v>-2704.4661571821234</v>
      </c>
      <c r="I62" s="174">
        <f t="shared" si="0"/>
        <v>-1.4126069744470144</v>
      </c>
      <c r="J62" s="132">
        <f>H62/$H$64</f>
        <v>-2.275014455261252E-3</v>
      </c>
      <c r="K62" s="58"/>
      <c r="L62" s="58">
        <f>SUM(L60:L61)</f>
        <v>-8108.3319500000034</v>
      </c>
      <c r="M62" s="58"/>
      <c r="N62" s="58">
        <f>SUM(N60:N61)</f>
        <v>-17900.146569999997</v>
      </c>
      <c r="O62" s="174">
        <f>N62/L62-1</f>
        <v>1.20762379739522</v>
      </c>
      <c r="P62" s="49"/>
      <c r="Q62" s="58"/>
      <c r="R62" s="58">
        <f>SUM(R60:R61)</f>
        <v>9239.9907904139473</v>
      </c>
      <c r="S62" s="58"/>
      <c r="T62" s="58">
        <f>SUM(T60:T61)</f>
        <v>5033.3794928178768</v>
      </c>
      <c r="U62" s="49"/>
      <c r="V62" s="58"/>
      <c r="W62" s="58">
        <f>SUM(W60:W61)</f>
        <v>0</v>
      </c>
      <c r="X62" s="58"/>
      <c r="Y62" s="58">
        <f>SUM(Y60:Y61)</f>
        <v>0</v>
      </c>
      <c r="Z62" s="49"/>
      <c r="AA62" s="58"/>
      <c r="AB62" s="58">
        <f>SUM(AB60:AB61)</f>
        <v>9239.9907904139473</v>
      </c>
      <c r="AC62" s="58"/>
      <c r="AD62" s="58">
        <f>SUM(AD60:AD61)</f>
        <v>5033.3794928178768</v>
      </c>
      <c r="AE62" s="267">
        <f>AD62/AB62-1</f>
        <v>-0.45526141670619746</v>
      </c>
      <c r="AF62" s="49"/>
      <c r="AG62" s="58"/>
      <c r="AH62" s="58">
        <f>SUM(AH60:AH61)</f>
        <v>5422.9229399999995</v>
      </c>
      <c r="AI62" s="58"/>
      <c r="AJ62" s="58">
        <f>SUM(AJ60:AJ61)</f>
        <v>10162.300920000001</v>
      </c>
      <c r="AK62" s="49"/>
    </row>
    <row r="63" spans="3:37" ht="13.5" thickTop="1" x14ac:dyDescent="0.3">
      <c r="C63" s="45"/>
      <c r="D63" s="112"/>
      <c r="E63" s="45"/>
      <c r="F63" s="45"/>
      <c r="G63" s="45"/>
      <c r="H63" s="45"/>
      <c r="I63" s="172"/>
      <c r="K63" s="45"/>
      <c r="L63" s="45"/>
      <c r="M63" s="45"/>
      <c r="N63" s="45"/>
      <c r="O63" s="172"/>
      <c r="Q63" s="45"/>
      <c r="R63" s="45"/>
      <c r="S63" s="45"/>
      <c r="T63" s="45"/>
      <c r="V63" s="45"/>
      <c r="W63" s="45"/>
      <c r="X63" s="45"/>
      <c r="Y63" s="45"/>
      <c r="AA63" s="45"/>
      <c r="AB63" s="45"/>
      <c r="AC63" s="45"/>
      <c r="AD63" s="45"/>
      <c r="AE63" s="249"/>
      <c r="AG63" s="45"/>
      <c r="AH63" s="45"/>
      <c r="AI63" s="45"/>
      <c r="AJ63" s="45"/>
    </row>
    <row r="64" spans="3:37" ht="13.5" thickBot="1" x14ac:dyDescent="0.35">
      <c r="C64" s="50" t="s">
        <v>100</v>
      </c>
      <c r="D64" s="114"/>
      <c r="E64" s="58"/>
      <c r="F64" s="58">
        <f>F35+F57+F62</f>
        <v>956096.58926876704</v>
      </c>
      <c r="G64" s="58"/>
      <c r="H64" s="58">
        <f>H35+H57+H62</f>
        <v>1188768.7794368565</v>
      </c>
      <c r="I64" s="174">
        <f t="shared" si="0"/>
        <v>0.24335636459705356</v>
      </c>
      <c r="J64" s="132"/>
      <c r="K64" s="58"/>
      <c r="L64" s="58">
        <f>L35+L57+L62</f>
        <v>742352.76023630635</v>
      </c>
      <c r="M64" s="58"/>
      <c r="N64" s="58">
        <f>N35+N57+N62</f>
        <v>965065.27453501953</v>
      </c>
      <c r="O64" s="174">
        <f>N64/L64-1</f>
        <v>0.30000900680670894</v>
      </c>
      <c r="P64" s="49"/>
      <c r="Q64" s="58"/>
      <c r="R64" s="58">
        <f>R35+R57+R62</f>
        <v>177885.71833975558</v>
      </c>
      <c r="S64" s="58"/>
      <c r="T64" s="58">
        <f>T35+T57+T62</f>
        <v>201300.4917892644</v>
      </c>
      <c r="U64" s="49"/>
      <c r="V64" s="58"/>
      <c r="W64" s="58">
        <f>W35+W57+W62</f>
        <v>35366.496909999987</v>
      </c>
      <c r="X64" s="58"/>
      <c r="Y64" s="58">
        <f>Y35+Y57+Y62</f>
        <v>16548.260110000003</v>
      </c>
      <c r="Z64" s="49"/>
      <c r="AA64" s="58"/>
      <c r="AB64" s="58">
        <f>AB35+AB57+AB62</f>
        <v>213252.21524975557</v>
      </c>
      <c r="AC64" s="58"/>
      <c r="AD64" s="58">
        <f>AD35+AD57+AD62</f>
        <v>217848.75189926443</v>
      </c>
      <c r="AE64" s="267">
        <f>AD64/AB64-1</f>
        <v>2.1554461434904804E-2</v>
      </c>
      <c r="AF64" s="49"/>
      <c r="AG64" s="58"/>
      <c r="AH64" s="58">
        <f>AH35+AH57+AH62</f>
        <v>491.61378270502519</v>
      </c>
      <c r="AI64" s="58"/>
      <c r="AJ64" s="58">
        <f>AJ35+AJ57+AJ62</f>
        <v>5854.7530025726865</v>
      </c>
      <c r="AK64" s="49"/>
    </row>
    <row r="65" spans="3:37" ht="13.5" thickTop="1" x14ac:dyDescent="0.3">
      <c r="C65" s="36" t="s">
        <v>212</v>
      </c>
      <c r="D65" s="112"/>
      <c r="E65" s="38"/>
      <c r="F65" s="38">
        <f>VLOOKUP($C65,'Segment IFRS17'!$W$460:$AB$531,6,0)/1000</f>
        <v>0</v>
      </c>
      <c r="G65" s="38"/>
      <c r="H65" s="38">
        <f>VLOOKUP($C65,'Segment IFRS17'!$W$539:$AB$600,6,0)/1000</f>
        <v>0</v>
      </c>
      <c r="I65" s="172"/>
      <c r="K65" s="38"/>
      <c r="L65" s="38">
        <f>VLOOKUP($C65,'Segment IFRS17'!$W$460:$AB$531,2,0)/1000</f>
        <v>0</v>
      </c>
      <c r="M65" s="38"/>
      <c r="N65" s="38">
        <f>VLOOKUP($C65,'Segment IFRS17'!$W$539:$AB$600,2,0)/1000</f>
        <v>0</v>
      </c>
      <c r="O65" s="172"/>
      <c r="Q65" s="38"/>
      <c r="R65" s="38">
        <f>VLOOKUP($C65,'Segment IFRS17'!$W$460:$AB$531,3,0)/1000</f>
        <v>0</v>
      </c>
      <c r="S65" s="38"/>
      <c r="T65" s="38">
        <f>VLOOKUP($C65,'Segment IFRS17'!$W$539:$AB$600,3,0)/1000</f>
        <v>0</v>
      </c>
      <c r="V65" s="38"/>
      <c r="W65" s="38">
        <f>VLOOKUP($C65,'Segment IFRS17'!$W$460:$AB$531,4,0)/1000</f>
        <v>0</v>
      </c>
      <c r="X65" s="38"/>
      <c r="Y65" s="38">
        <f>VLOOKUP($C65,'Segment IFRS17'!$W$539:$AB$600,4,0)/1000</f>
        <v>0</v>
      </c>
      <c r="AA65" s="38"/>
      <c r="AB65" s="38">
        <f>R65+W65</f>
        <v>0</v>
      </c>
      <c r="AC65" s="38"/>
      <c r="AD65" s="38">
        <f>T65+Y65</f>
        <v>0</v>
      </c>
      <c r="AG65" s="38"/>
      <c r="AH65" s="38">
        <f>VLOOKUP($C65,'Segment IFRS17'!$W$460:$AB$531,5,0)/1000</f>
        <v>0</v>
      </c>
      <c r="AI65" s="38"/>
      <c r="AJ65" s="38">
        <f>VLOOKUP($C65,'Segment IFRS17'!$W$539:$AB$600,5,0)/1000</f>
        <v>0</v>
      </c>
    </row>
    <row r="66" spans="3:37" x14ac:dyDescent="0.3">
      <c r="C66" s="36" t="s">
        <v>38</v>
      </c>
      <c r="D66" s="110">
        <v>20</v>
      </c>
      <c r="E66" s="38"/>
      <c r="F66" s="38">
        <f>VLOOKUP($C66,'Segment IFRS17'!$W$460:$AB$531,6,0)/1000</f>
        <v>-63403.083260000029</v>
      </c>
      <c r="G66" s="38"/>
      <c r="H66" s="38">
        <f>VLOOKUP($C66,'Segment IFRS17'!$W$539:$AB$600,6,0)/1000</f>
        <v>-81779.63248</v>
      </c>
      <c r="I66" s="132">
        <f t="shared" si="0"/>
        <v>0.28983683876448696</v>
      </c>
      <c r="K66" s="38"/>
      <c r="L66" s="38">
        <f>VLOOKUP($C66,'Segment IFRS17'!$W$460:$AB$531,2,0)/1000</f>
        <v>-54040.581090000029</v>
      </c>
      <c r="M66" s="38"/>
      <c r="N66" s="38">
        <f>VLOOKUP($C66,'Segment IFRS17'!$W$539:$AB$600,2,0)/1000</f>
        <v>-66162.184540000002</v>
      </c>
      <c r="O66" s="132">
        <f>N66/L66-1</f>
        <v>0.2243055719517979</v>
      </c>
      <c r="Q66" s="38"/>
      <c r="R66" s="38">
        <f>VLOOKUP($C66,'Segment IFRS17'!$W$460:$AB$531,3,0)/1000</f>
        <v>-7115.6019999999999</v>
      </c>
      <c r="S66" s="38"/>
      <c r="T66" s="38">
        <f>VLOOKUP($C66,'Segment IFRS17'!$W$539:$AB$600,3,0)/1000</f>
        <v>-13420.713</v>
      </c>
      <c r="V66" s="38"/>
      <c r="W66" s="38">
        <f>VLOOKUP($C66,'Segment IFRS17'!$W$460:$AB$531,4,0)/1000</f>
        <v>-1038.3536000000001</v>
      </c>
      <c r="X66" s="38"/>
      <c r="Y66" s="38">
        <f>VLOOKUP($C66,'Segment IFRS17'!$W$539:$AB$600,4,0)/1000</f>
        <v>-1164.7255799999998</v>
      </c>
      <c r="AA66" s="38"/>
      <c r="AB66" s="38">
        <f>R66+W66</f>
        <v>-8153.9556000000002</v>
      </c>
      <c r="AC66" s="38"/>
      <c r="AD66" s="38">
        <f>T66+Y66</f>
        <v>-14585.43858</v>
      </c>
      <c r="AE66" s="133">
        <f>AD66/AB66-1</f>
        <v>0.7887561933744156</v>
      </c>
      <c r="AG66" s="38"/>
      <c r="AH66" s="38">
        <f>VLOOKUP($C66,'Segment IFRS17'!$W$460:$AB$531,5,0)/1000</f>
        <v>-1208.54657</v>
      </c>
      <c r="AI66" s="38"/>
      <c r="AJ66" s="38">
        <f>VLOOKUP($C66,'Segment IFRS17'!$W$539:$AB$600,5,0)/1000</f>
        <v>-1032.00936</v>
      </c>
    </row>
    <row r="67" spans="3:37" x14ac:dyDescent="0.3">
      <c r="C67" s="36" t="s">
        <v>78</v>
      </c>
      <c r="E67" s="38"/>
      <c r="F67" s="38">
        <f>VLOOKUP($C67,'Segment IFRS17'!$W$460:$AB$531,6,0)/1000</f>
        <v>-399414.77803560009</v>
      </c>
      <c r="G67" s="38"/>
      <c r="H67" s="38">
        <f>VLOOKUP($C67,'Segment IFRS17'!$W$539:$AB$600,6,0)/1000</f>
        <v>-599042.28283202555</v>
      </c>
      <c r="I67" s="132">
        <f t="shared" si="0"/>
        <v>0.49979999683094478</v>
      </c>
      <c r="K67" s="38"/>
      <c r="L67" s="38">
        <f>VLOOKUP($C67,'Segment IFRS17'!$W$460:$AB$531,2,0)/1000</f>
        <v>-331876.11630000011</v>
      </c>
      <c r="M67" s="38"/>
      <c r="N67" s="38">
        <f>VLOOKUP($C67,'Segment IFRS17'!$W$539:$AB$600,2,0)/1000</f>
        <v>-511499.34981351654</v>
      </c>
      <c r="O67" s="132">
        <f>N67/L67-1</f>
        <v>0.54123579459736004</v>
      </c>
      <c r="P67" s="213"/>
      <c r="Q67" s="38"/>
      <c r="R67" s="38">
        <f>VLOOKUP($C67,'Segment IFRS17'!$W$460:$AB$531,3,0)/1000</f>
        <v>-42208.660995599916</v>
      </c>
      <c r="S67" s="38"/>
      <c r="T67" s="38">
        <f>VLOOKUP($C67,'Segment IFRS17'!$W$539:$AB$600,3,0)/1000</f>
        <v>-52526.650718508907</v>
      </c>
      <c r="V67" s="38"/>
      <c r="W67" s="38">
        <f>VLOOKUP($C67,'Segment IFRS17'!$W$460:$AB$531,4,0)/1000</f>
        <v>-13253.38227</v>
      </c>
      <c r="X67" s="38"/>
      <c r="Y67" s="38">
        <f>VLOOKUP($C67,'Segment IFRS17'!$W$539:$AB$600,4,0)/1000</f>
        <v>-19610.440440000002</v>
      </c>
      <c r="AA67" s="38"/>
      <c r="AB67" s="38">
        <f>R67+W67</f>
        <v>-55462.043265599918</v>
      </c>
      <c r="AC67" s="38"/>
      <c r="AD67" s="38">
        <f>T67+Y67</f>
        <v>-72137.091158508905</v>
      </c>
      <c r="AE67" s="133">
        <f>AD67/AB67-1</f>
        <v>0.30065693420371353</v>
      </c>
      <c r="AG67" s="38"/>
      <c r="AH67" s="38">
        <f>VLOOKUP($C67,'Segment IFRS17'!$W$460:$AB$531,5,0)/1000</f>
        <v>-12076.618470000003</v>
      </c>
      <c r="AI67" s="38"/>
      <c r="AJ67" s="38">
        <f>VLOOKUP($C67,'Segment IFRS17'!$W$539:$AB$600,5,0)/1000</f>
        <v>-15405.841859999997</v>
      </c>
    </row>
    <row r="68" spans="3:37" x14ac:dyDescent="0.3">
      <c r="C68" s="36" t="s">
        <v>39</v>
      </c>
      <c r="D68" s="110">
        <v>21</v>
      </c>
      <c r="E68" s="38"/>
      <c r="F68" s="38">
        <f>VLOOKUP($C68,'Segment IFRS17'!$W$460:$AB$531,6,0)/1000</f>
        <v>-95811.605870000029</v>
      </c>
      <c r="G68" s="38"/>
      <c r="H68" s="38">
        <f>VLOOKUP($C68,'Segment IFRS17'!$W$539:$AB$600,6,0)/1000</f>
        <v>-120913.59585464907</v>
      </c>
      <c r="I68" s="132">
        <f t="shared" si="0"/>
        <v>0.26199320799098347</v>
      </c>
      <c r="K68" s="38"/>
      <c r="L68" s="38">
        <f>VLOOKUP($C68,'Segment IFRS17'!$W$460:$AB$531,2,0)/1000</f>
        <v>-76467.025600000023</v>
      </c>
      <c r="M68" s="38"/>
      <c r="N68" s="38">
        <f>VLOOKUP($C68,'Segment IFRS17'!$W$539:$AB$600,2,0)/1000</f>
        <v>-90206.736556579504</v>
      </c>
      <c r="O68" s="132">
        <f>N68/L68-1</f>
        <v>0.17968151433602353</v>
      </c>
      <c r="Q68" s="38"/>
      <c r="R68" s="38">
        <f>VLOOKUP($C68,'Segment IFRS17'!$W$460:$AB$531,3,0)/1000</f>
        <v>-12422.776</v>
      </c>
      <c r="S68" s="38"/>
      <c r="T68" s="38">
        <f>VLOOKUP($C68,'Segment IFRS17'!$W$539:$AB$600,3,0)/1000</f>
        <v>-23725.553</v>
      </c>
      <c r="V68" s="38"/>
      <c r="W68" s="38">
        <f>VLOOKUP($C68,'Segment IFRS17'!$W$460:$AB$531,4,0)/1000</f>
        <v>-3151.0088400000009</v>
      </c>
      <c r="X68" s="38"/>
      <c r="Y68" s="38">
        <f>VLOOKUP($C68,'Segment IFRS17'!$W$539:$AB$600,4,0)/1000</f>
        <v>-3636.0544000000004</v>
      </c>
      <c r="AA68" s="38"/>
      <c r="AB68" s="38">
        <f>R68+W68</f>
        <v>-15573.78484</v>
      </c>
      <c r="AC68" s="38"/>
      <c r="AD68" s="38">
        <f>T68+Y68</f>
        <v>-27361.607400000001</v>
      </c>
      <c r="AE68" s="133">
        <f>AD68/AB68-1</f>
        <v>0.75690159335731511</v>
      </c>
      <c r="AG68" s="38"/>
      <c r="AH68" s="38">
        <f>VLOOKUP($C68,'Segment IFRS17'!$W$460:$AB$531,5,0)/1000</f>
        <v>-3770.7954300000001</v>
      </c>
      <c r="AI68" s="38"/>
      <c r="AJ68" s="38">
        <f>VLOOKUP($C68,'Segment IFRS17'!$W$539:$AB$600,5,0)/1000</f>
        <v>-3345.2518980695659</v>
      </c>
    </row>
    <row r="69" spans="3:37" x14ac:dyDescent="0.3">
      <c r="C69" s="39" t="s">
        <v>93</v>
      </c>
      <c r="D69" s="109"/>
      <c r="E69" s="40"/>
      <c r="F69" s="40">
        <f>-SUM(F67:F68)/F64</f>
        <v>0.51796689734491641</v>
      </c>
      <c r="G69" s="40"/>
      <c r="H69" s="40">
        <f>-SUM(H67:H68)/H64</f>
        <v>0.60563155017221437</v>
      </c>
      <c r="I69" s="169">
        <f t="shared" si="0"/>
        <v>0.16924759724350036</v>
      </c>
      <c r="K69" s="40"/>
      <c r="L69" s="40">
        <f>-SUM(L67:L68)/L64</f>
        <v>0.55006617308194028</v>
      </c>
      <c r="M69" s="40"/>
      <c r="N69" s="40">
        <f>-SUM(N67:N68)/N64</f>
        <v>0.62348744924016208</v>
      </c>
      <c r="O69" s="169"/>
      <c r="Q69" s="40"/>
      <c r="R69" s="40">
        <f>-SUM(R67:R68)/R64</f>
        <v>0.30711536319771188</v>
      </c>
      <c r="S69" s="40"/>
      <c r="T69" s="40">
        <f>-SUM(T67:T68)/T64</f>
        <v>0.3787979007936807</v>
      </c>
      <c r="V69" s="40"/>
      <c r="W69" s="40">
        <f>-SUM(W67:W68)/W64</f>
        <v>0.46383986380515985</v>
      </c>
      <c r="X69" s="40"/>
      <c r="Y69" s="40">
        <f>-SUM(Y67:Y68)/Y64</f>
        <v>1.4047697271782851</v>
      </c>
      <c r="AA69" s="40"/>
      <c r="AB69" s="40">
        <f>-SUM(AB67:AB68)/AB64</f>
        <v>0.33310710522938558</v>
      </c>
      <c r="AC69" s="40"/>
      <c r="AD69" s="40">
        <f>-SUM(AD67:AD68)/AD64</f>
        <v>0.45673292911275509</v>
      </c>
      <c r="AE69" s="40"/>
      <c r="AG69" s="40"/>
      <c r="AH69" s="40"/>
      <c r="AI69" s="40"/>
      <c r="AJ69" s="40"/>
    </row>
    <row r="70" spans="3:37" x14ac:dyDescent="0.3">
      <c r="C70" s="36" t="s">
        <v>40</v>
      </c>
      <c r="E70" s="38"/>
      <c r="F70" s="38">
        <f>VLOOKUP($C70,'Segment IFRS17'!$W$460:$AB$531,6,0)/1000</f>
        <v>-23532.018190000003</v>
      </c>
      <c r="G70" s="38"/>
      <c r="H70" s="38">
        <f>VLOOKUP($C70,'Segment IFRS17'!$W$539:$AB$600,6,0)/1000</f>
        <v>-43623.665570000005</v>
      </c>
      <c r="I70" s="132">
        <f t="shared" ref="I70:I131" si="1">H70/F70-1</f>
        <v>0.8538004355503177</v>
      </c>
      <c r="K70" s="38"/>
      <c r="L70" s="38">
        <f>VLOOKUP($C70,'Segment IFRS17'!$W$460:$AB$531,2,0)/1000</f>
        <v>-22768.297200000001</v>
      </c>
      <c r="M70" s="38"/>
      <c r="N70" s="38">
        <f>VLOOKUP($C70,'Segment IFRS17'!$W$539:$AB$600,2,0)/1000</f>
        <v>-42225.998550000004</v>
      </c>
      <c r="O70" s="132">
        <f t="shared" ref="O70:O77" si="2">N70/L70-1</f>
        <v>0.85459624754019825</v>
      </c>
      <c r="Q70" s="38"/>
      <c r="R70" s="38">
        <f>VLOOKUP($C70,'Segment IFRS17'!$W$460:$AB$531,3,0)/1000</f>
        <v>0</v>
      </c>
      <c r="S70" s="38"/>
      <c r="T70" s="38">
        <f>VLOOKUP($C70,'Segment IFRS17'!$W$539:$AB$600,3,0)/1000</f>
        <v>0</v>
      </c>
      <c r="V70" s="38"/>
      <c r="W70" s="38">
        <f>VLOOKUP($C70,'Segment IFRS17'!$W$460:$AB$531,4,0)/1000</f>
        <v>-69.508600000000001</v>
      </c>
      <c r="X70" s="38"/>
      <c r="Y70" s="38">
        <f>VLOOKUP($C70,'Segment IFRS17'!$W$539:$AB$600,4,0)/1000</f>
        <v>-840.93859000000009</v>
      </c>
      <c r="AA70" s="38"/>
      <c r="AB70" s="38">
        <f t="shared" ref="AB70:AB75" si="3">R70+W70</f>
        <v>-69.508600000000001</v>
      </c>
      <c r="AC70" s="38"/>
      <c r="AD70" s="38">
        <f t="shared" ref="AD70:AD75" si="4">T70+Y70</f>
        <v>-840.93859000000009</v>
      </c>
      <c r="AG70" s="38"/>
      <c r="AH70" s="38">
        <f>VLOOKUP($C70,'Segment IFRS17'!$W$460:$AB$531,5,0)/1000</f>
        <v>-694.21239000000003</v>
      </c>
      <c r="AI70" s="38"/>
      <c r="AJ70" s="38">
        <f>VLOOKUP($C70,'Segment IFRS17'!$W$539:$AB$600,5,0)/1000</f>
        <v>-556.72843</v>
      </c>
    </row>
    <row r="71" spans="3:37" x14ac:dyDescent="0.3">
      <c r="C71" s="36" t="s">
        <v>41</v>
      </c>
      <c r="E71" s="38"/>
      <c r="F71" s="38">
        <f>VLOOKUP($C71,'Segment IFRS17'!$W$460:$AB$531,6,0)/1000</f>
        <v>14800</v>
      </c>
      <c r="G71" s="38"/>
      <c r="H71" s="38">
        <f>VLOOKUP($C71,'Segment IFRS17'!$W$539:$AB$600,6,0)/1000</f>
        <v>961.76334999999995</v>
      </c>
      <c r="I71" s="132">
        <f t="shared" si="1"/>
        <v>-0.93501598986486489</v>
      </c>
      <c r="K71" s="38"/>
      <c r="L71" s="38">
        <f>VLOOKUP($C71,'Segment IFRS17'!$W$460:$AB$531,2,0)/1000</f>
        <v>15000</v>
      </c>
      <c r="M71" s="38"/>
      <c r="N71" s="38">
        <f>VLOOKUP($C71,'Segment IFRS17'!$W$539:$AB$600,2,0)/1000</f>
        <v>-158.23665</v>
      </c>
      <c r="O71" s="132">
        <f t="shared" si="2"/>
        <v>-1.0105491099999999</v>
      </c>
      <c r="Q71" s="38"/>
      <c r="R71" s="38">
        <f>VLOOKUP($C71,'Segment IFRS17'!$W$460:$AB$531,3,0)/1000</f>
        <v>-200</v>
      </c>
      <c r="S71" s="38"/>
      <c r="T71" s="38">
        <f>VLOOKUP($C71,'Segment IFRS17'!$W$539:$AB$600,3,0)/1000</f>
        <v>1120</v>
      </c>
      <c r="V71" s="38"/>
      <c r="W71" s="38">
        <f>VLOOKUP($C71,'Segment IFRS17'!$W$460:$AB$531,4,0)/1000</f>
        <v>0</v>
      </c>
      <c r="X71" s="38"/>
      <c r="Y71" s="38">
        <f>VLOOKUP($C71,'Segment IFRS17'!$W$539:$AB$600,4,0)/1000</f>
        <v>0</v>
      </c>
      <c r="AA71" s="38"/>
      <c r="AB71" s="38">
        <f t="shared" si="3"/>
        <v>-200</v>
      </c>
      <c r="AC71" s="38"/>
      <c r="AD71" s="38">
        <f t="shared" si="4"/>
        <v>1120</v>
      </c>
      <c r="AE71" s="133">
        <f>AD71/AB71-1</f>
        <v>-6.6</v>
      </c>
      <c r="AG71" s="38"/>
      <c r="AH71" s="38">
        <f>VLOOKUP($C71,'Segment IFRS17'!$W$460:$AB$531,5,0)/1000</f>
        <v>0</v>
      </c>
      <c r="AI71" s="38"/>
      <c r="AJ71" s="38">
        <f>VLOOKUP($C71,'Segment IFRS17'!$W$539:$AB$600,5,0)/1000</f>
        <v>0</v>
      </c>
    </row>
    <row r="72" spans="3:37" x14ac:dyDescent="0.3">
      <c r="C72" s="36" t="s">
        <v>42</v>
      </c>
      <c r="D72" s="110">
        <v>40</v>
      </c>
      <c r="E72" s="38"/>
      <c r="F72" s="38">
        <f>VLOOKUP($C72,'Segment IFRS17'!$W$460:$AB$531,6,0)/1000</f>
        <v>-33083.199349999995</v>
      </c>
      <c r="G72" s="38"/>
      <c r="H72" s="38">
        <f>VLOOKUP($C72,'Segment IFRS17'!$W$539:$AB$600,6,0)/1000</f>
        <v>-48841.61219</v>
      </c>
      <c r="I72" s="132">
        <f t="shared" si="1"/>
        <v>0.47632675042355022</v>
      </c>
      <c r="K72" s="38"/>
      <c r="L72" s="38">
        <f>VLOOKUP($C72,'Segment IFRS17'!$W$460:$AB$531,2,0)/1000</f>
        <v>-22013.27072</v>
      </c>
      <c r="M72" s="38"/>
      <c r="N72" s="38">
        <f>VLOOKUP($C72,'Segment IFRS17'!$W$539:$AB$600,2,0)/1000</f>
        <v>-37339.634359999989</v>
      </c>
      <c r="O72" s="132">
        <f t="shared" si="2"/>
        <v>0.69623291490597672</v>
      </c>
      <c r="Q72" s="38"/>
      <c r="R72" s="38">
        <f>VLOOKUP($C72,'Segment IFRS17'!$W$460:$AB$531,3,0)/1000</f>
        <v>-9020.4618600000013</v>
      </c>
      <c r="S72" s="38"/>
      <c r="T72" s="38">
        <f>VLOOKUP($C72,'Segment IFRS17'!$W$539:$AB$600,3,0)/1000</f>
        <v>-9677.4974999999995</v>
      </c>
      <c r="V72" s="38"/>
      <c r="W72" s="38">
        <f>VLOOKUP($C72,'Segment IFRS17'!$W$460:$AB$531,4,0)/1000</f>
        <v>-1632.2477099999999</v>
      </c>
      <c r="X72" s="38"/>
      <c r="Y72" s="38">
        <f>VLOOKUP($C72,'Segment IFRS17'!$W$539:$AB$600,4,0)/1000</f>
        <v>-1749.3471299999999</v>
      </c>
      <c r="AA72" s="38"/>
      <c r="AB72" s="38">
        <f t="shared" si="3"/>
        <v>-10652.709570000001</v>
      </c>
      <c r="AC72" s="38"/>
      <c r="AD72" s="38">
        <f t="shared" si="4"/>
        <v>-11426.84463</v>
      </c>
      <c r="AE72" s="133">
        <f>AD72/AB72-1</f>
        <v>7.267024928381649E-2</v>
      </c>
      <c r="AG72" s="38"/>
      <c r="AH72" s="38">
        <f>VLOOKUP($C72,'Segment IFRS17'!$W$460:$AB$531,5,0)/1000</f>
        <v>-417.21906000000001</v>
      </c>
      <c r="AI72" s="38"/>
      <c r="AJ72" s="38">
        <f>VLOOKUP($C72,'Segment IFRS17'!$W$539:$AB$600,5,0)/1000</f>
        <v>-75.133200000000002</v>
      </c>
    </row>
    <row r="73" spans="3:37" x14ac:dyDescent="0.3">
      <c r="C73" s="36" t="s">
        <v>4</v>
      </c>
      <c r="E73" s="38"/>
      <c r="F73" s="38">
        <f>VLOOKUP($C73,'Segment IFRS17'!$W$460:$AB$531,6,0)/1000</f>
        <v>370.10774999999995</v>
      </c>
      <c r="G73" s="38"/>
      <c r="H73" s="38">
        <f>VLOOKUP($C73,'Segment IFRS17'!$W$539:$AB$600,6,0)/1000</f>
        <v>-36.037692050434792</v>
      </c>
      <c r="I73" s="132">
        <f t="shared" si="1"/>
        <v>-1.0973708117445118</v>
      </c>
      <c r="K73" s="38"/>
      <c r="L73" s="38">
        <f>VLOOKUP($C73,'Segment IFRS17'!$W$460:$AB$531,2,0)/1000</f>
        <v>360.56713999999994</v>
      </c>
      <c r="M73" s="38"/>
      <c r="N73" s="38">
        <f>VLOOKUP($C73,'Segment IFRS17'!$W$539:$AB$600,2,0)/1000</f>
        <v>-21.174319999999998</v>
      </c>
      <c r="O73" s="132">
        <f t="shared" si="2"/>
        <v>-1.0587250407788131</v>
      </c>
      <c r="Q73" s="38"/>
      <c r="R73" s="38">
        <f>VLOOKUP($C73,'Segment IFRS17'!$W$460:$AB$531,3,0)/1000</f>
        <v>-6.0000000000000001E-3</v>
      </c>
      <c r="S73" s="38"/>
      <c r="T73" s="38">
        <f>VLOOKUP($C73,'Segment IFRS17'!$W$539:$AB$600,3,0)/1000</f>
        <v>-106.456</v>
      </c>
      <c r="V73" s="38"/>
      <c r="W73" s="38">
        <f>VLOOKUP($C73,'Segment IFRS17'!$W$460:$AB$531,4,0)/1000</f>
        <v>0</v>
      </c>
      <c r="X73" s="38"/>
      <c r="Y73" s="38">
        <f>VLOOKUP($C73,'Segment IFRS17'!$W$539:$AB$600,4,0)/1000</f>
        <v>97.796729999999997</v>
      </c>
      <c r="AA73" s="38"/>
      <c r="AB73" s="38">
        <f t="shared" si="3"/>
        <v>-6.0000000000000001E-3</v>
      </c>
      <c r="AC73" s="38"/>
      <c r="AD73" s="38">
        <f t="shared" si="4"/>
        <v>-8.6592700000000065</v>
      </c>
      <c r="AG73" s="38"/>
      <c r="AH73" s="38">
        <f>VLOOKUP($C73,'Segment IFRS17'!$W$460:$AB$531,5,0)/1000</f>
        <v>9.5466100000000012</v>
      </c>
      <c r="AI73" s="38"/>
      <c r="AJ73" s="38">
        <f>VLOOKUP($C73,'Segment IFRS17'!$W$539:$AB$600,5,0)/1000</f>
        <v>-6.2041020504347832</v>
      </c>
    </row>
    <row r="74" spans="3:37" x14ac:dyDescent="0.3">
      <c r="C74" s="36" t="s">
        <v>5</v>
      </c>
      <c r="E74" s="38"/>
      <c r="F74" s="38">
        <f>VLOOKUP($C74,'Segment IFRS17'!$W$460:$AB$531,6,0)/1000</f>
        <v>-1358</v>
      </c>
      <c r="G74" s="38"/>
      <c r="H74" s="38">
        <f>VLOOKUP($C74,'Segment IFRS17'!$W$539:$AB$600,6,0)/1000</f>
        <v>-2220</v>
      </c>
      <c r="I74" s="132">
        <f t="shared" si="1"/>
        <v>0.63475699558173782</v>
      </c>
      <c r="K74" s="38"/>
      <c r="L74" s="38">
        <f>VLOOKUP($C74,'Segment IFRS17'!$W$460:$AB$531,2,0)/1000</f>
        <v>-1358</v>
      </c>
      <c r="M74" s="38"/>
      <c r="N74" s="38">
        <f>VLOOKUP($C74,'Segment IFRS17'!$W$539:$AB$600,2,0)/1000</f>
        <v>-2220</v>
      </c>
      <c r="O74" s="132">
        <f t="shared" si="2"/>
        <v>0.63475699558173782</v>
      </c>
      <c r="Q74" s="38"/>
      <c r="R74" s="38">
        <f>VLOOKUP($C74,'Segment IFRS17'!$W$460:$AB$531,3,0)/1000</f>
        <v>0</v>
      </c>
      <c r="S74" s="38"/>
      <c r="T74" s="38">
        <f>VLOOKUP($C74,'Segment IFRS17'!$W$539:$AB$600,3,0)/1000</f>
        <v>0</v>
      </c>
      <c r="V74" s="38"/>
      <c r="W74" s="38">
        <f>VLOOKUP($C74,'Segment IFRS17'!$W$460:$AB$531,4,0)/1000</f>
        <v>0</v>
      </c>
      <c r="X74" s="38"/>
      <c r="Y74" s="38">
        <f>VLOOKUP($C74,'Segment IFRS17'!$W$539:$AB$600,4,0)/1000</f>
        <v>0</v>
      </c>
      <c r="AA74" s="38"/>
      <c r="AB74" s="38">
        <f t="shared" si="3"/>
        <v>0</v>
      </c>
      <c r="AC74" s="38"/>
      <c r="AD74" s="38">
        <f t="shared" si="4"/>
        <v>0</v>
      </c>
      <c r="AG74" s="38"/>
      <c r="AH74" s="38">
        <f>VLOOKUP($C74,'Segment IFRS17'!$W$460:$AB$531,5,0)/1000</f>
        <v>0</v>
      </c>
      <c r="AI74" s="38"/>
      <c r="AJ74" s="38">
        <f>VLOOKUP($C74,'Segment IFRS17'!$W$539:$AB$600,5,0)/1000</f>
        <v>0</v>
      </c>
    </row>
    <row r="75" spans="3:37" x14ac:dyDescent="0.3">
      <c r="C75" s="36" t="s">
        <v>182</v>
      </c>
      <c r="D75" s="110">
        <v>22</v>
      </c>
      <c r="E75" s="38"/>
      <c r="F75" s="38">
        <f>VLOOKUP($C75,'Segment IFRS17'!$W$460:$AB$531,6,0)/1000</f>
        <v>-66934.81177</v>
      </c>
      <c r="G75" s="38"/>
      <c r="H75" s="38">
        <f>VLOOKUP($C75,'Segment IFRS17'!$W$539:$AB$600,6,0)/1000</f>
        <v>-31141.557490000003</v>
      </c>
      <c r="I75" s="132">
        <f t="shared" si="1"/>
        <v>-0.53474796348112585</v>
      </c>
      <c r="K75" s="38"/>
      <c r="L75" s="38">
        <f>VLOOKUP($C75,'Segment IFRS17'!$W$460:$AB$531,2,0)/1000</f>
        <v>-67104.217139999993</v>
      </c>
      <c r="M75" s="38"/>
      <c r="N75" s="38">
        <f>VLOOKUP($C75,'Segment IFRS17'!$W$539:$AB$600,2,0)/1000</f>
        <v>-30555.344240000002</v>
      </c>
      <c r="O75" s="132">
        <f t="shared" si="2"/>
        <v>-0.54465836064740647</v>
      </c>
      <c r="Q75" s="38"/>
      <c r="R75" s="38">
        <f>VLOOKUP($C75,'Segment IFRS17'!$W$460:$AB$531,3,0)/1000</f>
        <v>28.010999999999999</v>
      </c>
      <c r="S75" s="38"/>
      <c r="T75" s="38">
        <f>VLOOKUP($C75,'Segment IFRS17'!$W$539:$AB$600,3,0)/1000</f>
        <v>-52.933</v>
      </c>
      <c r="V75" s="38"/>
      <c r="W75" s="38">
        <f>VLOOKUP($C75,'Segment IFRS17'!$W$460:$AB$531,4,0)/1000</f>
        <v>197.24056000000004</v>
      </c>
      <c r="X75" s="38"/>
      <c r="Y75" s="38">
        <f>VLOOKUP($C75,'Segment IFRS17'!$W$539:$AB$600,4,0)/1000</f>
        <v>-48.617310000000053</v>
      </c>
      <c r="AA75" s="38"/>
      <c r="AB75" s="38">
        <f t="shared" si="3"/>
        <v>225.25156000000004</v>
      </c>
      <c r="AC75" s="38"/>
      <c r="AD75" s="38">
        <f t="shared" si="4"/>
        <v>-101.55031000000005</v>
      </c>
      <c r="AG75" s="38"/>
      <c r="AH75" s="38">
        <f>VLOOKUP($C75,'Segment IFRS17'!$W$460:$AB$531,5,0)/1000</f>
        <v>-55.84619</v>
      </c>
      <c r="AI75" s="38"/>
      <c r="AJ75" s="38">
        <f>VLOOKUP($C75,'Segment IFRS17'!$W$539:$AB$600,5,0)/1000</f>
        <v>-484.66293999999999</v>
      </c>
    </row>
    <row r="76" spans="3:37" x14ac:dyDescent="0.3">
      <c r="C76" s="43" t="s">
        <v>11</v>
      </c>
      <c r="D76" s="111"/>
      <c r="E76" s="44"/>
      <c r="F76" s="44">
        <f>F66+F67+F68+F70+F71+F72+F73+F74+F75+F65</f>
        <v>-668367.38872560021</v>
      </c>
      <c r="G76" s="44"/>
      <c r="H76" s="44">
        <f>H66+H67+H68+H70+H71+H72+H73+H74+H75+H65</f>
        <v>-926636.6207587251</v>
      </c>
      <c r="I76" s="170">
        <f t="shared" si="1"/>
        <v>0.38641806346293461</v>
      </c>
      <c r="K76" s="44"/>
      <c r="L76" s="44">
        <f>L66+L67+L68+L70+L71+L72+L73+L74+L75+L65</f>
        <v>-560266.94091000024</v>
      </c>
      <c r="M76" s="44"/>
      <c r="N76" s="44">
        <f>N66+N67+N68+N70+N71+N72+N73+N74+N75+N65</f>
        <v>-780388.65903009602</v>
      </c>
      <c r="O76" s="170">
        <f t="shared" si="2"/>
        <v>0.39288721508816549</v>
      </c>
      <c r="P76" s="49"/>
      <c r="Q76" s="44"/>
      <c r="R76" s="44">
        <f>R66+R67+R68+R70+R71+R72+R73+R74+R75+R65</f>
        <v>-70939.495855599904</v>
      </c>
      <c r="S76" s="44"/>
      <c r="T76" s="44">
        <f>T66+T67+T68+T70+T71+T72+T73+T74+T75+T65</f>
        <v>-98389.803218508911</v>
      </c>
      <c r="U76" s="49"/>
      <c r="V76" s="44"/>
      <c r="W76" s="44">
        <f>W66+W67+W68+W70+W71+W72+W73+W74+W75+W65</f>
        <v>-18947.260460000005</v>
      </c>
      <c r="X76" s="44"/>
      <c r="Y76" s="44">
        <f>Y66+Y67+Y68+Y70+Y71+Y72+Y73+Y74+Y75+Y65</f>
        <v>-26952.326720000005</v>
      </c>
      <c r="Z76" s="49"/>
      <c r="AA76" s="44"/>
      <c r="AB76" s="44">
        <f>AB66+AB67+AB68+AB70+AB71+AB72+AB73+AB74+AB75+AB65</f>
        <v>-89886.756315599923</v>
      </c>
      <c r="AC76" s="44"/>
      <c r="AD76" s="44">
        <f>AD66+AD67+AD68+AD70+AD71+AD72+AD73+AD74+AD75+AD65</f>
        <v>-125342.12993850892</v>
      </c>
      <c r="AE76" s="265">
        <f>AD76/AB76-1</f>
        <v>0.39444491131065207</v>
      </c>
      <c r="AF76" s="49"/>
      <c r="AG76" s="44"/>
      <c r="AH76" s="44">
        <f>AH66+AH67+AH68+AH70+AH71+AH72+AH73+AH74+AH75+AH65</f>
        <v>-18213.691500000004</v>
      </c>
      <c r="AI76" s="44"/>
      <c r="AJ76" s="44">
        <f>AJ66+AJ67+AJ68+AJ70+AJ71+AJ72+AJ73+AJ74+AJ75+AJ65</f>
        <v>-20905.831790119995</v>
      </c>
      <c r="AK76" s="49"/>
    </row>
    <row r="77" spans="3:37" s="45" customFormat="1" x14ac:dyDescent="0.3">
      <c r="C77" s="88" t="s">
        <v>43</v>
      </c>
      <c r="D77" s="117"/>
      <c r="E77" s="89"/>
      <c r="F77" s="89">
        <f>F35+F57+F76+F62</f>
        <v>287729.20054316678</v>
      </c>
      <c r="G77" s="89"/>
      <c r="H77" s="89">
        <f>H35+H57+H76+H62</f>
        <v>262132.15867813141</v>
      </c>
      <c r="I77" s="177">
        <f t="shared" si="1"/>
        <v>-8.8962266661548495E-2</v>
      </c>
      <c r="K77" s="89"/>
      <c r="L77" s="89">
        <f>L35+L57+L76+L62</f>
        <v>182085.81932630614</v>
      </c>
      <c r="M77" s="89"/>
      <c r="N77" s="89">
        <f>N35+N57+N76+N62</f>
        <v>184676.61550492351</v>
      </c>
      <c r="O77" s="177">
        <f t="shared" si="2"/>
        <v>1.4228434637046261E-2</v>
      </c>
      <c r="P77" s="91"/>
      <c r="Q77" s="89"/>
      <c r="R77" s="89">
        <f>R35+R57+R76+R62</f>
        <v>106946.22248415567</v>
      </c>
      <c r="S77" s="89"/>
      <c r="T77" s="89">
        <f>T35+T57+T76+T62</f>
        <v>102910.68857075549</v>
      </c>
      <c r="U77" s="91"/>
      <c r="V77" s="89"/>
      <c r="W77" s="89">
        <f>W35+W57+W76+W62</f>
        <v>16419.236449999982</v>
      </c>
      <c r="X77" s="89"/>
      <c r="Y77" s="89">
        <f>Y35+Y57+Y76+Y62</f>
        <v>-10404.066610000002</v>
      </c>
      <c r="Z77" s="91"/>
      <c r="AA77" s="89"/>
      <c r="AB77" s="89">
        <f>AB35+AB57+AB76+AB62</f>
        <v>123365.45893415564</v>
      </c>
      <c r="AC77" s="89"/>
      <c r="AD77" s="89">
        <f>AD35+AD57+AD76+AD62</f>
        <v>92506.62196075551</v>
      </c>
      <c r="AE77" s="270">
        <f>AD77/AB77-1</f>
        <v>-0.25014162991822975</v>
      </c>
      <c r="AF77" s="91"/>
      <c r="AG77" s="89"/>
      <c r="AH77" s="89">
        <f>AH35+AH57+AH76+AH62</f>
        <v>-17722.077717294978</v>
      </c>
      <c r="AI77" s="89"/>
      <c r="AJ77" s="89">
        <f>AJ35+AJ57+AJ76+AJ62</f>
        <v>-15051.078787547311</v>
      </c>
      <c r="AK77" s="91"/>
    </row>
    <row r="78" spans="3:37" x14ac:dyDescent="0.3">
      <c r="C78" s="36" t="s">
        <v>6</v>
      </c>
      <c r="D78" s="110">
        <v>23</v>
      </c>
      <c r="E78" s="38"/>
      <c r="F78" s="38">
        <f>VLOOKUP($C78,'Segment IFRS17'!$W$460:$AB$531,6,0)/1000</f>
        <v>-94351.138139999995</v>
      </c>
      <c r="G78" s="38"/>
      <c r="H78" s="38">
        <f>VLOOKUP($C78,'Segment IFRS17'!$W$539:$AB$600,6,0)/1000</f>
        <v>-83921.267529999983</v>
      </c>
      <c r="I78" s="132">
        <f t="shared" si="1"/>
        <v>-0.11054313509736335</v>
      </c>
      <c r="K78" s="38"/>
      <c r="L78" s="38">
        <f>VLOOKUP($C78,'Segment IFRS17'!$W$460:$AB$531,2,0)/1000</f>
        <v>-65753.235990000016</v>
      </c>
      <c r="M78" s="38"/>
      <c r="N78" s="38">
        <f>VLOOKUP($C78,'Segment IFRS17'!$W$539:$AB$600,2,0)/1000</f>
        <v>-52257.701949999988</v>
      </c>
      <c r="Q78" s="38"/>
      <c r="R78" s="38">
        <f>VLOOKUP($C78,'Segment IFRS17'!$W$460:$AB$531,3,0)/1000</f>
        <v>-24031.987000000001</v>
      </c>
      <c r="S78" s="38"/>
      <c r="T78" s="38">
        <f>VLOOKUP($C78,'Segment IFRS17'!$W$539:$AB$600,3,0)/1000</f>
        <v>-30088.102999999999</v>
      </c>
      <c r="V78" s="38"/>
      <c r="W78" s="38">
        <f>VLOOKUP($C78,'Segment IFRS17'!$W$460:$AB$531,4,0)/1000</f>
        <v>-3775.0224099999996</v>
      </c>
      <c r="X78" s="38"/>
      <c r="Y78" s="38">
        <f>VLOOKUP($C78,'Segment IFRS17'!$W$539:$AB$600,4,0)/1000</f>
        <v>36.438799999999986</v>
      </c>
      <c r="AA78" s="38"/>
      <c r="AB78" s="38">
        <f>R78+W78</f>
        <v>-27807.009409999999</v>
      </c>
      <c r="AC78" s="38"/>
      <c r="AD78" s="38">
        <f>T78+Y78</f>
        <v>-30051.664199999999</v>
      </c>
      <c r="AG78" s="38"/>
      <c r="AH78" s="38">
        <f>VLOOKUP($C78,'Segment IFRS17'!$W$460:$AB$531,5,0)/1000</f>
        <v>-790.89274</v>
      </c>
      <c r="AI78" s="38"/>
      <c r="AJ78" s="38">
        <f>VLOOKUP($C78,'Segment IFRS17'!$W$539:$AB$600,5,0)/1000</f>
        <v>-1611.9013799999998</v>
      </c>
    </row>
    <row r="79" spans="3:37" x14ac:dyDescent="0.3">
      <c r="C79" s="39" t="s">
        <v>65</v>
      </c>
      <c r="D79" s="109"/>
      <c r="E79" s="40"/>
      <c r="F79" s="40">
        <f>-F78/F77</f>
        <v>0.32791645047456663</v>
      </c>
      <c r="G79" s="40"/>
      <c r="H79" s="40">
        <f>-H78/H77</f>
        <v>0.3201486912296243</v>
      </c>
      <c r="I79" s="169">
        <f t="shared" si="1"/>
        <v>-2.3688226783684319E-2</v>
      </c>
      <c r="K79" s="40"/>
      <c r="L79" s="40">
        <f>-L78/L77</f>
        <v>0.36111123992674687</v>
      </c>
      <c r="M79" s="40"/>
      <c r="N79" s="40">
        <f>-N78/N77</f>
        <v>0.28296870075901293</v>
      </c>
      <c r="O79" s="169"/>
      <c r="Q79" s="40"/>
      <c r="R79" s="40">
        <f>-R78/R77</f>
        <v>0.22471094763127697</v>
      </c>
      <c r="S79" s="40"/>
      <c r="T79" s="40">
        <f>-T78/T77</f>
        <v>0.29237102013279354</v>
      </c>
      <c r="V79" s="40"/>
      <c r="W79" s="40">
        <f>-W78/W77</f>
        <v>0.22991461396489016</v>
      </c>
      <c r="X79" s="40"/>
      <c r="Y79" s="40">
        <f>-Y78/Y77</f>
        <v>3.5023612752513875E-3</v>
      </c>
      <c r="AA79" s="40"/>
      <c r="AB79" s="40">
        <f>-AB78/AB77</f>
        <v>0.22540352583490611</v>
      </c>
      <c r="AC79" s="40"/>
      <c r="AD79" s="40">
        <f>-AD78/AD77</f>
        <v>0.32485959991868418</v>
      </c>
      <c r="AE79" s="40"/>
      <c r="AG79" s="40"/>
      <c r="AH79" s="40">
        <f>-AH78/AH77</f>
        <v>-4.4627540439469329E-2</v>
      </c>
      <c r="AI79" s="40"/>
      <c r="AJ79" s="40">
        <f>-AJ78/AJ77</f>
        <v>-0.10709540510369434</v>
      </c>
    </row>
    <row r="80" spans="3:37" s="45" customFormat="1" x14ac:dyDescent="0.3">
      <c r="C80" s="86" t="s">
        <v>7</v>
      </c>
      <c r="D80" s="118"/>
      <c r="E80" s="87"/>
      <c r="F80" s="87">
        <f>SUM(F77:F78)</f>
        <v>193378.06240316678</v>
      </c>
      <c r="G80" s="87"/>
      <c r="H80" s="87">
        <f>SUM(H77:H78)</f>
        <v>178210.89114813143</v>
      </c>
      <c r="I80" s="178">
        <f t="shared" si="1"/>
        <v>-7.843273981830412E-2</v>
      </c>
      <c r="K80" s="87"/>
      <c r="L80" s="87">
        <f>SUM(L77:L78)</f>
        <v>116332.58333630612</v>
      </c>
      <c r="M80" s="87"/>
      <c r="N80" s="87">
        <f>SUM(N77:N78)</f>
        <v>132418.91355492352</v>
      </c>
      <c r="O80" s="178">
        <f>N80/L80-1</f>
        <v>0.13827880166740036</v>
      </c>
      <c r="P80" s="49"/>
      <c r="Q80" s="87"/>
      <c r="R80" s="87">
        <f>SUM(R77:R78)</f>
        <v>82914.235484155681</v>
      </c>
      <c r="S80" s="87"/>
      <c r="T80" s="87">
        <f>SUM(T77:T78)</f>
        <v>72822.585570755487</v>
      </c>
      <c r="U80" s="49"/>
      <c r="V80" s="87"/>
      <c r="W80" s="87">
        <f>SUM(W77:W78)</f>
        <v>12644.214039999983</v>
      </c>
      <c r="X80" s="87"/>
      <c r="Y80" s="87">
        <f>SUM(Y77:Y78)</f>
        <v>-10367.627810000002</v>
      </c>
      <c r="Z80" s="49"/>
      <c r="AA80" s="87"/>
      <c r="AB80" s="87">
        <f>SUM(AB77:AB78)</f>
        <v>95558.449524155643</v>
      </c>
      <c r="AC80" s="87"/>
      <c r="AD80" s="87">
        <f>SUM(AD77:AD78)</f>
        <v>62454.957760755511</v>
      </c>
      <c r="AE80" s="271">
        <f>AD80/AB80-1</f>
        <v>-0.34642139892644552</v>
      </c>
      <c r="AF80" s="49"/>
      <c r="AG80" s="87"/>
      <c r="AH80" s="87">
        <f>SUM(AH77:AH78)</f>
        <v>-18512.970457294978</v>
      </c>
      <c r="AI80" s="87"/>
      <c r="AJ80" s="87">
        <f>SUM(AJ77:AJ78)</f>
        <v>-16662.98016754731</v>
      </c>
      <c r="AK80" s="49"/>
    </row>
    <row r="81" spans="2:37" x14ac:dyDescent="0.3">
      <c r="C81" s="36" t="s">
        <v>8</v>
      </c>
      <c r="E81" s="38"/>
      <c r="F81" s="38">
        <f>VLOOKUP($C81,'Segment IFRS17'!$W$460:$AB$531,6,0)/1000</f>
        <v>-25699.015529733071</v>
      </c>
      <c r="G81" s="38"/>
      <c r="H81" s="38">
        <f>VLOOKUP($C81,'Segment IFRS17'!$W$539:$AB$600,6,0)/1000</f>
        <v>-55645.771096220378</v>
      </c>
      <c r="I81" s="132">
        <f t="shared" si="1"/>
        <v>1.1652880450552559</v>
      </c>
      <c r="K81" s="38"/>
      <c r="L81" s="38">
        <f>VLOOKUP($C81,'Segment IFRS17'!$W$460:$AB$531,2,0)/1000</f>
        <v>-7763.6903099377232</v>
      </c>
      <c r="M81" s="38"/>
      <c r="N81" s="38">
        <f>VLOOKUP($C81,'Segment IFRS17'!$W$539:$AB$600,2,0)/1000</f>
        <v>-43665.371582129206</v>
      </c>
      <c r="Q81" s="38"/>
      <c r="R81" s="38">
        <f>VLOOKUP($C81,'Segment IFRS17'!$W$460:$AB$531,3,0)/1000</f>
        <v>-15394.890707851348</v>
      </c>
      <c r="S81" s="38"/>
      <c r="T81" s="38">
        <f>VLOOKUP($C81,'Segment IFRS17'!$W$539:$AB$600,3,0)/1000</f>
        <v>-14138.755168495181</v>
      </c>
      <c r="V81" s="38"/>
      <c r="W81" s="38">
        <f>VLOOKUP($C81,'Segment IFRS17'!$W$460:$AB$531,4,0)/1000</f>
        <v>-2538.7980819999971</v>
      </c>
      <c r="X81" s="38"/>
      <c r="Y81" s="38">
        <f>VLOOKUP($C81,'Segment IFRS17'!$W$539:$AB$600,4,0)/1000</f>
        <v>2160.2461340000013</v>
      </c>
      <c r="AA81" s="38"/>
      <c r="AB81" s="38">
        <f>R81+W81</f>
        <v>-17933.688789851345</v>
      </c>
      <c r="AC81" s="38"/>
      <c r="AD81" s="38">
        <f>T81+Y81</f>
        <v>-11978.50903449518</v>
      </c>
      <c r="AG81" s="38"/>
      <c r="AH81" s="38">
        <f>VLOOKUP($C81,'Segment IFRS17'!$W$460:$AB$531,5,0)/1000</f>
        <v>-1.6364299439998193</v>
      </c>
      <c r="AI81" s="38"/>
      <c r="AJ81" s="38">
        <f>VLOOKUP($C81,'Segment IFRS17'!$W$539:$AB$600,5,0)/1000</f>
        <v>-1.8904795959997913</v>
      </c>
    </row>
    <row r="82" spans="2:37" x14ac:dyDescent="0.3">
      <c r="C82" s="39" t="s">
        <v>66</v>
      </c>
      <c r="D82" s="109"/>
      <c r="E82" s="40"/>
      <c r="F82" s="40">
        <f>-F81/F80</f>
        <v>0.13289519612702574</v>
      </c>
      <c r="G82" s="40"/>
      <c r="H82" s="40">
        <f>-H81/H80</f>
        <v>0.31224674730999924</v>
      </c>
      <c r="I82" s="169">
        <f t="shared" si="1"/>
        <v>1.3495713645777174</v>
      </c>
      <c r="K82" s="40"/>
      <c r="L82" s="40">
        <f>-L81/L80</f>
        <v>6.6737023173410098E-2</v>
      </c>
      <c r="M82" s="40"/>
      <c r="N82" s="40">
        <f>-N81/N80</f>
        <v>0.32975177344298384</v>
      </c>
      <c r="O82" s="169"/>
      <c r="Q82" s="40"/>
      <c r="R82" s="40">
        <f>-R81/R80</f>
        <v>0.18567246767647277</v>
      </c>
      <c r="S82" s="40"/>
      <c r="T82" s="40">
        <f>-T81/T80</f>
        <v>0.19415343547171585</v>
      </c>
      <c r="V82" s="40"/>
      <c r="W82" s="40">
        <f>-W81/W80</f>
        <v>0.20078733830102108</v>
      </c>
      <c r="X82" s="40"/>
      <c r="Y82" s="40">
        <f>-Y81/Y80</f>
        <v>0.20836455297096559</v>
      </c>
      <c r="AA82" s="40"/>
      <c r="AB82" s="40">
        <f>-AB81/AB80</f>
        <v>0.18767245470342209</v>
      </c>
      <c r="AC82" s="40"/>
      <c r="AD82" s="40">
        <f>-AD81/AD80</f>
        <v>0.19179436611551201</v>
      </c>
      <c r="AE82" s="40"/>
      <c r="AG82" s="40"/>
      <c r="AH82" s="40">
        <f>-AH81/AH80</f>
        <v>-8.8393699313390811E-5</v>
      </c>
      <c r="AI82" s="40"/>
      <c r="AJ82" s="40">
        <f>-AJ81/AJ80</f>
        <v>-1.134538706156342E-4</v>
      </c>
    </row>
    <row r="83" spans="2:37" s="45" customFormat="1" x14ac:dyDescent="0.3">
      <c r="C83" s="86" t="s">
        <v>9</v>
      </c>
      <c r="D83" s="118"/>
      <c r="E83" s="87"/>
      <c r="F83" s="87">
        <f>SUM(F80:F81)</f>
        <v>167679.04687343372</v>
      </c>
      <c r="G83" s="87"/>
      <c r="H83" s="87">
        <f>SUM(H80:H81)</f>
        <v>122565.12005191104</v>
      </c>
      <c r="I83" s="178">
        <f t="shared" si="1"/>
        <v>-0.26904927993522798</v>
      </c>
      <c r="K83" s="87"/>
      <c r="L83" s="87">
        <f>SUM(L80:L81)</f>
        <v>108568.8930263684</v>
      </c>
      <c r="M83" s="87"/>
      <c r="N83" s="87">
        <f>SUM(N80:N81)</f>
        <v>88753.541972794308</v>
      </c>
      <c r="O83" s="178">
        <f>N83/L83-1</f>
        <v>-0.18251407471531911</v>
      </c>
      <c r="P83" s="259"/>
      <c r="Q83" s="87"/>
      <c r="R83" s="87">
        <f>SUM(R80:R81)</f>
        <v>67519.344776304337</v>
      </c>
      <c r="S83" s="87"/>
      <c r="T83" s="87">
        <f>SUM(T80:T81)</f>
        <v>58683.830402260304</v>
      </c>
      <c r="U83" s="49"/>
      <c r="V83" s="87"/>
      <c r="W83" s="87">
        <f>SUM(W80:W81)</f>
        <v>10105.415957999985</v>
      </c>
      <c r="X83" s="87"/>
      <c r="Y83" s="87">
        <f>SUM(Y80:Y81)</f>
        <v>-8207.3816760000009</v>
      </c>
      <c r="Z83" s="49"/>
      <c r="AA83" s="87"/>
      <c r="AB83" s="87">
        <f>SUM(AB80:AB81)</f>
        <v>77624.760734304291</v>
      </c>
      <c r="AC83" s="87"/>
      <c r="AD83" s="87">
        <f>SUM(AD80:AD81)</f>
        <v>50476.448726260329</v>
      </c>
      <c r="AE83" s="271">
        <f>AD83/AB83-1</f>
        <v>-0.34973778664475108</v>
      </c>
      <c r="AF83" s="49"/>
      <c r="AG83" s="87"/>
      <c r="AH83" s="87">
        <f>SUM(AH80:AH81)</f>
        <v>-18514.606887238977</v>
      </c>
      <c r="AI83" s="87"/>
      <c r="AJ83" s="87">
        <f>SUM(AJ80:AJ81)</f>
        <v>-16664.870647143311</v>
      </c>
      <c r="AK83" s="49"/>
    </row>
    <row r="84" spans="2:37" x14ac:dyDescent="0.3">
      <c r="C84" s="59" t="s">
        <v>51</v>
      </c>
      <c r="D84" s="119"/>
      <c r="E84" s="60"/>
      <c r="F84" s="60">
        <f>F83-'Segment IFRS17'!AB527/1000</f>
        <v>2.9011425795033574E-5</v>
      </c>
      <c r="G84" s="60"/>
      <c r="H84" s="60">
        <f>H83-'Segment IFRS17'!AB600/1000</f>
        <v>1.8759226077236235E-4</v>
      </c>
      <c r="I84" s="179"/>
      <c r="J84" s="59"/>
      <c r="K84" s="60"/>
      <c r="L84" s="60">
        <f>L83-Segment!X531/1000</f>
        <v>0</v>
      </c>
      <c r="M84" s="60"/>
      <c r="N84" s="60">
        <f>N83-'Segment IFRS17'!X600/1000</f>
        <v>1.0501955694053322E-4</v>
      </c>
      <c r="O84" s="179"/>
      <c r="P84" s="59"/>
      <c r="Q84" s="60"/>
      <c r="R84" s="60">
        <f>R83-'Segment IFRS17'!Y527/1000</f>
        <v>0</v>
      </c>
      <c r="S84" s="60"/>
      <c r="T84" s="60">
        <f>T83-'Segment IFRS17'!Y600/1000</f>
        <v>0</v>
      </c>
      <c r="U84" s="59"/>
      <c r="V84" s="60"/>
      <c r="W84" s="60">
        <f>W83-'Segment IFRS17'!Z527/1000</f>
        <v>0</v>
      </c>
      <c r="X84" s="60"/>
      <c r="Y84" s="60">
        <f>Y83-'Segment IFRS17'!Z600/1000</f>
        <v>0</v>
      </c>
      <c r="Z84" s="59"/>
      <c r="AA84" s="60"/>
      <c r="AB84" s="60">
        <f>AB83-R83-W83</f>
        <v>-3.092281986027956E-11</v>
      </c>
      <c r="AC84" s="60"/>
      <c r="AD84" s="60">
        <f>AD83-T83-Y83</f>
        <v>2.5465851649641991E-11</v>
      </c>
      <c r="AE84" s="272"/>
      <c r="AF84" s="59"/>
      <c r="AG84" s="60"/>
      <c r="AH84" s="60">
        <f>AH83-'Segment IFRS17'!AA527/1000</f>
        <v>-1.5729497681604698E-4</v>
      </c>
      <c r="AI84" s="60"/>
      <c r="AJ84" s="60">
        <f>AJ83-'Segment IFRS17'!AA600/1000</f>
        <v>8.2572689279913902E-5</v>
      </c>
      <c r="AK84" s="59"/>
    </row>
    <row r="85" spans="2:37" x14ac:dyDescent="0.3">
      <c r="C85" s="39" t="s">
        <v>83</v>
      </c>
      <c r="D85" s="109"/>
      <c r="E85" s="40"/>
      <c r="F85" s="40">
        <f>F83/AVERAGE(E100:F100)*2</f>
        <v>0.11300571954035778</v>
      </c>
      <c r="G85" s="40"/>
      <c r="H85" s="40">
        <f>H83/AVERAGE(G100:H100)*2</f>
        <v>6.9407442225161542E-2</v>
      </c>
      <c r="I85" s="169"/>
      <c r="K85" s="40"/>
      <c r="L85" s="40">
        <f>L83/AVERAGE(K101:L101)*2</f>
        <v>8.1876406643087096E-2</v>
      </c>
      <c r="M85" s="40"/>
      <c r="N85" s="40">
        <f>N83/AVERAGE(M101:N101)*2</f>
        <v>5.7147888810002961E-2</v>
      </c>
      <c r="O85" s="169"/>
      <c r="Q85" s="40"/>
      <c r="R85" s="40">
        <f>R83/AVERAGE(Q102:R102)*2</f>
        <v>0.45306429124373254</v>
      </c>
      <c r="S85" s="40"/>
      <c r="T85" s="40">
        <f>T83/AVERAGE(S102:T102)*2</f>
        <v>0.28348662390353263</v>
      </c>
      <c r="V85" s="40"/>
      <c r="W85" s="40">
        <f>W83/AVERAGE(V103:W103)*2</f>
        <v>1.151930546402556</v>
      </c>
      <c r="X85" s="40"/>
      <c r="Y85" s="40">
        <f>Y83/AVERAGE(X103:Y103)*2</f>
        <v>-1.4099587823465423</v>
      </c>
      <c r="AA85" s="40"/>
      <c r="AB85" s="40">
        <f>AB83/AVERAGE(SUM(AA102:AA103),SUM(AB102:AB103))*2</f>
        <v>0.49191624480242158</v>
      </c>
      <c r="AC85" s="40"/>
      <c r="AD85" s="40">
        <f>AD83/AVERAGE(SUM(AC102:AC103),SUM(AD102:AD103))*2</f>
        <v>0.23716968956479487</v>
      </c>
      <c r="AE85" s="40"/>
      <c r="AG85" s="40"/>
      <c r="AH85" s="40"/>
      <c r="AI85" s="40"/>
      <c r="AJ85" s="40"/>
    </row>
    <row r="86" spans="2:37" x14ac:dyDescent="0.3">
      <c r="C86" s="39" t="s">
        <v>132</v>
      </c>
      <c r="D86" s="109"/>
      <c r="E86" s="40"/>
      <c r="F86" s="40">
        <f>F83/F105*2</f>
        <v>0.11363530945491147</v>
      </c>
      <c r="G86" s="40"/>
      <c r="H86" s="40">
        <f>H83/H105*2</f>
        <v>7.0796280663107988E-2</v>
      </c>
      <c r="I86" s="169"/>
      <c r="K86" s="40"/>
      <c r="L86" s="40">
        <f>L83/L106*2</f>
        <v>8.2302008173455551E-2</v>
      </c>
      <c r="M86" s="40"/>
      <c r="N86" s="40">
        <f>N83/N106*2</f>
        <v>5.8322911521223479E-2</v>
      </c>
      <c r="O86" s="169"/>
      <c r="Q86" s="40"/>
      <c r="R86" s="40">
        <f>R83/R107*2</f>
        <v>0.45669274079737859</v>
      </c>
      <c r="S86" s="40"/>
      <c r="T86" s="40">
        <f>T83/T107*2</f>
        <v>0.28787092265175124</v>
      </c>
      <c r="V86" s="40"/>
      <c r="W86" s="40">
        <f>W83/W108*2</f>
        <v>1.1760404008647412</v>
      </c>
      <c r="X86" s="40"/>
      <c r="Y86" s="40">
        <f>Y83/Y108*2</f>
        <v>-1.4601601856432105</v>
      </c>
      <c r="AA86" s="40"/>
      <c r="AB86" s="40">
        <f>AB83/SUM(AB107:AB108)*2</f>
        <v>0.49620497902541733</v>
      </c>
      <c r="AC86" s="40"/>
      <c r="AD86" s="40">
        <f>AD83/SUM(AD107:AD108)*2</f>
        <v>0.24096583392291143</v>
      </c>
      <c r="AE86" s="40"/>
      <c r="AG86" s="40"/>
      <c r="AH86" s="40"/>
      <c r="AI86" s="40"/>
      <c r="AJ86" s="40"/>
    </row>
    <row r="87" spans="2:37" x14ac:dyDescent="0.3">
      <c r="C87" s="39" t="s">
        <v>84</v>
      </c>
      <c r="D87" s="109"/>
      <c r="E87" s="40"/>
      <c r="F87" s="40"/>
      <c r="G87" s="40"/>
      <c r="H87" s="40"/>
      <c r="I87" s="169"/>
      <c r="K87" s="40"/>
      <c r="L87" s="40">
        <f>L80/AVERAGE(K123:L123)*2</f>
        <v>1.120943362451785E-2</v>
      </c>
      <c r="M87" s="40"/>
      <c r="N87" s="40">
        <f>N80/AVERAGE(M123:N123)*2</f>
        <v>1.2801215806524395E-2</v>
      </c>
      <c r="O87" s="169"/>
      <c r="Q87" s="40"/>
      <c r="R87" s="40"/>
      <c r="S87" s="40"/>
      <c r="T87" s="40"/>
      <c r="V87" s="40"/>
      <c r="W87" s="40"/>
      <c r="X87" s="40"/>
      <c r="Y87" s="40"/>
      <c r="AA87" s="40"/>
      <c r="AB87" s="40"/>
      <c r="AC87" s="40"/>
      <c r="AD87" s="40"/>
      <c r="AE87" s="40"/>
      <c r="AG87" s="40"/>
      <c r="AH87" s="40"/>
      <c r="AI87" s="40"/>
      <c r="AJ87" s="40"/>
    </row>
    <row r="88" spans="2:37" x14ac:dyDescent="0.3">
      <c r="C88" s="45"/>
      <c r="D88" s="112"/>
      <c r="E88" s="62"/>
      <c r="F88" s="62"/>
      <c r="G88" s="62"/>
      <c r="H88" s="62"/>
      <c r="I88" s="131"/>
      <c r="K88" s="62"/>
      <c r="L88" s="62"/>
      <c r="M88" s="62"/>
      <c r="N88" s="62"/>
      <c r="O88" s="131"/>
      <c r="Q88" s="62"/>
      <c r="R88" s="62"/>
      <c r="S88" s="62"/>
      <c r="T88" s="62"/>
      <c r="V88" s="62"/>
      <c r="W88" s="62"/>
      <c r="X88" s="62"/>
      <c r="Y88" s="62"/>
      <c r="AA88" s="62"/>
      <c r="AB88" s="62"/>
      <c r="AC88" s="62"/>
      <c r="AD88" s="62"/>
      <c r="AE88" s="143"/>
      <c r="AG88" s="62"/>
      <c r="AH88" s="62"/>
      <c r="AI88" s="62"/>
      <c r="AJ88" s="62"/>
    </row>
    <row r="89" spans="2:37" s="32" customFormat="1" x14ac:dyDescent="0.3">
      <c r="B89" s="29"/>
      <c r="C89" s="30" t="s">
        <v>171</v>
      </c>
      <c r="D89" s="30"/>
      <c r="E89" s="31"/>
      <c r="F89" s="31"/>
      <c r="G89" s="31"/>
      <c r="H89" s="31"/>
      <c r="I89" s="180"/>
      <c r="K89" s="31"/>
      <c r="L89" s="31"/>
      <c r="M89" s="31"/>
      <c r="N89" s="31"/>
      <c r="O89" s="180"/>
      <c r="P89" s="36"/>
      <c r="Q89" s="31"/>
      <c r="R89" s="31"/>
      <c r="S89" s="31"/>
      <c r="T89" s="31"/>
      <c r="U89" s="36"/>
      <c r="V89" s="31"/>
      <c r="W89" s="31"/>
      <c r="X89" s="31"/>
      <c r="Y89" s="31"/>
      <c r="Z89" s="36"/>
      <c r="AA89" s="31"/>
      <c r="AB89" s="31"/>
      <c r="AC89" s="31"/>
      <c r="AD89" s="31"/>
      <c r="AE89" s="273"/>
      <c r="AF89" s="36"/>
      <c r="AG89" s="31"/>
      <c r="AH89" s="31"/>
      <c r="AI89" s="31"/>
      <c r="AJ89" s="31"/>
      <c r="AK89" s="36"/>
    </row>
    <row r="90" spans="2:37" s="35" customFormat="1" x14ac:dyDescent="0.3">
      <c r="B90" s="33"/>
      <c r="C90" s="63" t="s">
        <v>172</v>
      </c>
      <c r="D90" s="63"/>
      <c r="E90" s="150"/>
      <c r="F90" s="150">
        <f>F83</f>
        <v>167679.04687343372</v>
      </c>
      <c r="G90" s="150"/>
      <c r="H90" s="150">
        <f>H83</f>
        <v>122565.12005191104</v>
      </c>
      <c r="I90" s="168">
        <f t="shared" si="1"/>
        <v>-0.26904927993522798</v>
      </c>
      <c r="K90" s="150"/>
      <c r="L90" s="150"/>
      <c r="M90" s="150"/>
      <c r="N90" s="150"/>
      <c r="O90" s="168"/>
      <c r="P90" s="205"/>
      <c r="Q90" s="150"/>
      <c r="R90" s="150"/>
      <c r="S90" s="150"/>
      <c r="T90" s="150"/>
      <c r="U90" s="205"/>
      <c r="V90" s="150"/>
      <c r="W90" s="150"/>
      <c r="X90" s="150"/>
      <c r="Y90" s="150"/>
      <c r="Z90" s="205"/>
      <c r="AA90" s="150"/>
      <c r="AB90" s="150"/>
      <c r="AC90" s="150"/>
      <c r="AD90" s="150"/>
      <c r="AE90" s="264"/>
      <c r="AF90" s="205"/>
      <c r="AG90" s="150"/>
      <c r="AH90" s="150"/>
      <c r="AI90" s="150"/>
      <c r="AJ90" s="150"/>
      <c r="AK90" s="205"/>
    </row>
    <row r="91" spans="2:37" s="64" customFormat="1" x14ac:dyDescent="0.3">
      <c r="C91" s="65" t="str">
        <f>'Quarterly I.S'!C96</f>
        <v>Net effect of new Rent standard</v>
      </c>
      <c r="D91" s="77"/>
      <c r="E91" s="70"/>
      <c r="F91" s="70">
        <f>SUM('Quarterly I.S IFRS17'!F91:G91)</f>
        <v>12350</v>
      </c>
      <c r="G91" s="70"/>
      <c r="H91" s="70">
        <f>SUM('Quarterly I.S IFRS17'!J91:K91)</f>
        <v>17840.980071235688</v>
      </c>
      <c r="I91" s="181"/>
      <c r="K91" s="70"/>
      <c r="L91" s="70"/>
      <c r="M91" s="70"/>
      <c r="N91" s="70"/>
      <c r="O91" s="181"/>
      <c r="Q91" s="70"/>
      <c r="R91" s="70"/>
      <c r="S91" s="70"/>
      <c r="T91" s="70"/>
      <c r="V91" s="70"/>
      <c r="W91" s="70"/>
      <c r="X91" s="70"/>
      <c r="Y91" s="70"/>
      <c r="AA91" s="70"/>
      <c r="AB91" s="70"/>
      <c r="AC91" s="70"/>
      <c r="AD91" s="70"/>
      <c r="AE91" s="274"/>
      <c r="AG91" s="70"/>
      <c r="AH91" s="70"/>
      <c r="AI91" s="70"/>
      <c r="AJ91" s="70"/>
    </row>
    <row r="92" spans="2:37" s="64" customFormat="1" x14ac:dyDescent="0.3">
      <c r="C92" s="65" t="str">
        <f>'Quarterly I.S'!C98</f>
        <v>Tech Investments</v>
      </c>
      <c r="D92" s="77"/>
      <c r="E92" s="70"/>
      <c r="F92" s="70">
        <f>SUM('Quarterly I.S IFRS17'!F92:G92)</f>
        <v>22362</v>
      </c>
      <c r="G92" s="70"/>
      <c r="H92" s="70">
        <f>SUM('Quarterly I.S IFRS17'!J92:K92)</f>
        <v>21120.5059798414</v>
      </c>
      <c r="I92" s="181"/>
      <c r="K92" s="70"/>
      <c r="L92" s="70"/>
      <c r="M92" s="70"/>
      <c r="N92" s="70"/>
      <c r="O92" s="181"/>
      <c r="Q92" s="70"/>
      <c r="R92" s="70"/>
      <c r="S92" s="70"/>
      <c r="T92" s="70"/>
      <c r="V92" s="70"/>
      <c r="W92" s="70"/>
      <c r="X92" s="70"/>
      <c r="Y92" s="70"/>
      <c r="AA92" s="70"/>
      <c r="AB92" s="70"/>
      <c r="AC92" s="70"/>
      <c r="AD92" s="70"/>
      <c r="AE92" s="274"/>
      <c r="AG92" s="70"/>
      <c r="AH92" s="70"/>
      <c r="AI92" s="70"/>
      <c r="AJ92" s="70"/>
    </row>
    <row r="93" spans="2:37" s="64" customFormat="1" x14ac:dyDescent="0.3">
      <c r="C93" s="65" t="str">
        <f>'Quarterly I.S'!C100</f>
        <v>ESOP</v>
      </c>
      <c r="D93" s="77"/>
      <c r="E93" s="70"/>
      <c r="F93" s="70">
        <f>SUM('Quarterly I.S IFRS17'!F93:G93)</f>
        <v>1565</v>
      </c>
      <c r="G93" s="70"/>
      <c r="H93" s="70">
        <f>SUM('Quarterly I.S IFRS17'!J93:K93)</f>
        <v>1263.5091472500001</v>
      </c>
      <c r="I93" s="181"/>
      <c r="K93" s="70"/>
      <c r="L93" s="70"/>
      <c r="M93" s="70"/>
      <c r="N93" s="70"/>
      <c r="O93" s="181"/>
      <c r="Q93" s="70"/>
      <c r="R93" s="70"/>
      <c r="S93" s="70"/>
      <c r="T93" s="70"/>
      <c r="V93" s="70"/>
      <c r="W93" s="70"/>
      <c r="X93" s="70"/>
      <c r="Y93" s="70"/>
      <c r="AA93" s="70"/>
      <c r="AB93" s="70"/>
      <c r="AC93" s="70"/>
      <c r="AD93" s="70"/>
      <c r="AE93" s="274"/>
      <c r="AG93" s="70"/>
      <c r="AH93" s="70"/>
      <c r="AI93" s="70"/>
      <c r="AJ93" s="70"/>
    </row>
    <row r="94" spans="2:37" s="64" customFormat="1" x14ac:dyDescent="0.3">
      <c r="C94" s="65" t="str">
        <f>'Quarterly I.S'!C101</f>
        <v>Tax adjustments</v>
      </c>
      <c r="D94" s="77"/>
      <c r="E94" s="70"/>
      <c r="F94" s="70">
        <f>SUM('Quarterly I.S IFRS17'!F94:G94)</f>
        <v>7612</v>
      </c>
      <c r="G94" s="70"/>
      <c r="H94" s="70">
        <f>SUM('Quarterly I.S IFRS17'!J94:K94)</f>
        <v>-11695.613607768601</v>
      </c>
      <c r="I94" s="181"/>
      <c r="K94" s="70"/>
      <c r="L94" s="70"/>
      <c r="M94" s="70"/>
      <c r="N94" s="70"/>
      <c r="O94" s="181"/>
      <c r="Q94" s="70"/>
      <c r="R94" s="70"/>
      <c r="S94" s="70"/>
      <c r="T94" s="70"/>
      <c r="V94" s="70"/>
      <c r="W94" s="70"/>
      <c r="X94" s="70"/>
      <c r="Y94" s="70"/>
      <c r="AA94" s="70"/>
      <c r="AB94" s="70"/>
      <c r="AC94" s="70"/>
      <c r="AD94" s="70"/>
      <c r="AE94" s="274"/>
      <c r="AG94" s="70"/>
      <c r="AH94" s="70"/>
      <c r="AI94" s="70"/>
      <c r="AJ94" s="70"/>
    </row>
    <row r="95" spans="2:37" s="64" customFormat="1" x14ac:dyDescent="0.3">
      <c r="C95" s="65" t="str">
        <f>'Quarterly I.S'!C102</f>
        <v>Special provision</v>
      </c>
      <c r="D95" s="77"/>
      <c r="E95" s="70"/>
      <c r="F95" s="70">
        <f>SUM('Quarterly I.S IFRS17'!F95:G95)</f>
        <v>-14800</v>
      </c>
      <c r="G95" s="70"/>
      <c r="H95" s="70">
        <f>SUM('Quarterly I.S IFRS17'!J95:K95)</f>
        <v>12500</v>
      </c>
      <c r="I95" s="181"/>
      <c r="K95" s="70"/>
      <c r="L95" s="70"/>
      <c r="M95" s="70"/>
      <c r="N95" s="70"/>
      <c r="O95" s="181"/>
      <c r="Q95" s="70"/>
      <c r="R95" s="70"/>
      <c r="S95" s="70"/>
      <c r="T95" s="70"/>
      <c r="V95" s="70"/>
      <c r="W95" s="70"/>
      <c r="X95" s="70"/>
      <c r="Y95" s="70"/>
      <c r="AA95" s="70"/>
      <c r="AB95" s="70"/>
      <c r="AC95" s="70"/>
      <c r="AD95" s="70"/>
      <c r="AE95" s="274"/>
      <c r="AG95" s="70"/>
      <c r="AH95" s="70"/>
      <c r="AI95" s="70"/>
      <c r="AJ95" s="70"/>
    </row>
    <row r="96" spans="2:37" s="64" customFormat="1" ht="13.5" thickBot="1" x14ac:dyDescent="0.35">
      <c r="C96" s="151" t="s">
        <v>171</v>
      </c>
      <c r="D96" s="152"/>
      <c r="E96" s="154"/>
      <c r="F96" s="154">
        <f>SUM(F90:F95)</f>
        <v>196768.04687343372</v>
      </c>
      <c r="G96" s="154"/>
      <c r="H96" s="154">
        <f>SUM(H90:H95)</f>
        <v>163594.50164246952</v>
      </c>
      <c r="I96" s="175">
        <f t="shared" si="1"/>
        <v>-0.16859213555289432</v>
      </c>
      <c r="K96" s="154"/>
      <c r="L96" s="154"/>
      <c r="M96" s="154"/>
      <c r="N96" s="154"/>
      <c r="O96" s="204"/>
      <c r="Q96" s="154"/>
      <c r="R96" s="154"/>
      <c r="S96" s="154"/>
      <c r="T96" s="154"/>
      <c r="V96" s="154"/>
      <c r="W96" s="154"/>
      <c r="X96" s="154"/>
      <c r="Y96" s="154"/>
      <c r="AA96" s="154"/>
      <c r="AB96" s="154"/>
      <c r="AC96" s="154"/>
      <c r="AD96" s="154"/>
      <c r="AE96" s="268"/>
      <c r="AG96" s="154"/>
      <c r="AH96" s="154"/>
      <c r="AI96" s="154"/>
      <c r="AJ96" s="154"/>
    </row>
    <row r="97" spans="2:37" ht="13.5" thickTop="1" x14ac:dyDescent="0.3">
      <c r="C97" s="45"/>
      <c r="D97" s="112"/>
      <c r="E97" s="62"/>
      <c r="F97" s="62"/>
      <c r="G97" s="62"/>
      <c r="H97" s="62"/>
      <c r="I97" s="131"/>
      <c r="K97" s="62"/>
      <c r="L97" s="62"/>
      <c r="M97" s="62"/>
      <c r="N97" s="62"/>
      <c r="O97" s="131"/>
      <c r="Q97" s="62"/>
      <c r="R97" s="62"/>
      <c r="S97" s="62"/>
      <c r="T97" s="62"/>
      <c r="V97" s="62"/>
      <c r="W97" s="62"/>
      <c r="X97" s="62"/>
      <c r="Y97" s="62"/>
      <c r="AA97" s="62"/>
      <c r="AB97" s="62"/>
      <c r="AC97" s="62"/>
      <c r="AD97" s="62"/>
      <c r="AE97" s="143"/>
      <c r="AG97" s="62"/>
      <c r="AH97" s="62"/>
      <c r="AI97" s="62"/>
      <c r="AJ97" s="62"/>
    </row>
    <row r="98" spans="2:37" s="32" customFormat="1" x14ac:dyDescent="0.3">
      <c r="B98" s="29"/>
      <c r="C98" s="30" t="s">
        <v>102</v>
      </c>
      <c r="D98" s="30"/>
      <c r="E98" s="31"/>
      <c r="F98" s="31"/>
      <c r="G98" s="31"/>
      <c r="H98" s="31"/>
      <c r="I98" s="180"/>
      <c r="K98" s="31"/>
      <c r="L98" s="31"/>
      <c r="M98" s="31"/>
      <c r="N98" s="31"/>
      <c r="O98" s="180"/>
      <c r="P98" s="36"/>
      <c r="Q98" s="31"/>
      <c r="R98" s="31"/>
      <c r="S98" s="31"/>
      <c r="T98" s="31"/>
      <c r="U98" s="36"/>
      <c r="V98" s="31"/>
      <c r="W98" s="31"/>
      <c r="X98" s="31"/>
      <c r="Y98" s="31"/>
      <c r="Z98" s="36"/>
      <c r="AA98" s="31"/>
      <c r="AB98" s="31"/>
      <c r="AC98" s="31"/>
      <c r="AD98" s="31"/>
      <c r="AE98" s="273"/>
      <c r="AF98" s="36"/>
      <c r="AG98" s="31"/>
      <c r="AH98" s="31"/>
      <c r="AI98" s="31"/>
      <c r="AJ98" s="31"/>
      <c r="AK98" s="36"/>
    </row>
    <row r="99" spans="2:37" s="35" customFormat="1" x14ac:dyDescent="0.3">
      <c r="B99" s="33"/>
      <c r="C99" s="63" t="s">
        <v>103</v>
      </c>
      <c r="D99" s="63"/>
      <c r="E99" s="34"/>
      <c r="F99" s="34"/>
      <c r="G99" s="34"/>
      <c r="H99" s="34"/>
      <c r="I99" s="168"/>
      <c r="K99" s="34"/>
      <c r="L99" s="34"/>
      <c r="M99" s="34"/>
      <c r="N99" s="34"/>
      <c r="O99" s="168"/>
      <c r="P99" s="205"/>
      <c r="Q99" s="34"/>
      <c r="R99" s="34"/>
      <c r="S99" s="34"/>
      <c r="T99" s="34"/>
      <c r="U99" s="205"/>
      <c r="V99" s="34"/>
      <c r="W99" s="34"/>
      <c r="X99" s="34"/>
      <c r="Y99" s="34"/>
      <c r="Z99" s="205"/>
      <c r="AA99" s="34"/>
      <c r="AB99" s="34"/>
      <c r="AC99" s="34"/>
      <c r="AD99" s="34"/>
      <c r="AE99" s="264"/>
      <c r="AF99" s="205"/>
      <c r="AG99" s="34"/>
      <c r="AH99" s="34"/>
      <c r="AI99" s="34"/>
      <c r="AJ99" s="34"/>
      <c r="AK99" s="205"/>
    </row>
    <row r="100" spans="2:37" s="64" customFormat="1" x14ac:dyDescent="0.3">
      <c r="C100" s="65" t="s">
        <v>81</v>
      </c>
      <c r="D100" s="77"/>
      <c r="E100" s="69">
        <f>'Quarterly I.S IFRS17'!E100</f>
        <v>2904358.2520794603</v>
      </c>
      <c r="F100" s="69">
        <f>'Quarterly I.S IFRS17'!G100</f>
        <v>3030882.8155569583</v>
      </c>
      <c r="G100" s="69">
        <f>'Quarterly I.S IFRS17'!I100</f>
        <v>3477593.3382173507</v>
      </c>
      <c r="H100" s="69">
        <f>'Quarterly I.S IFRS17'!K100</f>
        <v>3585921.2430751338</v>
      </c>
      <c r="I100" s="182">
        <f t="shared" si="1"/>
        <v>0.18312764342760679</v>
      </c>
      <c r="K100" s="69">
        <f>$E100</f>
        <v>2904358.2520794603</v>
      </c>
      <c r="L100" s="69">
        <f>$F100</f>
        <v>3030882.8155569583</v>
      </c>
      <c r="M100" s="69">
        <f>$G100</f>
        <v>3477593.3382173507</v>
      </c>
      <c r="N100" s="69">
        <f>$H100</f>
        <v>3585921.2430751338</v>
      </c>
      <c r="O100" s="182">
        <f>N100/L100-1</f>
        <v>0.18312764342760679</v>
      </c>
      <c r="Q100" s="69">
        <f>$E100</f>
        <v>2904358.2520794603</v>
      </c>
      <c r="R100" s="69">
        <f>$F100</f>
        <v>3030882.8155569583</v>
      </c>
      <c r="S100" s="69">
        <f>$G100</f>
        <v>3477593.3382173507</v>
      </c>
      <c r="T100" s="69">
        <f>$H100</f>
        <v>3585921.2430751338</v>
      </c>
      <c r="V100" s="69">
        <f>$E100</f>
        <v>2904358.2520794603</v>
      </c>
      <c r="W100" s="69">
        <f>$F100</f>
        <v>3030882.8155569583</v>
      </c>
      <c r="X100" s="69">
        <f>$G100</f>
        <v>3477593.3382173507</v>
      </c>
      <c r="Y100" s="69">
        <f>$H100</f>
        <v>3585921.2430751338</v>
      </c>
      <c r="AA100" s="69">
        <f>$E100</f>
        <v>2904358.2520794603</v>
      </c>
      <c r="AB100" s="69">
        <f>$F100</f>
        <v>3030882.8155569583</v>
      </c>
      <c r="AC100" s="69">
        <f>$G100</f>
        <v>3477593.3382173507</v>
      </c>
      <c r="AD100" s="69">
        <f>$H100</f>
        <v>3585921.2430751338</v>
      </c>
      <c r="AE100" s="275">
        <f>AD100/AB100-1</f>
        <v>0.18312764342760679</v>
      </c>
      <c r="AG100" s="69">
        <f>$E100</f>
        <v>2904358.2520794603</v>
      </c>
      <c r="AH100" s="69">
        <f>$F100</f>
        <v>3030882.8155569583</v>
      </c>
      <c r="AI100" s="69">
        <f>$G100</f>
        <v>3477593.3382173507</v>
      </c>
      <c r="AJ100" s="69">
        <f>$H100</f>
        <v>3585921.2430751338</v>
      </c>
    </row>
    <row r="101" spans="2:37" s="64" customFormat="1" x14ac:dyDescent="0.3">
      <c r="C101" s="65" t="s">
        <v>82</v>
      </c>
      <c r="D101" s="77"/>
      <c r="E101" s="67">
        <f>E100-E102-E103</f>
        <v>2617152.4164260603</v>
      </c>
      <c r="F101" s="67">
        <f>F100-F102-F103</f>
        <v>2686885.5831719586</v>
      </c>
      <c r="G101" s="67">
        <f>G100-G102-G103</f>
        <v>3089561.8947073505</v>
      </c>
      <c r="H101" s="67">
        <f>H100-H102-H103</f>
        <v>3122639.0331602911</v>
      </c>
      <c r="I101" s="183">
        <f t="shared" si="1"/>
        <v>0.16217789574571717</v>
      </c>
      <c r="K101" s="67">
        <f>$E101</f>
        <v>2617152.4164260603</v>
      </c>
      <c r="L101" s="67">
        <f>$F101</f>
        <v>2686885.5831719586</v>
      </c>
      <c r="M101" s="67">
        <f>$G101</f>
        <v>3089561.8947073505</v>
      </c>
      <c r="N101" s="67">
        <f>$H101</f>
        <v>3122639.0331602911</v>
      </c>
      <c r="O101" s="183">
        <f>N101/L101-1</f>
        <v>0.16217789574571717</v>
      </c>
      <c r="Q101" s="67">
        <f>$E101</f>
        <v>2617152.4164260603</v>
      </c>
      <c r="R101" s="67">
        <f>$F101</f>
        <v>2686885.5831719586</v>
      </c>
      <c r="S101" s="67">
        <f>$G101</f>
        <v>3089561.8947073505</v>
      </c>
      <c r="T101" s="67">
        <f>$H101</f>
        <v>3122639.0331602911</v>
      </c>
      <c r="V101" s="67">
        <f>$E101</f>
        <v>2617152.4164260603</v>
      </c>
      <c r="W101" s="67">
        <f>$F101</f>
        <v>2686885.5831719586</v>
      </c>
      <c r="X101" s="67">
        <f>$G101</f>
        <v>3089561.8947073505</v>
      </c>
      <c r="Y101" s="67">
        <f>$H101</f>
        <v>3122639.0331602911</v>
      </c>
      <c r="AA101" s="67">
        <f>$E101</f>
        <v>2617152.4164260603</v>
      </c>
      <c r="AB101" s="67">
        <f>$F101</f>
        <v>2686885.5831719586</v>
      </c>
      <c r="AC101" s="67">
        <f>$G101</f>
        <v>3089561.8947073505</v>
      </c>
      <c r="AD101" s="67">
        <f>$H101</f>
        <v>3122639.0331602911</v>
      </c>
      <c r="AE101" s="276">
        <f>AD101/AB101-1</f>
        <v>0.16217789574571717</v>
      </c>
      <c r="AG101" s="67">
        <f>$E101</f>
        <v>2617152.4164260603</v>
      </c>
      <c r="AH101" s="67">
        <f>$F101</f>
        <v>2686885.5831719586</v>
      </c>
      <c r="AI101" s="67">
        <f>$G101</f>
        <v>3089561.8947073505</v>
      </c>
      <c r="AJ101" s="67">
        <f>$H101</f>
        <v>3122639.0331602911</v>
      </c>
    </row>
    <row r="102" spans="2:37" s="64" customFormat="1" x14ac:dyDescent="0.3">
      <c r="C102" s="65" t="s">
        <v>80</v>
      </c>
      <c r="D102" s="77"/>
      <c r="E102" s="69">
        <f>'Quarterly I.S IFRS17'!E102</f>
        <v>264738.25029579998</v>
      </c>
      <c r="F102" s="69">
        <f>'Quarterly I.S IFRS17'!G102</f>
        <v>331374.45230499998</v>
      </c>
      <c r="G102" s="69">
        <f>'Quarterly I.S IFRS17'!I102</f>
        <v>360908.93478200003</v>
      </c>
      <c r="H102" s="69">
        <f>'Quarterly I.S IFRS17'!K102</f>
        <v>467120.6857228427</v>
      </c>
      <c r="I102" s="182">
        <f t="shared" si="1"/>
        <v>0.40964604384438386</v>
      </c>
      <c r="K102" s="69">
        <f>$E102</f>
        <v>264738.25029579998</v>
      </c>
      <c r="L102" s="69">
        <f>$F102</f>
        <v>331374.45230499998</v>
      </c>
      <c r="M102" s="69">
        <f>$G102</f>
        <v>360908.93478200003</v>
      </c>
      <c r="N102" s="69">
        <f>$H102</f>
        <v>467120.6857228427</v>
      </c>
      <c r="O102" s="182">
        <f>N102/L102-1</f>
        <v>0.40964604384438386</v>
      </c>
      <c r="Q102" s="69">
        <f>$E102</f>
        <v>264738.25029579998</v>
      </c>
      <c r="R102" s="69">
        <f>$F102</f>
        <v>331374.45230499998</v>
      </c>
      <c r="S102" s="69">
        <f>$G102</f>
        <v>360908.93478200003</v>
      </c>
      <c r="T102" s="69">
        <f>$H102</f>
        <v>467120.6857228427</v>
      </c>
      <c r="V102" s="69">
        <f>$E102</f>
        <v>264738.25029579998</v>
      </c>
      <c r="W102" s="69">
        <f>$F102</f>
        <v>331374.45230499998</v>
      </c>
      <c r="X102" s="69">
        <f>$G102</f>
        <v>360908.93478200003</v>
      </c>
      <c r="Y102" s="69">
        <f>$H102</f>
        <v>467120.6857228427</v>
      </c>
      <c r="AA102" s="69">
        <f>$E102</f>
        <v>264738.25029579998</v>
      </c>
      <c r="AB102" s="69">
        <f>$F102</f>
        <v>331374.45230499998</v>
      </c>
      <c r="AC102" s="69">
        <f>$G102</f>
        <v>360908.93478200003</v>
      </c>
      <c r="AD102" s="69">
        <f>$H102</f>
        <v>467120.6857228427</v>
      </c>
      <c r="AE102" s="275">
        <f>AD102/AB102-1</f>
        <v>0.40964604384438386</v>
      </c>
      <c r="AG102" s="69">
        <f>$E102</f>
        <v>264738.25029579998</v>
      </c>
      <c r="AH102" s="69">
        <f>$F102</f>
        <v>331374.45230499998</v>
      </c>
      <c r="AI102" s="69">
        <f>$G102</f>
        <v>360908.93478200003</v>
      </c>
      <c r="AJ102" s="69">
        <f>$H102</f>
        <v>467120.6857228427</v>
      </c>
    </row>
    <row r="103" spans="2:37" s="64" customFormat="1" x14ac:dyDescent="0.3">
      <c r="C103" s="65" t="s">
        <v>190</v>
      </c>
      <c r="D103" s="77"/>
      <c r="E103" s="69">
        <f>'Quarterly I.S IFRS17'!E103</f>
        <v>22467.585357600008</v>
      </c>
      <c r="F103" s="69">
        <f>'Quarterly I.S IFRS17'!G103</f>
        <v>12622.780079999993</v>
      </c>
      <c r="G103" s="69">
        <f>'Quarterly I.S IFRS17'!I103</f>
        <v>27122.508728000004</v>
      </c>
      <c r="H103" s="69">
        <f>'Quarterly I.S IFRS17'!K103</f>
        <v>-3838.4758080000074</v>
      </c>
      <c r="I103" s="182">
        <f t="shared" si="1"/>
        <v>-1.3040911577063623</v>
      </c>
      <c r="K103" s="69">
        <f>$E103</f>
        <v>22467.585357600008</v>
      </c>
      <c r="L103" s="69">
        <f>$F103</f>
        <v>12622.780079999993</v>
      </c>
      <c r="M103" s="69">
        <f>$G103</f>
        <v>27122.508728000004</v>
      </c>
      <c r="N103" s="69">
        <f>$H103</f>
        <v>-3838.4758080000074</v>
      </c>
      <c r="O103" s="182">
        <f>N103/L103-1</f>
        <v>-1.3040911577063623</v>
      </c>
      <c r="Q103" s="69">
        <f>$E103</f>
        <v>22467.585357600008</v>
      </c>
      <c r="R103" s="69">
        <f>$F103</f>
        <v>12622.780079999993</v>
      </c>
      <c r="S103" s="69">
        <f>$G103</f>
        <v>27122.508728000004</v>
      </c>
      <c r="T103" s="69">
        <f>$H103</f>
        <v>-3838.4758080000074</v>
      </c>
      <c r="V103" s="69">
        <f>$E103</f>
        <v>22467.585357600008</v>
      </c>
      <c r="W103" s="69">
        <f>$F103</f>
        <v>12622.780079999993</v>
      </c>
      <c r="X103" s="69">
        <f>$G103</f>
        <v>27122.508728000004</v>
      </c>
      <c r="Y103" s="69">
        <f>$H103</f>
        <v>-3838.4758080000074</v>
      </c>
      <c r="AA103" s="69">
        <f>$E103</f>
        <v>22467.585357600008</v>
      </c>
      <c r="AB103" s="69">
        <f>$F103</f>
        <v>12622.780079999993</v>
      </c>
      <c r="AC103" s="69">
        <f>$G103</f>
        <v>27122.508728000004</v>
      </c>
      <c r="AD103" s="69">
        <f>$H103</f>
        <v>-3838.4758080000074</v>
      </c>
      <c r="AE103" s="275">
        <f>AD103/AB103-1</f>
        <v>-1.3040911577063623</v>
      </c>
      <c r="AG103" s="69">
        <f>$E103</f>
        <v>22467.585357600008</v>
      </c>
      <c r="AH103" s="69">
        <f>$F103</f>
        <v>12622.780079999993</v>
      </c>
      <c r="AI103" s="69">
        <f>$G103</f>
        <v>27122.508728000004</v>
      </c>
      <c r="AJ103" s="69">
        <f>$H103</f>
        <v>-3838.4758080000074</v>
      </c>
    </row>
    <row r="104" spans="2:37" x14ac:dyDescent="0.3">
      <c r="C104" s="71"/>
      <c r="D104" s="120"/>
      <c r="E104" s="68"/>
      <c r="F104" s="68"/>
      <c r="G104" s="68"/>
      <c r="H104" s="68"/>
      <c r="I104" s="209"/>
      <c r="K104" s="68"/>
      <c r="L104" s="68"/>
      <c r="M104" s="68"/>
      <c r="N104" s="68"/>
      <c r="O104" s="209"/>
      <c r="Q104" s="68"/>
      <c r="R104" s="68"/>
      <c r="S104" s="68"/>
      <c r="T104" s="68"/>
      <c r="V104" s="68"/>
      <c r="W104" s="68"/>
      <c r="X104" s="68"/>
      <c r="Y104" s="68"/>
      <c r="AA104" s="68"/>
      <c r="AB104" s="68"/>
      <c r="AC104" s="68"/>
      <c r="AD104" s="68"/>
      <c r="AE104" s="277"/>
      <c r="AG104" s="68"/>
      <c r="AH104" s="68"/>
      <c r="AI104" s="68"/>
      <c r="AJ104" s="68"/>
    </row>
    <row r="105" spans="2:37" s="64" customFormat="1" x14ac:dyDescent="0.3">
      <c r="C105" s="65" t="s">
        <v>129</v>
      </c>
      <c r="D105" s="77"/>
      <c r="E105" s="69">
        <f>'Quarterly I.S IFRS17'!E105</f>
        <v>2729428.4309264366</v>
      </c>
      <c r="F105" s="69">
        <f>AVERAGE('Quarterly I.S IFRS17'!F105:G105)</f>
        <v>2951178.6024565869</v>
      </c>
      <c r="G105" s="69">
        <f>'Quarterly I.S IFRS17'!I105</f>
        <v>3376566.2494364046</v>
      </c>
      <c r="H105" s="69">
        <f>AVERAGE('Quarterly I.S IFRS17'!J105:K105)</f>
        <v>3462473.4210304311</v>
      </c>
      <c r="I105" s="182">
        <f t="shared" si="1"/>
        <v>0.17325105913557315</v>
      </c>
      <c r="K105" s="69">
        <f>$E105</f>
        <v>2729428.4309264366</v>
      </c>
      <c r="L105" s="69">
        <f>$F105</f>
        <v>2951178.6024565869</v>
      </c>
      <c r="M105" s="69">
        <f>$G105</f>
        <v>3376566.2494364046</v>
      </c>
      <c r="N105" s="69">
        <f>$H105</f>
        <v>3462473.4210304311</v>
      </c>
      <c r="O105" s="182"/>
      <c r="Q105" s="69">
        <f>$E105</f>
        <v>2729428.4309264366</v>
      </c>
      <c r="R105" s="69">
        <f>$F105</f>
        <v>2951178.6024565869</v>
      </c>
      <c r="S105" s="69">
        <f>$G105</f>
        <v>3376566.2494364046</v>
      </c>
      <c r="T105" s="69">
        <f>$H105</f>
        <v>3462473.4210304311</v>
      </c>
      <c r="V105" s="69">
        <f>$E105</f>
        <v>2729428.4309264366</v>
      </c>
      <c r="W105" s="69">
        <f>$F105</f>
        <v>2951178.6024565869</v>
      </c>
      <c r="X105" s="69">
        <f>$G105</f>
        <v>3376566.2494364046</v>
      </c>
      <c r="Y105" s="69">
        <f>$H105</f>
        <v>3462473.4210304311</v>
      </c>
      <c r="AA105" s="69">
        <f>$E105</f>
        <v>2729428.4309264366</v>
      </c>
      <c r="AB105" s="69">
        <f>$F105</f>
        <v>2951178.6024565869</v>
      </c>
      <c r="AC105" s="69">
        <f>$G105</f>
        <v>3376566.2494364046</v>
      </c>
      <c r="AD105" s="69">
        <f>$H105</f>
        <v>3462473.4210304311</v>
      </c>
      <c r="AE105" s="275"/>
      <c r="AG105" s="69">
        <f>$E105</f>
        <v>2729428.4309264366</v>
      </c>
      <c r="AH105" s="69">
        <f>$F105</f>
        <v>2951178.6024565869</v>
      </c>
      <c r="AI105" s="69">
        <f>$G105</f>
        <v>3376566.2494364046</v>
      </c>
      <c r="AJ105" s="69">
        <f>$H105</f>
        <v>3462473.4210304311</v>
      </c>
    </row>
    <row r="106" spans="2:37" s="64" customFormat="1" x14ac:dyDescent="0.3">
      <c r="C106" s="65" t="s">
        <v>130</v>
      </c>
      <c r="D106" s="77"/>
      <c r="E106" s="67">
        <f>E105-E107-E108</f>
        <v>2458233.5001276033</v>
      </c>
      <c r="F106" s="67">
        <f>F105-F107-F108</f>
        <v>2638304.8344957535</v>
      </c>
      <c r="G106" s="67">
        <f>G105-G107-G108</f>
        <v>2996409.7466547713</v>
      </c>
      <c r="H106" s="67">
        <f>H105-H107-H108</f>
        <v>3043522.3365176907</v>
      </c>
      <c r="I106" s="181">
        <f t="shared" si="1"/>
        <v>0.1535900994925723</v>
      </c>
      <c r="K106" s="67">
        <f>$E106</f>
        <v>2458233.5001276033</v>
      </c>
      <c r="L106" s="67">
        <f>$F106</f>
        <v>2638304.8344957535</v>
      </c>
      <c r="M106" s="67">
        <f>$G106</f>
        <v>2996409.7466547713</v>
      </c>
      <c r="N106" s="67">
        <f>$H106</f>
        <v>3043522.3365176907</v>
      </c>
      <c r="O106" s="181"/>
      <c r="Q106" s="67">
        <f>$E106</f>
        <v>2458233.5001276033</v>
      </c>
      <c r="R106" s="67">
        <f>$F106</f>
        <v>2638304.8344957535</v>
      </c>
      <c r="S106" s="67">
        <f>$G106</f>
        <v>2996409.7466547713</v>
      </c>
      <c r="T106" s="67">
        <f>$H106</f>
        <v>3043522.3365176907</v>
      </c>
      <c r="V106" s="67">
        <f>$E106</f>
        <v>2458233.5001276033</v>
      </c>
      <c r="W106" s="67">
        <f>$F106</f>
        <v>2638304.8344957535</v>
      </c>
      <c r="X106" s="67">
        <f>$G106</f>
        <v>2996409.7466547713</v>
      </c>
      <c r="Y106" s="67">
        <f>$H106</f>
        <v>3043522.3365176907</v>
      </c>
      <c r="AA106" s="67">
        <f>$E106</f>
        <v>2458233.5001276033</v>
      </c>
      <c r="AB106" s="67">
        <f>$F106</f>
        <v>2638304.8344957535</v>
      </c>
      <c r="AC106" s="67">
        <f>$G106</f>
        <v>2996409.7466547713</v>
      </c>
      <c r="AD106" s="67">
        <f>$H106</f>
        <v>3043522.3365176907</v>
      </c>
      <c r="AE106" s="276"/>
      <c r="AG106" s="67">
        <f>$E106</f>
        <v>2458233.5001276033</v>
      </c>
      <c r="AH106" s="67">
        <f>$F106</f>
        <v>2638304.8344957535</v>
      </c>
      <c r="AI106" s="67">
        <f>$G106</f>
        <v>2996409.7466547713</v>
      </c>
      <c r="AJ106" s="67">
        <f>$H106</f>
        <v>3043522.3365176907</v>
      </c>
    </row>
    <row r="107" spans="2:37" s="64" customFormat="1" x14ac:dyDescent="0.3">
      <c r="C107" s="65" t="s">
        <v>131</v>
      </c>
      <c r="D107" s="77"/>
      <c r="E107" s="69">
        <f>'Quarterly I.S IFRS17'!E107</f>
        <v>259687.12407856667</v>
      </c>
      <c r="F107" s="69">
        <f>AVERAGE('Quarterly I.S IFRS17'!F107:G107)</f>
        <v>295688.27679816668</v>
      </c>
      <c r="G107" s="69">
        <f>'Quarterly I.S IFRS17'!I107</f>
        <v>353878.40350963332</v>
      </c>
      <c r="H107" s="69">
        <f>AVERAGE('Quarterly I.S IFRS17'!J107:K107)</f>
        <v>407709.32931807381</v>
      </c>
      <c r="I107" s="182">
        <f t="shared" si="1"/>
        <v>0.37884847425443025</v>
      </c>
      <c r="K107" s="69">
        <f>$E107</f>
        <v>259687.12407856667</v>
      </c>
      <c r="L107" s="69">
        <f>$F107</f>
        <v>295688.27679816668</v>
      </c>
      <c r="M107" s="69">
        <f>$G107</f>
        <v>353878.40350963332</v>
      </c>
      <c r="N107" s="69">
        <f>$H107</f>
        <v>407709.32931807381</v>
      </c>
      <c r="O107" s="182"/>
      <c r="Q107" s="69">
        <f>$E107</f>
        <v>259687.12407856667</v>
      </c>
      <c r="R107" s="69">
        <f>$F107</f>
        <v>295688.27679816668</v>
      </c>
      <c r="S107" s="69">
        <f>$G107</f>
        <v>353878.40350963332</v>
      </c>
      <c r="T107" s="69">
        <f>$H107</f>
        <v>407709.32931807381</v>
      </c>
      <c r="V107" s="69">
        <f>$E107</f>
        <v>259687.12407856667</v>
      </c>
      <c r="W107" s="69">
        <f>$F107</f>
        <v>295688.27679816668</v>
      </c>
      <c r="X107" s="69">
        <f>$G107</f>
        <v>353878.40350963332</v>
      </c>
      <c r="Y107" s="69">
        <f>$H107</f>
        <v>407709.32931807381</v>
      </c>
      <c r="AA107" s="69">
        <f>$E107</f>
        <v>259687.12407856667</v>
      </c>
      <c r="AB107" s="69">
        <f>$F107</f>
        <v>295688.27679816668</v>
      </c>
      <c r="AC107" s="69">
        <f>$G107</f>
        <v>353878.40350963332</v>
      </c>
      <c r="AD107" s="69">
        <f>$H107</f>
        <v>407709.32931807381</v>
      </c>
      <c r="AE107" s="275"/>
      <c r="AG107" s="69">
        <f>$E107</f>
        <v>259687.12407856667</v>
      </c>
      <c r="AH107" s="69">
        <f>$F107</f>
        <v>295688.27679816668</v>
      </c>
      <c r="AI107" s="69">
        <f>$G107</f>
        <v>353878.40350963332</v>
      </c>
      <c r="AJ107" s="69">
        <f>$H107</f>
        <v>407709.32931807381</v>
      </c>
    </row>
    <row r="108" spans="2:37" s="64" customFormat="1" x14ac:dyDescent="0.3">
      <c r="C108" s="65" t="s">
        <v>191</v>
      </c>
      <c r="D108" s="77"/>
      <c r="E108" s="69">
        <f>'Quarterly I.S IFRS17'!E108</f>
        <v>11507.806720266666</v>
      </c>
      <c r="F108" s="69">
        <f>AVERAGE('Quarterly I.S IFRS17'!F108:G108)</f>
        <v>17185.491162666665</v>
      </c>
      <c r="G108" s="69">
        <f>'Quarterly I.S IFRS17'!I108</f>
        <v>26278.099271999996</v>
      </c>
      <c r="H108" s="69">
        <f>AVERAGE('Quarterly I.S IFRS17'!J108:K108)</f>
        <v>11241.755194666664</v>
      </c>
      <c r="I108" s="182">
        <f t="shared" si="1"/>
        <v>-0.3458577885112778</v>
      </c>
      <c r="K108" s="69">
        <f>$E108</f>
        <v>11507.806720266666</v>
      </c>
      <c r="L108" s="69">
        <f>$F108</f>
        <v>17185.491162666665</v>
      </c>
      <c r="M108" s="69">
        <f>$G108</f>
        <v>26278.099271999996</v>
      </c>
      <c r="N108" s="69">
        <f>$H108</f>
        <v>11241.755194666664</v>
      </c>
      <c r="O108" s="182"/>
      <c r="Q108" s="69">
        <f>$E108</f>
        <v>11507.806720266666</v>
      </c>
      <c r="R108" s="69">
        <f>$F108</f>
        <v>17185.491162666665</v>
      </c>
      <c r="S108" s="69">
        <f>$G108</f>
        <v>26278.099271999996</v>
      </c>
      <c r="T108" s="69">
        <f>$H108</f>
        <v>11241.755194666664</v>
      </c>
      <c r="V108" s="69">
        <f>$E108</f>
        <v>11507.806720266666</v>
      </c>
      <c r="W108" s="69">
        <f>$F108</f>
        <v>17185.491162666665</v>
      </c>
      <c r="X108" s="69">
        <f>$G108</f>
        <v>26278.099271999996</v>
      </c>
      <c r="Y108" s="69">
        <f>$H108</f>
        <v>11241.755194666664</v>
      </c>
      <c r="AA108" s="69">
        <f>$E108</f>
        <v>11507.806720266666</v>
      </c>
      <c r="AB108" s="69">
        <f>$F108</f>
        <v>17185.491162666665</v>
      </c>
      <c r="AC108" s="69">
        <f>$G108</f>
        <v>26278.099271999996</v>
      </c>
      <c r="AD108" s="69">
        <f>$H108</f>
        <v>11241.755194666664</v>
      </c>
      <c r="AE108" s="275"/>
      <c r="AG108" s="69">
        <f>$E108</f>
        <v>11507.806720266666</v>
      </c>
      <c r="AH108" s="69">
        <f>$F108</f>
        <v>17185.491162666665</v>
      </c>
      <c r="AI108" s="69">
        <f>$G108</f>
        <v>26278.099271999996</v>
      </c>
      <c r="AJ108" s="69">
        <f>$H108</f>
        <v>11241.755194666664</v>
      </c>
    </row>
    <row r="109" spans="2:37" x14ac:dyDescent="0.3">
      <c r="C109" s="39" t="s">
        <v>104</v>
      </c>
      <c r="D109" s="109"/>
      <c r="E109" s="40">
        <f t="shared" ref="E109:H110" si="5">E85</f>
        <v>0</v>
      </c>
      <c r="F109" s="40">
        <f t="shared" si="5"/>
        <v>0.11300571954035778</v>
      </c>
      <c r="G109" s="40">
        <f t="shared" si="5"/>
        <v>0</v>
      </c>
      <c r="H109" s="40">
        <f t="shared" si="5"/>
        <v>6.9407442225161542E-2</v>
      </c>
      <c r="I109" s="169"/>
      <c r="K109" s="40">
        <f t="shared" ref="K109:N110" si="6">K85</f>
        <v>0</v>
      </c>
      <c r="L109" s="40">
        <f t="shared" si="6"/>
        <v>8.1876406643087096E-2</v>
      </c>
      <c r="M109" s="40">
        <f t="shared" si="6"/>
        <v>0</v>
      </c>
      <c r="N109" s="40">
        <f t="shared" si="6"/>
        <v>5.7147888810002961E-2</v>
      </c>
      <c r="O109" s="169"/>
      <c r="Q109" s="40">
        <f t="shared" ref="Q109:T110" si="7">Q85</f>
        <v>0</v>
      </c>
      <c r="R109" s="40">
        <f t="shared" si="7"/>
        <v>0.45306429124373254</v>
      </c>
      <c r="S109" s="40">
        <f t="shared" si="7"/>
        <v>0</v>
      </c>
      <c r="T109" s="40">
        <f t="shared" si="7"/>
        <v>0.28348662390353263</v>
      </c>
      <c r="V109" s="40">
        <f t="shared" ref="V109:Y110" si="8">V85</f>
        <v>0</v>
      </c>
      <c r="W109" s="40">
        <f t="shared" si="8"/>
        <v>1.151930546402556</v>
      </c>
      <c r="X109" s="40">
        <f t="shared" si="8"/>
        <v>0</v>
      </c>
      <c r="Y109" s="40">
        <f t="shared" si="8"/>
        <v>-1.4099587823465423</v>
      </c>
      <c r="AA109" s="40">
        <f t="shared" ref="AA109:AD110" si="9">AA85</f>
        <v>0</v>
      </c>
      <c r="AB109" s="40">
        <f t="shared" si="9"/>
        <v>0.49191624480242158</v>
      </c>
      <c r="AC109" s="40">
        <f t="shared" si="9"/>
        <v>0</v>
      </c>
      <c r="AD109" s="40">
        <f t="shared" si="9"/>
        <v>0.23716968956479487</v>
      </c>
      <c r="AE109" s="40"/>
      <c r="AG109" s="40">
        <f t="shared" ref="AG109:AJ110" si="10">AG85</f>
        <v>0</v>
      </c>
      <c r="AH109" s="40">
        <f t="shared" si="10"/>
        <v>0</v>
      </c>
      <c r="AI109" s="40">
        <f t="shared" si="10"/>
        <v>0</v>
      </c>
      <c r="AJ109" s="40">
        <f t="shared" si="10"/>
        <v>0</v>
      </c>
    </row>
    <row r="110" spans="2:37" x14ac:dyDescent="0.3">
      <c r="C110" s="39" t="s">
        <v>132</v>
      </c>
      <c r="D110" s="109"/>
      <c r="E110" s="40">
        <f t="shared" si="5"/>
        <v>0</v>
      </c>
      <c r="F110" s="40">
        <f t="shared" si="5"/>
        <v>0.11363530945491147</v>
      </c>
      <c r="G110" s="40">
        <f t="shared" si="5"/>
        <v>0</v>
      </c>
      <c r="H110" s="40">
        <f t="shared" si="5"/>
        <v>7.0796280663107988E-2</v>
      </c>
      <c r="I110" s="169"/>
      <c r="K110" s="40">
        <f t="shared" si="6"/>
        <v>0</v>
      </c>
      <c r="L110" s="40">
        <f t="shared" si="6"/>
        <v>8.2302008173455551E-2</v>
      </c>
      <c r="M110" s="40">
        <f t="shared" si="6"/>
        <v>0</v>
      </c>
      <c r="N110" s="40">
        <f t="shared" si="6"/>
        <v>5.8322911521223479E-2</v>
      </c>
      <c r="O110" s="169"/>
      <c r="Q110" s="40">
        <f t="shared" si="7"/>
        <v>0</v>
      </c>
      <c r="R110" s="40">
        <f t="shared" si="7"/>
        <v>0.45669274079737859</v>
      </c>
      <c r="S110" s="40">
        <f t="shared" si="7"/>
        <v>0</v>
      </c>
      <c r="T110" s="40">
        <f t="shared" si="7"/>
        <v>0.28787092265175124</v>
      </c>
      <c r="V110" s="40">
        <f t="shared" si="8"/>
        <v>0</v>
      </c>
      <c r="W110" s="40">
        <f t="shared" si="8"/>
        <v>1.1760404008647412</v>
      </c>
      <c r="X110" s="40">
        <f t="shared" si="8"/>
        <v>0</v>
      </c>
      <c r="Y110" s="40">
        <f t="shared" si="8"/>
        <v>-1.4601601856432105</v>
      </c>
      <c r="AA110" s="40">
        <f t="shared" si="9"/>
        <v>0</v>
      </c>
      <c r="AB110" s="40">
        <f t="shared" si="9"/>
        <v>0.49620497902541733</v>
      </c>
      <c r="AC110" s="40">
        <f t="shared" si="9"/>
        <v>0</v>
      </c>
      <c r="AD110" s="40">
        <f t="shared" si="9"/>
        <v>0.24096583392291143</v>
      </c>
      <c r="AE110" s="40"/>
      <c r="AG110" s="40">
        <f t="shared" si="10"/>
        <v>0</v>
      </c>
      <c r="AH110" s="40">
        <f t="shared" si="10"/>
        <v>0</v>
      </c>
      <c r="AI110" s="40">
        <f t="shared" si="10"/>
        <v>0</v>
      </c>
      <c r="AJ110" s="40">
        <f t="shared" si="10"/>
        <v>0</v>
      </c>
    </row>
    <row r="111" spans="2:37" s="64" customFormat="1" x14ac:dyDescent="0.3">
      <c r="C111" s="65"/>
      <c r="D111" s="77"/>
      <c r="E111" s="66"/>
      <c r="F111" s="66"/>
      <c r="G111" s="66"/>
      <c r="H111" s="66"/>
      <c r="I111" s="184"/>
      <c r="K111" s="66"/>
      <c r="L111" s="66"/>
      <c r="M111" s="66"/>
      <c r="N111" s="66"/>
      <c r="O111" s="184"/>
      <c r="Q111" s="66"/>
      <c r="R111" s="66"/>
      <c r="S111" s="66"/>
      <c r="T111" s="66"/>
      <c r="V111" s="66"/>
      <c r="W111" s="66"/>
      <c r="X111" s="66"/>
      <c r="Y111" s="66"/>
      <c r="AA111" s="66"/>
      <c r="AB111" s="66"/>
      <c r="AC111" s="66"/>
      <c r="AD111" s="66"/>
      <c r="AE111" s="278"/>
      <c r="AG111" s="66"/>
      <c r="AH111" s="66"/>
      <c r="AI111" s="66"/>
      <c r="AJ111" s="66"/>
    </row>
    <row r="112" spans="2:37" s="82" customFormat="1" x14ac:dyDescent="0.3">
      <c r="B112" s="81"/>
      <c r="C112" s="30" t="s">
        <v>116</v>
      </c>
      <c r="D112" s="30"/>
      <c r="E112" s="30"/>
      <c r="F112" s="30"/>
      <c r="G112" s="30"/>
      <c r="H112" s="30"/>
      <c r="I112" s="185"/>
      <c r="K112" s="30"/>
      <c r="L112" s="30"/>
      <c r="M112" s="30"/>
      <c r="N112" s="30"/>
      <c r="O112" s="185"/>
      <c r="P112" s="110"/>
      <c r="Q112" s="30"/>
      <c r="R112" s="30"/>
      <c r="S112" s="30"/>
      <c r="T112" s="30"/>
      <c r="U112" s="110"/>
      <c r="V112" s="30"/>
      <c r="W112" s="30"/>
      <c r="X112" s="30"/>
      <c r="Y112" s="30"/>
      <c r="Z112" s="110"/>
      <c r="AA112" s="30"/>
      <c r="AB112" s="30"/>
      <c r="AC112" s="30"/>
      <c r="AD112" s="30"/>
      <c r="AE112" s="279"/>
      <c r="AF112" s="110"/>
      <c r="AG112" s="30"/>
      <c r="AH112" s="30"/>
      <c r="AI112" s="30"/>
      <c r="AJ112" s="30"/>
      <c r="AK112" s="110"/>
    </row>
    <row r="113" spans="2:37" s="85" customFormat="1" x14ac:dyDescent="0.3">
      <c r="B113" s="84"/>
      <c r="C113" s="63" t="s">
        <v>105</v>
      </c>
      <c r="D113" s="63"/>
      <c r="E113" s="63"/>
      <c r="F113" s="63"/>
      <c r="G113" s="63"/>
      <c r="H113" s="63"/>
      <c r="I113" s="186"/>
      <c r="K113" s="63"/>
      <c r="L113" s="63"/>
      <c r="M113" s="63"/>
      <c r="N113" s="63"/>
      <c r="O113" s="186"/>
      <c r="P113" s="110"/>
      <c r="Q113" s="63"/>
      <c r="R113" s="63"/>
      <c r="S113" s="63"/>
      <c r="T113" s="63"/>
      <c r="U113" s="110"/>
      <c r="V113" s="63"/>
      <c r="W113" s="63"/>
      <c r="X113" s="63"/>
      <c r="Y113" s="63"/>
      <c r="Z113" s="110"/>
      <c r="AA113" s="63"/>
      <c r="AB113" s="63"/>
      <c r="AC113" s="63"/>
      <c r="AD113" s="63"/>
      <c r="AE113" s="280"/>
      <c r="AF113" s="110"/>
      <c r="AG113" s="63"/>
      <c r="AH113" s="63"/>
      <c r="AI113" s="63"/>
      <c r="AJ113" s="63"/>
      <c r="AK113" s="110"/>
    </row>
    <row r="114" spans="2:37" x14ac:dyDescent="0.3">
      <c r="C114" s="71"/>
      <c r="D114" s="120"/>
      <c r="E114" s="132"/>
      <c r="F114" s="132"/>
      <c r="G114" s="132"/>
      <c r="H114" s="132"/>
      <c r="K114" s="132"/>
      <c r="L114" s="132"/>
      <c r="M114" s="132"/>
      <c r="N114" s="132"/>
      <c r="Q114" s="132"/>
      <c r="R114" s="132"/>
      <c r="S114" s="132"/>
      <c r="T114" s="132"/>
      <c r="V114" s="132"/>
      <c r="W114" s="132"/>
      <c r="X114" s="132"/>
      <c r="Y114" s="132"/>
      <c r="AA114" s="132"/>
      <c r="AB114" s="132"/>
      <c r="AC114" s="132"/>
      <c r="AD114" s="132"/>
      <c r="AG114" s="132"/>
      <c r="AH114" s="132"/>
      <c r="AI114" s="132"/>
      <c r="AJ114" s="132"/>
    </row>
    <row r="115" spans="2:37" x14ac:dyDescent="0.3">
      <c r="C115" s="79" t="s">
        <v>110</v>
      </c>
      <c r="D115" s="121"/>
      <c r="E115" s="100">
        <f>E116</f>
        <v>8354568.9297779948</v>
      </c>
      <c r="F115" s="100">
        <f>F116</f>
        <v>8116323.7262507882</v>
      </c>
      <c r="G115" s="100">
        <f>G116</f>
        <v>8725704.3984800037</v>
      </c>
      <c r="H115" s="100">
        <f>H116</f>
        <v>9177613.4942699969</v>
      </c>
      <c r="I115" s="187">
        <f t="shared" si="1"/>
        <v>0.13075991099106332</v>
      </c>
      <c r="K115" s="100">
        <f t="shared" ref="K115:AJ115" si="11">K116</f>
        <v>8354568.9297779948</v>
      </c>
      <c r="L115" s="100">
        <f t="shared" si="11"/>
        <v>8116323.7262507882</v>
      </c>
      <c r="M115" s="100">
        <f t="shared" si="11"/>
        <v>8725704.3984800037</v>
      </c>
      <c r="N115" s="100">
        <f t="shared" si="11"/>
        <v>9177613.4942699969</v>
      </c>
      <c r="O115" s="187">
        <f>N115/L115-1</f>
        <v>0.13075991099106332</v>
      </c>
      <c r="Q115" s="100">
        <f t="shared" si="11"/>
        <v>8354568.9297779948</v>
      </c>
      <c r="R115" s="100">
        <f t="shared" si="11"/>
        <v>8116323.7262507882</v>
      </c>
      <c r="S115" s="100">
        <f t="shared" si="11"/>
        <v>8725704.3984800037</v>
      </c>
      <c r="T115" s="100">
        <f t="shared" si="11"/>
        <v>9177613.4942699969</v>
      </c>
      <c r="V115" s="100">
        <f t="shared" si="11"/>
        <v>8354568.9297779948</v>
      </c>
      <c r="W115" s="100">
        <f t="shared" si="11"/>
        <v>8116323.7262507882</v>
      </c>
      <c r="X115" s="100">
        <f t="shared" si="11"/>
        <v>8725704.3984800037</v>
      </c>
      <c r="Y115" s="100">
        <f t="shared" si="11"/>
        <v>9177613.4942699969</v>
      </c>
      <c r="AA115" s="100">
        <f t="shared" si="11"/>
        <v>8354568.9297779948</v>
      </c>
      <c r="AB115" s="100">
        <f t="shared" si="11"/>
        <v>8116323.7262507882</v>
      </c>
      <c r="AC115" s="100">
        <f t="shared" si="11"/>
        <v>8725704.3984800037</v>
      </c>
      <c r="AD115" s="100">
        <f t="shared" si="11"/>
        <v>9177613.4942699969</v>
      </c>
      <c r="AE115" s="281">
        <f>AD115/AB115-1</f>
        <v>0.13075991099106332</v>
      </c>
      <c r="AG115" s="100">
        <f t="shared" si="11"/>
        <v>8354568.9297779948</v>
      </c>
      <c r="AH115" s="100">
        <f t="shared" si="11"/>
        <v>8116323.7262507882</v>
      </c>
      <c r="AI115" s="100">
        <f t="shared" si="11"/>
        <v>8725704.3984800037</v>
      </c>
      <c r="AJ115" s="100">
        <f t="shared" si="11"/>
        <v>9177613.4942699969</v>
      </c>
    </row>
    <row r="116" spans="2:37" x14ac:dyDescent="0.3">
      <c r="C116" s="65" t="s">
        <v>106</v>
      </c>
      <c r="D116" s="77">
        <v>26</v>
      </c>
      <c r="E116" s="69">
        <f>'Quarterly I.S IFRS17'!E116</f>
        <v>8354568.9297779948</v>
      </c>
      <c r="F116" s="69">
        <f>'Quarterly I.S IFRS17'!G116</f>
        <v>8116323.7262507882</v>
      </c>
      <c r="G116" s="69">
        <f>'Quarterly I.S IFRS17'!I116</f>
        <v>8725704.3984800037</v>
      </c>
      <c r="H116" s="69">
        <f>'Quarterly I.S IFRS17'!K116</f>
        <v>9177613.4942699969</v>
      </c>
      <c r="I116" s="182">
        <f t="shared" si="1"/>
        <v>0.13075991099106332</v>
      </c>
      <c r="J116" s="132"/>
      <c r="K116" s="69">
        <f>$E116</f>
        <v>8354568.9297779948</v>
      </c>
      <c r="L116" s="69">
        <f>$F116</f>
        <v>8116323.7262507882</v>
      </c>
      <c r="M116" s="69">
        <f>$G116</f>
        <v>8725704.3984800037</v>
      </c>
      <c r="N116" s="69">
        <f>$H116</f>
        <v>9177613.4942699969</v>
      </c>
      <c r="O116" s="182"/>
      <c r="P116" s="64"/>
      <c r="Q116" s="69">
        <f>$E116</f>
        <v>8354568.9297779948</v>
      </c>
      <c r="R116" s="69">
        <f>$F116</f>
        <v>8116323.7262507882</v>
      </c>
      <c r="S116" s="69">
        <f>$G116</f>
        <v>8725704.3984800037</v>
      </c>
      <c r="T116" s="69">
        <f>$H116</f>
        <v>9177613.4942699969</v>
      </c>
      <c r="U116" s="64"/>
      <c r="V116" s="69">
        <f>$E116</f>
        <v>8354568.9297779948</v>
      </c>
      <c r="W116" s="69">
        <f>$F116</f>
        <v>8116323.7262507882</v>
      </c>
      <c r="X116" s="69">
        <f>$G116</f>
        <v>8725704.3984800037</v>
      </c>
      <c r="Y116" s="69">
        <f>$H116</f>
        <v>9177613.4942699969</v>
      </c>
      <c r="Z116" s="64"/>
      <c r="AA116" s="69">
        <f>$E116</f>
        <v>8354568.9297779948</v>
      </c>
      <c r="AB116" s="69">
        <f>$F116</f>
        <v>8116323.7262507882</v>
      </c>
      <c r="AC116" s="69">
        <f>$G116</f>
        <v>8725704.3984800037</v>
      </c>
      <c r="AD116" s="69">
        <f>$H116</f>
        <v>9177613.4942699969</v>
      </c>
      <c r="AE116" s="275"/>
      <c r="AF116" s="64"/>
      <c r="AG116" s="69">
        <f>$E116</f>
        <v>8354568.9297779948</v>
      </c>
      <c r="AH116" s="69">
        <f>$F116</f>
        <v>8116323.7262507882</v>
      </c>
      <c r="AI116" s="69">
        <f>$G116</f>
        <v>8725704.3984800037</v>
      </c>
      <c r="AJ116" s="69">
        <f>$H116</f>
        <v>9177613.4942699969</v>
      </c>
      <c r="AK116" s="64"/>
    </row>
    <row r="117" spans="2:37" x14ac:dyDescent="0.3">
      <c r="C117" s="71"/>
      <c r="D117" s="120"/>
    </row>
    <row r="118" spans="2:37" x14ac:dyDescent="0.3">
      <c r="C118" s="80" t="s">
        <v>140</v>
      </c>
      <c r="D118" s="122"/>
      <c r="E118" s="100">
        <f>SUM(E119:E121)</f>
        <v>12798075.542949991</v>
      </c>
      <c r="F118" s="100">
        <f>SUM(F119:F121)</f>
        <v>12243417.612149997</v>
      </c>
      <c r="G118" s="100">
        <f>SUM(G119:G121)</f>
        <v>12391804.69226999</v>
      </c>
      <c r="H118" s="100">
        <f>SUM(H119:H121)</f>
        <v>11081857.713189986</v>
      </c>
      <c r="I118" s="187">
        <f t="shared" si="1"/>
        <v>-9.4872194656442477E-2</v>
      </c>
      <c r="K118" s="100">
        <f>SUM(K119:K121)</f>
        <v>12798075.542949991</v>
      </c>
      <c r="L118" s="100">
        <f>SUM(L119:L121)</f>
        <v>12243417.612149997</v>
      </c>
      <c r="M118" s="100">
        <f>SUM(M119:M121)</f>
        <v>12391804.69226999</v>
      </c>
      <c r="N118" s="100">
        <f>SUM(N119:N121)</f>
        <v>11081857.713189986</v>
      </c>
      <c r="O118" s="187">
        <f>N118/L118-1</f>
        <v>-9.4872194656442477E-2</v>
      </c>
      <c r="Q118" s="100">
        <f>SUM(Q119:Q121)</f>
        <v>12798075.542949991</v>
      </c>
      <c r="R118" s="100">
        <f>SUM(R119:R121)</f>
        <v>12243417.612149997</v>
      </c>
      <c r="S118" s="100">
        <f>SUM(S119:S121)</f>
        <v>12391804.69226999</v>
      </c>
      <c r="T118" s="100">
        <f>SUM(T119:T121)</f>
        <v>11081857.713189986</v>
      </c>
      <c r="U118" s="70"/>
      <c r="V118" s="100">
        <f>SUM(V119:V121)</f>
        <v>12798075.542949991</v>
      </c>
      <c r="W118" s="100">
        <f>SUM(W119:W121)</f>
        <v>12243417.612149997</v>
      </c>
      <c r="X118" s="100">
        <f>SUM(X119:X121)</f>
        <v>12391804.69226999</v>
      </c>
      <c r="Y118" s="100">
        <f>SUM(Y119:Y121)</f>
        <v>11081857.713189986</v>
      </c>
      <c r="Z118" s="70"/>
      <c r="AA118" s="100">
        <f>SUM(AA119:AA121)</f>
        <v>12798075.542949991</v>
      </c>
      <c r="AB118" s="100">
        <f>SUM(AB119:AB121)</f>
        <v>12243417.612149997</v>
      </c>
      <c r="AC118" s="100">
        <f>SUM(AC119:AC121)</f>
        <v>12391804.69226999</v>
      </c>
      <c r="AD118" s="100">
        <f>SUM(AD119:AD121)</f>
        <v>11081857.713189986</v>
      </c>
      <c r="AE118" s="281">
        <f>AD118/AB118-1</f>
        <v>-9.4872194656442477E-2</v>
      </c>
      <c r="AF118" s="70"/>
      <c r="AG118" s="100">
        <f>SUM(AG119:AG121)</f>
        <v>12798075.542949991</v>
      </c>
      <c r="AH118" s="100">
        <f>SUM(AH119:AH121)</f>
        <v>12243417.612149997</v>
      </c>
      <c r="AI118" s="100">
        <f>SUM(AI119:AI121)</f>
        <v>12391804.69226999</v>
      </c>
      <c r="AJ118" s="100">
        <f>SUM(AJ119:AJ121)</f>
        <v>11081857.713189986</v>
      </c>
      <c r="AK118" s="70"/>
    </row>
    <row r="119" spans="2:37" x14ac:dyDescent="0.3">
      <c r="C119" s="71" t="s">
        <v>49</v>
      </c>
      <c r="D119" s="120">
        <v>29</v>
      </c>
      <c r="E119" s="69">
        <f>'Quarterly I.S IFRS17'!E119</f>
        <v>5998726.2465499686</v>
      </c>
      <c r="F119" s="69">
        <f>'Quarterly I.S IFRS17'!G119</f>
        <v>5672030.0144699765</v>
      </c>
      <c r="G119" s="69">
        <f>'Quarterly I.S IFRS17'!I119</f>
        <v>5413218.825049961</v>
      </c>
      <c r="H119" s="69">
        <f>'Quarterly I.S IFRS17'!K119</f>
        <v>4160278.7864099653</v>
      </c>
      <c r="I119" s="182">
        <f t="shared" si="1"/>
        <v>-0.26652736748630856</v>
      </c>
      <c r="K119" s="69">
        <f>$E119</f>
        <v>5998726.2465499686</v>
      </c>
      <c r="L119" s="69">
        <f>$F119</f>
        <v>5672030.0144699765</v>
      </c>
      <c r="M119" s="69">
        <f>$G119</f>
        <v>5413218.825049961</v>
      </c>
      <c r="N119" s="69">
        <f>$H119</f>
        <v>4160278.7864099653</v>
      </c>
      <c r="O119" s="182">
        <f>N119/L119-1</f>
        <v>-0.26652736748630856</v>
      </c>
      <c r="P119" s="64"/>
      <c r="Q119" s="69">
        <f>$E119</f>
        <v>5998726.2465499686</v>
      </c>
      <c r="R119" s="69">
        <f>$F119</f>
        <v>5672030.0144699765</v>
      </c>
      <c r="S119" s="69">
        <f>$G119</f>
        <v>5413218.825049961</v>
      </c>
      <c r="T119" s="69">
        <f>$H119</f>
        <v>4160278.7864099653</v>
      </c>
      <c r="U119" s="64"/>
      <c r="V119" s="69">
        <f>$E119</f>
        <v>5998726.2465499686</v>
      </c>
      <c r="W119" s="69">
        <f>$F119</f>
        <v>5672030.0144699765</v>
      </c>
      <c r="X119" s="69">
        <f>$G119</f>
        <v>5413218.825049961</v>
      </c>
      <c r="Y119" s="69">
        <f>$H119</f>
        <v>4160278.7864099653</v>
      </c>
      <c r="Z119" s="64"/>
      <c r="AA119" s="69">
        <f>$E119</f>
        <v>5998726.2465499686</v>
      </c>
      <c r="AB119" s="69">
        <f>$F119</f>
        <v>5672030.0144699765</v>
      </c>
      <c r="AC119" s="69">
        <f>$G119</f>
        <v>5413218.825049961</v>
      </c>
      <c r="AD119" s="69">
        <f>$H119</f>
        <v>4160278.7864099653</v>
      </c>
      <c r="AE119" s="275">
        <f>AD119/AB119-1</f>
        <v>-0.26652736748630856</v>
      </c>
      <c r="AF119" s="64"/>
      <c r="AG119" s="69">
        <f>$E119</f>
        <v>5998726.2465499686</v>
      </c>
      <c r="AH119" s="69">
        <f>$F119</f>
        <v>5672030.0144699765</v>
      </c>
      <c r="AI119" s="69">
        <f>$G119</f>
        <v>5413218.825049961</v>
      </c>
      <c r="AJ119" s="69">
        <f>$H119</f>
        <v>4160278.7864099653</v>
      </c>
      <c r="AK119" s="64"/>
    </row>
    <row r="120" spans="2:37" x14ac:dyDescent="0.3">
      <c r="C120" s="71" t="s">
        <v>50</v>
      </c>
      <c r="D120" s="120" t="s">
        <v>151</v>
      </c>
      <c r="E120" s="69">
        <f>'Quarterly I.S IFRS17'!E120</f>
        <v>6745142.9991400242</v>
      </c>
      <c r="F120" s="69">
        <f>'Quarterly I.S IFRS17'!G120</f>
        <v>6505403.2891100198</v>
      </c>
      <c r="G120" s="69">
        <f>'Quarterly I.S IFRS17'!I120</f>
        <v>6908075.0035100309</v>
      </c>
      <c r="H120" s="69">
        <f>'Quarterly I.S IFRS17'!K120</f>
        <v>6844743.6074900189</v>
      </c>
      <c r="I120" s="182">
        <f t="shared" si="1"/>
        <v>5.2162841148995609E-2</v>
      </c>
      <c r="K120" s="69">
        <f>$E120</f>
        <v>6745142.9991400242</v>
      </c>
      <c r="L120" s="69">
        <f>$F120</f>
        <v>6505403.2891100198</v>
      </c>
      <c r="M120" s="69">
        <f>$G120</f>
        <v>6908075.0035100309</v>
      </c>
      <c r="N120" s="69">
        <f>$H120</f>
        <v>6844743.6074900189</v>
      </c>
      <c r="O120" s="182">
        <f>N120/L120-1</f>
        <v>5.2162841148995609E-2</v>
      </c>
      <c r="P120" s="64"/>
      <c r="Q120" s="69">
        <f>$E120</f>
        <v>6745142.9991400242</v>
      </c>
      <c r="R120" s="69">
        <f>$F120</f>
        <v>6505403.2891100198</v>
      </c>
      <c r="S120" s="69">
        <f>$G120</f>
        <v>6908075.0035100309</v>
      </c>
      <c r="T120" s="69">
        <f>$H120</f>
        <v>6844743.6074900189</v>
      </c>
      <c r="U120" s="64"/>
      <c r="V120" s="69">
        <f>$E120</f>
        <v>6745142.9991400242</v>
      </c>
      <c r="W120" s="69">
        <f>$F120</f>
        <v>6505403.2891100198</v>
      </c>
      <c r="X120" s="69">
        <f>$G120</f>
        <v>6908075.0035100309</v>
      </c>
      <c r="Y120" s="69">
        <f>$H120</f>
        <v>6844743.6074900189</v>
      </c>
      <c r="Z120" s="64"/>
      <c r="AA120" s="69">
        <f>$E120</f>
        <v>6745142.9991400242</v>
      </c>
      <c r="AB120" s="69">
        <f>$F120</f>
        <v>6505403.2891100198</v>
      </c>
      <c r="AC120" s="69">
        <f>$G120</f>
        <v>6908075.0035100309</v>
      </c>
      <c r="AD120" s="69">
        <f>$H120</f>
        <v>6844743.6074900189</v>
      </c>
      <c r="AE120" s="275">
        <f>AD120/AB120-1</f>
        <v>5.2162841148995609E-2</v>
      </c>
      <c r="AF120" s="64"/>
      <c r="AG120" s="69">
        <f>$E120</f>
        <v>6745142.9991400242</v>
      </c>
      <c r="AH120" s="69">
        <f>$F120</f>
        <v>6505403.2891100198</v>
      </c>
      <c r="AI120" s="69">
        <f>$G120</f>
        <v>6908075.0035100309</v>
      </c>
      <c r="AJ120" s="69">
        <f>$H120</f>
        <v>6844743.6074900189</v>
      </c>
      <c r="AK120" s="64"/>
    </row>
    <row r="121" spans="2:37" x14ac:dyDescent="0.3">
      <c r="C121" s="71" t="s">
        <v>94</v>
      </c>
      <c r="D121" s="120">
        <v>14</v>
      </c>
      <c r="E121" s="69">
        <f>'Quarterly I.S IFRS17'!E121</f>
        <v>54206.297259999999</v>
      </c>
      <c r="F121" s="69">
        <f>'Quarterly I.S IFRS17'!G121</f>
        <v>65984.308570000008</v>
      </c>
      <c r="G121" s="69">
        <f>'Quarterly I.S IFRS17'!I121</f>
        <v>70510.863709999991</v>
      </c>
      <c r="H121" s="69">
        <f>'Quarterly I.S IFRS17'!K121</f>
        <v>76835.319290000014</v>
      </c>
      <c r="I121" s="182">
        <f t="shared" si="1"/>
        <v>0.16444835075431041</v>
      </c>
      <c r="K121" s="69">
        <f>$E121</f>
        <v>54206.297259999999</v>
      </c>
      <c r="L121" s="69">
        <f>$F121</f>
        <v>65984.308570000008</v>
      </c>
      <c r="M121" s="69">
        <f>$G121</f>
        <v>70510.863709999991</v>
      </c>
      <c r="N121" s="69">
        <f>$H121</f>
        <v>76835.319290000014</v>
      </c>
      <c r="O121" s="182">
        <f>N121/L121-1</f>
        <v>0.16444835075431041</v>
      </c>
      <c r="P121" s="64"/>
      <c r="Q121" s="69">
        <f>$E121</f>
        <v>54206.297259999999</v>
      </c>
      <c r="R121" s="69">
        <f>$F121</f>
        <v>65984.308570000008</v>
      </c>
      <c r="S121" s="69">
        <f>$G121</f>
        <v>70510.863709999991</v>
      </c>
      <c r="T121" s="69">
        <f>$H121</f>
        <v>76835.319290000014</v>
      </c>
      <c r="U121" s="64"/>
      <c r="V121" s="69">
        <f>$E121</f>
        <v>54206.297259999999</v>
      </c>
      <c r="W121" s="69">
        <f>$F121</f>
        <v>65984.308570000008</v>
      </c>
      <c r="X121" s="69">
        <f>$G121</f>
        <v>70510.863709999991</v>
      </c>
      <c r="Y121" s="69">
        <f>$H121</f>
        <v>76835.319290000014</v>
      </c>
      <c r="Z121" s="64"/>
      <c r="AA121" s="69">
        <f>$E121</f>
        <v>54206.297259999999</v>
      </c>
      <c r="AB121" s="69">
        <f>$F121</f>
        <v>65984.308570000008</v>
      </c>
      <c r="AC121" s="69">
        <f>$G121</f>
        <v>70510.863709999991</v>
      </c>
      <c r="AD121" s="69">
        <f>$H121</f>
        <v>76835.319290000014</v>
      </c>
      <c r="AE121" s="275">
        <f>AD121/AB121-1</f>
        <v>0.16444835075431041</v>
      </c>
      <c r="AF121" s="64"/>
      <c r="AG121" s="69">
        <f>$E121</f>
        <v>54206.297259999999</v>
      </c>
      <c r="AH121" s="69">
        <f>$F121</f>
        <v>65984.308570000008</v>
      </c>
      <c r="AI121" s="69">
        <f>$G121</f>
        <v>70510.863709999991</v>
      </c>
      <c r="AJ121" s="69">
        <f>$H121</f>
        <v>76835.319290000014</v>
      </c>
      <c r="AK121" s="64"/>
    </row>
    <row r="122" spans="2:37" x14ac:dyDescent="0.3">
      <c r="C122" s="101"/>
      <c r="D122" s="123"/>
    </row>
    <row r="123" spans="2:37" ht="13.5" thickBot="1" x14ac:dyDescent="0.35">
      <c r="C123" s="78" t="s">
        <v>141</v>
      </c>
      <c r="D123" s="124"/>
      <c r="E123" s="72">
        <f>E115+E118</f>
        <v>21152644.472727984</v>
      </c>
      <c r="F123" s="72">
        <f>F115+F118</f>
        <v>20359741.338400785</v>
      </c>
      <c r="G123" s="72">
        <f>G115+G118</f>
        <v>21117509.090749994</v>
      </c>
      <c r="H123" s="72">
        <f>H115+H118</f>
        <v>20259471.207459982</v>
      </c>
      <c r="I123" s="188">
        <f t="shared" si="1"/>
        <v>-4.9249216517147643E-3</v>
      </c>
      <c r="K123" s="72">
        <f>K118+K115</f>
        <v>21152644.472727984</v>
      </c>
      <c r="L123" s="72">
        <f>L118+L115</f>
        <v>20359741.338400785</v>
      </c>
      <c r="M123" s="72">
        <f>M118+M115</f>
        <v>21117509.090749994</v>
      </c>
      <c r="N123" s="72">
        <f>N118+N115</f>
        <v>20259471.207459982</v>
      </c>
      <c r="O123" s="188">
        <f>N123/L123-1</f>
        <v>-4.9249216517147643E-3</v>
      </c>
      <c r="Q123" s="72">
        <f>Q118+Q115</f>
        <v>21152644.472727984</v>
      </c>
      <c r="R123" s="72">
        <f>R118+R115</f>
        <v>20359741.338400785</v>
      </c>
      <c r="S123" s="72">
        <f>S118+S115</f>
        <v>21117509.090749994</v>
      </c>
      <c r="T123" s="72">
        <f>T118+T115</f>
        <v>20259471.207459982</v>
      </c>
      <c r="V123" s="72">
        <f>V118+V115</f>
        <v>21152644.472727984</v>
      </c>
      <c r="W123" s="72">
        <f>W118+W115</f>
        <v>20359741.338400785</v>
      </c>
      <c r="X123" s="72">
        <f>X118+X115</f>
        <v>21117509.090749994</v>
      </c>
      <c r="Y123" s="72">
        <f>Y118+Y115</f>
        <v>20259471.207459982</v>
      </c>
      <c r="AA123" s="72">
        <f>AA118+AA115</f>
        <v>21152644.472727984</v>
      </c>
      <c r="AB123" s="72">
        <f>AB118+AB115</f>
        <v>20359741.338400785</v>
      </c>
      <c r="AC123" s="72">
        <f>AC118+AC115</f>
        <v>21117509.090749994</v>
      </c>
      <c r="AD123" s="72">
        <f>AD118+AD115</f>
        <v>20259471.207459982</v>
      </c>
      <c r="AE123" s="282">
        <f>AD123/AB123-1</f>
        <v>-4.9249216517147643E-3</v>
      </c>
      <c r="AG123" s="72">
        <f>AG118+AG115</f>
        <v>21152644.472727984</v>
      </c>
      <c r="AH123" s="72">
        <f>AH118+AH115</f>
        <v>20359741.338400785</v>
      </c>
      <c r="AI123" s="72">
        <f>AI118+AI115</f>
        <v>21117509.090749994</v>
      </c>
      <c r="AJ123" s="72">
        <f>AJ118+AJ115</f>
        <v>20259471.207459982</v>
      </c>
    </row>
    <row r="124" spans="2:37" x14ac:dyDescent="0.3">
      <c r="C124" s="164" t="s">
        <v>51</v>
      </c>
      <c r="D124" s="109"/>
      <c r="E124" s="165">
        <f>E123-'Quarterly I.S IFRS17'!E123</f>
        <v>0</v>
      </c>
      <c r="F124" s="165">
        <f>F123-'Quarterly I.S IFRS17'!G123</f>
        <v>0</v>
      </c>
      <c r="G124" s="165">
        <f>G123-'Quarterly I.S IFRS17'!I123</f>
        <v>0</v>
      </c>
      <c r="H124" s="165">
        <f>H123-'Quarterly I.S IFRS17'!K123</f>
        <v>0</v>
      </c>
      <c r="I124" s="189"/>
      <c r="K124" s="165"/>
      <c r="L124" s="165"/>
      <c r="M124" s="165"/>
      <c r="N124" s="165"/>
      <c r="O124" s="189"/>
      <c r="Q124" s="165"/>
      <c r="R124" s="165"/>
      <c r="S124" s="165"/>
      <c r="T124" s="165"/>
      <c r="V124" s="165"/>
      <c r="W124" s="165"/>
      <c r="X124" s="165"/>
      <c r="Y124" s="165"/>
      <c r="AA124" s="165"/>
      <c r="AB124" s="165"/>
      <c r="AC124" s="165"/>
      <c r="AD124" s="165"/>
      <c r="AE124" s="283"/>
      <c r="AG124" s="165"/>
      <c r="AH124" s="165"/>
      <c r="AI124" s="165"/>
      <c r="AJ124" s="165"/>
    </row>
    <row r="125" spans="2:37" x14ac:dyDescent="0.3">
      <c r="C125" s="39"/>
      <c r="D125" s="109"/>
      <c r="E125" s="40"/>
      <c r="F125" s="40"/>
      <c r="G125" s="40"/>
      <c r="H125" s="40"/>
      <c r="I125" s="169"/>
      <c r="K125" s="40"/>
      <c r="L125" s="40"/>
      <c r="M125" s="40"/>
      <c r="N125" s="40"/>
      <c r="O125" s="169"/>
      <c r="Q125" s="40"/>
      <c r="R125" s="40"/>
      <c r="S125" s="40"/>
      <c r="T125" s="40"/>
      <c r="V125" s="40"/>
      <c r="W125" s="40"/>
      <c r="X125" s="40"/>
      <c r="Y125" s="40"/>
      <c r="AA125" s="40"/>
      <c r="AB125" s="40"/>
      <c r="AC125" s="40"/>
      <c r="AD125" s="40"/>
      <c r="AE125" s="40"/>
      <c r="AG125" s="40"/>
      <c r="AH125" s="40"/>
      <c r="AI125" s="40"/>
      <c r="AJ125" s="40"/>
    </row>
    <row r="126" spans="2:37" x14ac:dyDescent="0.3">
      <c r="C126" s="39"/>
      <c r="D126" s="109"/>
      <c r="E126" s="130"/>
      <c r="F126" s="130"/>
      <c r="G126" s="130"/>
      <c r="H126" s="130"/>
      <c r="I126" s="131"/>
      <c r="K126" s="130"/>
      <c r="L126" s="130"/>
      <c r="M126" s="130"/>
      <c r="N126" s="130"/>
      <c r="O126" s="131"/>
      <c r="Q126" s="130"/>
      <c r="R126" s="130"/>
      <c r="S126" s="130"/>
      <c r="T126" s="130"/>
      <c r="V126" s="130"/>
      <c r="W126" s="130"/>
      <c r="X126" s="130"/>
      <c r="Y126" s="130"/>
      <c r="AA126" s="130"/>
      <c r="AB126" s="130"/>
      <c r="AC126" s="130"/>
      <c r="AD126" s="130"/>
      <c r="AE126" s="143"/>
      <c r="AG126" s="130"/>
      <c r="AH126" s="130"/>
      <c r="AI126" s="130"/>
      <c r="AJ126" s="130"/>
    </row>
    <row r="127" spans="2:37" s="85" customFormat="1" x14ac:dyDescent="0.3">
      <c r="B127" s="84"/>
      <c r="C127" s="63" t="s">
        <v>125</v>
      </c>
      <c r="D127" s="63"/>
      <c r="E127" s="63"/>
      <c r="F127" s="63"/>
      <c r="G127" s="63"/>
      <c r="H127" s="63"/>
      <c r="I127" s="186"/>
      <c r="K127" s="63"/>
      <c r="L127" s="63"/>
      <c r="M127" s="63"/>
      <c r="N127" s="63"/>
      <c r="O127" s="186"/>
      <c r="P127" s="110"/>
      <c r="Q127" s="63"/>
      <c r="R127" s="63"/>
      <c r="S127" s="63"/>
      <c r="T127" s="63"/>
      <c r="U127" s="110"/>
      <c r="V127" s="63"/>
      <c r="W127" s="63"/>
      <c r="X127" s="63"/>
      <c r="Y127" s="63"/>
      <c r="Z127" s="110"/>
      <c r="AA127" s="63"/>
      <c r="AB127" s="63"/>
      <c r="AC127" s="63"/>
      <c r="AD127" s="63"/>
      <c r="AE127" s="280"/>
      <c r="AF127" s="110"/>
      <c r="AG127" s="63"/>
      <c r="AH127" s="63"/>
      <c r="AI127" s="63"/>
      <c r="AJ127" s="63"/>
      <c r="AK127" s="110"/>
    </row>
    <row r="128" spans="2:37" x14ac:dyDescent="0.3">
      <c r="C128" s="99" t="s">
        <v>124</v>
      </c>
      <c r="D128" s="125"/>
      <c r="E128" s="47"/>
      <c r="F128" s="47">
        <f>SUM(F129:F134)</f>
        <v>4730772.4228888005</v>
      </c>
      <c r="G128" s="47"/>
      <c r="H128" s="47">
        <f>SUM(H129:H134)</f>
        <v>5038832.3604890499</v>
      </c>
      <c r="I128" s="173">
        <f t="shared" si="1"/>
        <v>6.511831685450975E-2</v>
      </c>
      <c r="K128" s="47"/>
      <c r="L128" s="47">
        <f>SUM(L129:L134)</f>
        <v>4730772.4228888005</v>
      </c>
      <c r="M128" s="47"/>
      <c r="N128" s="47">
        <f>SUM(N129:N134)</f>
        <v>5038832.3604890499</v>
      </c>
      <c r="O128" s="173">
        <f t="shared" ref="O128:O134" si="12">N128/L128-1</f>
        <v>6.511831685450975E-2</v>
      </c>
      <c r="Q128" s="47"/>
      <c r="R128" s="47">
        <f>SUM(R129:R134)</f>
        <v>4730772.4228888005</v>
      </c>
      <c r="S128" s="47"/>
      <c r="T128" s="47">
        <f>SUM(T129:T134)</f>
        <v>5038832.3604890499</v>
      </c>
      <c r="V128" s="47"/>
      <c r="W128" s="47">
        <f>SUM(W129:W134)</f>
        <v>4730772.4228888005</v>
      </c>
      <c r="X128" s="47"/>
      <c r="Y128" s="47">
        <f>SUM(Y129:Y134)</f>
        <v>5038832.3604890499</v>
      </c>
      <c r="AA128" s="47"/>
      <c r="AB128" s="47">
        <f>SUM(AB129:AB134)</f>
        <v>4730772.4228888005</v>
      </c>
      <c r="AC128" s="47"/>
      <c r="AD128" s="47">
        <f>SUM(AD129:AD134)</f>
        <v>5038832.3604890499</v>
      </c>
      <c r="AE128" s="266">
        <f t="shared" ref="AE128:AE134" si="13">AD128/AB128-1</f>
        <v>6.511831685450975E-2</v>
      </c>
      <c r="AG128" s="47"/>
      <c r="AH128" s="47">
        <f>SUM(AH129:AH134)</f>
        <v>4730772.4228888005</v>
      </c>
      <c r="AI128" s="47"/>
      <c r="AJ128" s="47">
        <f>SUM(AJ129:AJ134)</f>
        <v>5038832.3604890499</v>
      </c>
    </row>
    <row r="129" spans="3:37" x14ac:dyDescent="0.3">
      <c r="C129" s="65" t="s">
        <v>117</v>
      </c>
      <c r="D129" s="77"/>
      <c r="E129" s="97"/>
      <c r="F129" s="97">
        <f>SUM('Quarterly I.S IFRS17'!F129:G129)</f>
        <v>2499868.3530000001</v>
      </c>
      <c r="G129" s="97"/>
      <c r="H129" s="97">
        <f>SUM('Quarterly I.S IFRS17'!J129:K129)</f>
        <v>2435222.1510100001</v>
      </c>
      <c r="I129" s="190">
        <f t="shared" si="1"/>
        <v>-2.5859842544276535E-2</v>
      </c>
      <c r="J129" s="132">
        <f t="shared" ref="J129:J134" si="14">H129/H$139</f>
        <v>0.47596508994681702</v>
      </c>
      <c r="K129" s="97"/>
      <c r="L129" s="97">
        <f t="shared" ref="L129:L134" si="15">$F129</f>
        <v>2499868.3530000001</v>
      </c>
      <c r="M129" s="97"/>
      <c r="N129" s="97">
        <f t="shared" ref="N129:N134" si="16">$H129</f>
        <v>2435222.1510100001</v>
      </c>
      <c r="O129" s="190">
        <f t="shared" si="12"/>
        <v>-2.5859842544276535E-2</v>
      </c>
      <c r="P129" s="64"/>
      <c r="Q129" s="97"/>
      <c r="R129" s="97">
        <f t="shared" ref="R129:R134" si="17">$F129</f>
        <v>2499868.3530000001</v>
      </c>
      <c r="S129" s="97"/>
      <c r="T129" s="97">
        <f t="shared" ref="T129:T134" si="18">$H129</f>
        <v>2435222.1510100001</v>
      </c>
      <c r="U129" s="64"/>
      <c r="V129" s="97"/>
      <c r="W129" s="97">
        <f t="shared" ref="W129:W134" si="19">$F129</f>
        <v>2499868.3530000001</v>
      </c>
      <c r="X129" s="97"/>
      <c r="Y129" s="97">
        <f t="shared" ref="Y129:Y134" si="20">$H129</f>
        <v>2435222.1510100001</v>
      </c>
      <c r="Z129" s="64"/>
      <c r="AA129" s="97"/>
      <c r="AB129" s="97">
        <f t="shared" ref="AB129:AB134" si="21">$F129</f>
        <v>2499868.3530000001</v>
      </c>
      <c r="AC129" s="97"/>
      <c r="AD129" s="97">
        <f t="shared" ref="AD129:AD134" si="22">$H129</f>
        <v>2435222.1510100001</v>
      </c>
      <c r="AE129" s="284">
        <f t="shared" si="13"/>
        <v>-2.5859842544276535E-2</v>
      </c>
      <c r="AF129" s="64"/>
      <c r="AG129" s="97"/>
      <c r="AH129" s="97">
        <f t="shared" ref="AH129:AH134" si="23">$F129</f>
        <v>2499868.3530000001</v>
      </c>
      <c r="AI129" s="97"/>
      <c r="AJ129" s="97">
        <f t="shared" ref="AJ129:AJ134" si="24">$H129</f>
        <v>2435222.1510100001</v>
      </c>
      <c r="AK129" s="64"/>
    </row>
    <row r="130" spans="3:37" x14ac:dyDescent="0.3">
      <c r="C130" s="65" t="s">
        <v>119</v>
      </c>
      <c r="D130" s="77"/>
      <c r="E130" s="97"/>
      <c r="F130" s="97">
        <f>SUM('Quarterly I.S IFRS17'!F130:G130)</f>
        <v>246658.67499999999</v>
      </c>
      <c r="G130" s="97"/>
      <c r="H130" s="97">
        <f>SUM('Quarterly I.S IFRS17'!J130:K130)</f>
        <v>250780.2</v>
      </c>
      <c r="I130" s="190">
        <f t="shared" si="1"/>
        <v>1.6709426497973467E-2</v>
      </c>
      <c r="J130" s="132">
        <f t="shared" si="14"/>
        <v>4.9015084886763011E-2</v>
      </c>
      <c r="K130" s="97"/>
      <c r="L130" s="97">
        <f t="shared" si="15"/>
        <v>246658.67499999999</v>
      </c>
      <c r="M130" s="97"/>
      <c r="N130" s="97">
        <f t="shared" si="16"/>
        <v>250780.2</v>
      </c>
      <c r="O130" s="190">
        <f t="shared" si="12"/>
        <v>1.6709426497973467E-2</v>
      </c>
      <c r="P130" s="64"/>
      <c r="Q130" s="97"/>
      <c r="R130" s="97">
        <f t="shared" si="17"/>
        <v>246658.67499999999</v>
      </c>
      <c r="S130" s="97"/>
      <c r="T130" s="97">
        <f t="shared" si="18"/>
        <v>250780.2</v>
      </c>
      <c r="U130" s="64"/>
      <c r="V130" s="97"/>
      <c r="W130" s="97">
        <f t="shared" si="19"/>
        <v>246658.67499999999</v>
      </c>
      <c r="X130" s="97"/>
      <c r="Y130" s="97">
        <f t="shared" si="20"/>
        <v>250780.2</v>
      </c>
      <c r="Z130" s="64"/>
      <c r="AA130" s="97"/>
      <c r="AB130" s="97">
        <f t="shared" si="21"/>
        <v>246658.67499999999</v>
      </c>
      <c r="AC130" s="97"/>
      <c r="AD130" s="97">
        <f t="shared" si="22"/>
        <v>250780.2</v>
      </c>
      <c r="AE130" s="284">
        <f t="shared" si="13"/>
        <v>1.6709426497973467E-2</v>
      </c>
      <c r="AF130" s="64"/>
      <c r="AG130" s="97"/>
      <c r="AH130" s="97">
        <f t="shared" si="23"/>
        <v>246658.67499999999</v>
      </c>
      <c r="AI130" s="97"/>
      <c r="AJ130" s="97">
        <f t="shared" si="24"/>
        <v>250780.2</v>
      </c>
      <c r="AK130" s="64"/>
    </row>
    <row r="131" spans="3:37" x14ac:dyDescent="0.3">
      <c r="C131" s="65" t="s">
        <v>118</v>
      </c>
      <c r="D131" s="77"/>
      <c r="E131" s="97"/>
      <c r="F131" s="97">
        <f>SUM('Quarterly I.S IFRS17'!F131:G131)</f>
        <v>683225.12173000001</v>
      </c>
      <c r="G131" s="97"/>
      <c r="H131" s="97">
        <f>SUM('Quarterly I.S IFRS17'!J131:K131)</f>
        <v>994618.29830000014</v>
      </c>
      <c r="I131" s="190">
        <f t="shared" si="1"/>
        <v>0.45576950651568393</v>
      </c>
      <c r="J131" s="132">
        <f t="shared" si="14"/>
        <v>0.19439852237577879</v>
      </c>
      <c r="K131" s="97"/>
      <c r="L131" s="97">
        <f t="shared" si="15"/>
        <v>683225.12173000001</v>
      </c>
      <c r="M131" s="97"/>
      <c r="N131" s="97">
        <f t="shared" si="16"/>
        <v>994618.29830000014</v>
      </c>
      <c r="O131" s="190">
        <f t="shared" si="12"/>
        <v>0.45576950651568393</v>
      </c>
      <c r="P131" s="64"/>
      <c r="Q131" s="97"/>
      <c r="R131" s="97">
        <f t="shared" si="17"/>
        <v>683225.12173000001</v>
      </c>
      <c r="S131" s="97"/>
      <c r="T131" s="97">
        <f t="shared" si="18"/>
        <v>994618.29830000014</v>
      </c>
      <c r="U131" s="64"/>
      <c r="V131" s="97"/>
      <c r="W131" s="97">
        <f t="shared" si="19"/>
        <v>683225.12173000001</v>
      </c>
      <c r="X131" s="97"/>
      <c r="Y131" s="97">
        <f t="shared" si="20"/>
        <v>994618.29830000014</v>
      </c>
      <c r="Z131" s="64"/>
      <c r="AA131" s="97"/>
      <c r="AB131" s="97">
        <f t="shared" si="21"/>
        <v>683225.12173000001</v>
      </c>
      <c r="AC131" s="97"/>
      <c r="AD131" s="97">
        <f t="shared" si="22"/>
        <v>994618.29830000014</v>
      </c>
      <c r="AE131" s="284">
        <f t="shared" si="13"/>
        <v>0.45576950651568393</v>
      </c>
      <c r="AF131" s="64"/>
      <c r="AG131" s="97"/>
      <c r="AH131" s="97">
        <f t="shared" si="23"/>
        <v>683225.12173000001</v>
      </c>
      <c r="AI131" s="97"/>
      <c r="AJ131" s="97">
        <f t="shared" si="24"/>
        <v>994618.29830000014</v>
      </c>
      <c r="AK131" s="64"/>
    </row>
    <row r="132" spans="3:37" x14ac:dyDescent="0.3">
      <c r="C132" s="65" t="s">
        <v>120</v>
      </c>
      <c r="D132" s="77"/>
      <c r="E132" s="97"/>
      <c r="F132" s="97">
        <f>SUM('Quarterly I.S IFRS17'!F132:G132)</f>
        <v>153208.14550880002</v>
      </c>
      <c r="G132" s="97"/>
      <c r="H132" s="97">
        <f>SUM('Quarterly I.S IFRS17'!J132:K132)</f>
        <v>194962.98978905001</v>
      </c>
      <c r="I132" s="190">
        <f t="shared" ref="I132:I176" si="25">H132/F132-1</f>
        <v>0.27253671233721488</v>
      </c>
      <c r="J132" s="132">
        <f t="shared" si="14"/>
        <v>3.8105590051716189E-2</v>
      </c>
      <c r="K132" s="97"/>
      <c r="L132" s="97">
        <f t="shared" si="15"/>
        <v>153208.14550880002</v>
      </c>
      <c r="M132" s="97"/>
      <c r="N132" s="97">
        <f t="shared" si="16"/>
        <v>194962.98978905001</v>
      </c>
      <c r="O132" s="190">
        <f t="shared" si="12"/>
        <v>0.27253671233721488</v>
      </c>
      <c r="P132" s="64"/>
      <c r="Q132" s="97"/>
      <c r="R132" s="97">
        <f t="shared" si="17"/>
        <v>153208.14550880002</v>
      </c>
      <c r="S132" s="97"/>
      <c r="T132" s="97">
        <f t="shared" si="18"/>
        <v>194962.98978905001</v>
      </c>
      <c r="U132" s="64"/>
      <c r="V132" s="97"/>
      <c r="W132" s="97">
        <f t="shared" si="19"/>
        <v>153208.14550880002</v>
      </c>
      <c r="X132" s="97"/>
      <c r="Y132" s="97">
        <f t="shared" si="20"/>
        <v>194962.98978905001</v>
      </c>
      <c r="Z132" s="64"/>
      <c r="AA132" s="97"/>
      <c r="AB132" s="97">
        <f t="shared" si="21"/>
        <v>153208.14550880002</v>
      </c>
      <c r="AC132" s="97"/>
      <c r="AD132" s="97">
        <f t="shared" si="22"/>
        <v>194962.98978905001</v>
      </c>
      <c r="AE132" s="284">
        <f t="shared" si="13"/>
        <v>0.27253671233721488</v>
      </c>
      <c r="AF132" s="64"/>
      <c r="AG132" s="97"/>
      <c r="AH132" s="97">
        <f t="shared" si="23"/>
        <v>153208.14550880002</v>
      </c>
      <c r="AI132" s="97"/>
      <c r="AJ132" s="97">
        <f t="shared" si="24"/>
        <v>194962.98978905001</v>
      </c>
      <c r="AK132" s="64"/>
    </row>
    <row r="133" spans="3:37" x14ac:dyDescent="0.3">
      <c r="C133" s="65" t="s">
        <v>248</v>
      </c>
      <c r="D133" s="77"/>
      <c r="E133" s="97"/>
      <c r="F133" s="97">
        <f>SUM('Quarterly I.S IFRS17'!F133:G133)</f>
        <v>262089.43600000002</v>
      </c>
      <c r="G133" s="97"/>
      <c r="H133" s="97">
        <f>SUM('Quarterly I.S IFRS17'!J133:K133)</f>
        <v>189725.92500000002</v>
      </c>
      <c r="I133" s="190">
        <f t="shared" si="25"/>
        <v>-0.27610235690689955</v>
      </c>
      <c r="J133" s="132">
        <f t="shared" si="14"/>
        <v>3.7082003759047293E-2</v>
      </c>
      <c r="K133" s="97"/>
      <c r="L133" s="97">
        <f t="shared" si="15"/>
        <v>262089.43600000002</v>
      </c>
      <c r="M133" s="97"/>
      <c r="N133" s="97">
        <f t="shared" si="16"/>
        <v>189725.92500000002</v>
      </c>
      <c r="O133" s="190">
        <f t="shared" si="12"/>
        <v>-0.27610235690689955</v>
      </c>
      <c r="P133" s="64"/>
      <c r="Q133" s="97"/>
      <c r="R133" s="97">
        <f t="shared" si="17"/>
        <v>262089.43600000002</v>
      </c>
      <c r="S133" s="97"/>
      <c r="T133" s="97">
        <f t="shared" si="18"/>
        <v>189725.92500000002</v>
      </c>
      <c r="U133" s="64"/>
      <c r="V133" s="97"/>
      <c r="W133" s="97">
        <f t="shared" si="19"/>
        <v>262089.43600000002</v>
      </c>
      <c r="X133" s="97"/>
      <c r="Y133" s="97">
        <f t="shared" si="20"/>
        <v>189725.92500000002</v>
      </c>
      <c r="Z133" s="64"/>
      <c r="AA133" s="97"/>
      <c r="AB133" s="97">
        <f t="shared" si="21"/>
        <v>262089.43600000002</v>
      </c>
      <c r="AC133" s="97"/>
      <c r="AD133" s="97">
        <f t="shared" si="22"/>
        <v>189725.92500000002</v>
      </c>
      <c r="AE133" s="284">
        <f t="shared" si="13"/>
        <v>-0.27610235690689955</v>
      </c>
      <c r="AF133" s="64"/>
      <c r="AG133" s="97"/>
      <c r="AH133" s="97">
        <f t="shared" si="23"/>
        <v>262089.43600000002</v>
      </c>
      <c r="AI133" s="97"/>
      <c r="AJ133" s="97">
        <f t="shared" si="24"/>
        <v>189725.92500000002</v>
      </c>
      <c r="AK133" s="64"/>
    </row>
    <row r="134" spans="3:37" x14ac:dyDescent="0.3">
      <c r="C134" s="65" t="s">
        <v>168</v>
      </c>
      <c r="D134" s="77"/>
      <c r="E134" s="97"/>
      <c r="F134" s="97">
        <f>SUM('Quarterly I.S IFRS17'!F134:G134)</f>
        <v>885722.69165000005</v>
      </c>
      <c r="G134" s="97"/>
      <c r="H134" s="97">
        <f>SUM('Quarterly I.S IFRS17'!J134:K134)</f>
        <v>973522.79639000003</v>
      </c>
      <c r="I134" s="190">
        <f t="shared" si="25"/>
        <v>9.9128209729433925E-2</v>
      </c>
      <c r="J134" s="132">
        <f t="shared" si="14"/>
        <v>0.19027539855321413</v>
      </c>
      <c r="K134" s="97"/>
      <c r="L134" s="97">
        <f t="shared" si="15"/>
        <v>885722.69165000005</v>
      </c>
      <c r="M134" s="97"/>
      <c r="N134" s="97">
        <f t="shared" si="16"/>
        <v>973522.79639000003</v>
      </c>
      <c r="O134" s="190">
        <f t="shared" si="12"/>
        <v>9.9128209729433925E-2</v>
      </c>
      <c r="P134" s="64"/>
      <c r="Q134" s="97"/>
      <c r="R134" s="97">
        <f t="shared" si="17"/>
        <v>885722.69165000005</v>
      </c>
      <c r="S134" s="97"/>
      <c r="T134" s="97">
        <f t="shared" si="18"/>
        <v>973522.79639000003</v>
      </c>
      <c r="U134" s="64"/>
      <c r="V134" s="97"/>
      <c r="W134" s="97">
        <f t="shared" si="19"/>
        <v>885722.69165000005</v>
      </c>
      <c r="X134" s="97"/>
      <c r="Y134" s="97">
        <f t="shared" si="20"/>
        <v>973522.79639000003</v>
      </c>
      <c r="Z134" s="64"/>
      <c r="AA134" s="97"/>
      <c r="AB134" s="97">
        <f t="shared" si="21"/>
        <v>885722.69165000005</v>
      </c>
      <c r="AC134" s="97"/>
      <c r="AD134" s="97">
        <f t="shared" si="22"/>
        <v>973522.79639000003</v>
      </c>
      <c r="AE134" s="284">
        <f t="shared" si="13"/>
        <v>9.9128209729433925E-2</v>
      </c>
      <c r="AF134" s="64"/>
      <c r="AG134" s="97"/>
      <c r="AH134" s="97">
        <f t="shared" si="23"/>
        <v>885722.69165000005</v>
      </c>
      <c r="AI134" s="97"/>
      <c r="AJ134" s="97">
        <f t="shared" si="24"/>
        <v>973522.79639000003</v>
      </c>
      <c r="AK134" s="64"/>
    </row>
    <row r="135" spans="3:37" x14ac:dyDescent="0.3">
      <c r="C135" s="65"/>
      <c r="D135" s="77"/>
      <c r="E135" s="62"/>
      <c r="F135" s="62"/>
      <c r="G135" s="62"/>
      <c r="H135" s="62"/>
      <c r="I135" s="131"/>
      <c r="K135" s="62"/>
      <c r="L135" s="62"/>
      <c r="M135" s="62"/>
      <c r="N135" s="62"/>
      <c r="O135" s="131"/>
      <c r="Q135" s="62"/>
      <c r="R135" s="62"/>
      <c r="S135" s="62"/>
      <c r="T135" s="62"/>
      <c r="V135" s="62"/>
      <c r="W135" s="62"/>
      <c r="X135" s="62"/>
      <c r="Y135" s="62"/>
      <c r="AA135" s="62"/>
      <c r="AB135" s="62"/>
      <c r="AC135" s="62"/>
      <c r="AD135" s="62"/>
      <c r="AE135" s="143"/>
      <c r="AG135" s="62"/>
      <c r="AH135" s="62"/>
      <c r="AI135" s="62"/>
      <c r="AJ135" s="62"/>
    </row>
    <row r="136" spans="3:37" x14ac:dyDescent="0.3">
      <c r="C136" s="99" t="s">
        <v>123</v>
      </c>
      <c r="D136" s="125"/>
      <c r="E136" s="48"/>
      <c r="F136" s="48">
        <f>F137</f>
        <v>37691</v>
      </c>
      <c r="G136" s="48"/>
      <c r="H136" s="48">
        <f>H137</f>
        <v>77555.8</v>
      </c>
      <c r="I136" s="173">
        <f t="shared" si="25"/>
        <v>1.0576742458411825</v>
      </c>
      <c r="K136" s="48"/>
      <c r="L136" s="48">
        <f>L137</f>
        <v>37691</v>
      </c>
      <c r="M136" s="48"/>
      <c r="N136" s="48">
        <f>N137</f>
        <v>77555.8</v>
      </c>
      <c r="O136" s="173">
        <f>N136/L136-1</f>
        <v>1.0576742458411825</v>
      </c>
      <c r="Q136" s="48"/>
      <c r="R136" s="48">
        <f>R137</f>
        <v>37691</v>
      </c>
      <c r="S136" s="48"/>
      <c r="T136" s="48">
        <f>T137</f>
        <v>77555.8</v>
      </c>
      <c r="V136" s="48"/>
      <c r="W136" s="48">
        <f>W137</f>
        <v>37691</v>
      </c>
      <c r="X136" s="48"/>
      <c r="Y136" s="48">
        <f>Y137</f>
        <v>77555.8</v>
      </c>
      <c r="AA136" s="48"/>
      <c r="AB136" s="48">
        <f>AB137</f>
        <v>37691</v>
      </c>
      <c r="AC136" s="48"/>
      <c r="AD136" s="48">
        <f>AD137</f>
        <v>77555.8</v>
      </c>
      <c r="AE136" s="266">
        <f>AD136/AB136-1</f>
        <v>1.0576742458411825</v>
      </c>
      <c r="AG136" s="48"/>
      <c r="AH136" s="48">
        <f>AH137</f>
        <v>37691</v>
      </c>
      <c r="AI136" s="48"/>
      <c r="AJ136" s="48">
        <f>AJ137</f>
        <v>77555.8</v>
      </c>
    </row>
    <row r="137" spans="3:37" x14ac:dyDescent="0.3">
      <c r="C137" s="65" t="s">
        <v>117</v>
      </c>
      <c r="D137" s="77"/>
      <c r="E137" s="97"/>
      <c r="F137" s="97">
        <f>SUM('Quarterly I.S IFRS17'!F137:G137)</f>
        <v>37691</v>
      </c>
      <c r="G137" s="97"/>
      <c r="H137" s="97">
        <f>SUM('Quarterly I.S IFRS17'!J137:K137)</f>
        <v>77555.8</v>
      </c>
      <c r="I137" s="190">
        <f t="shared" si="25"/>
        <v>1.0576742458411825</v>
      </c>
      <c r="J137" s="132"/>
      <c r="K137" s="97"/>
      <c r="L137" s="97">
        <f>$F137</f>
        <v>37691</v>
      </c>
      <c r="M137" s="97"/>
      <c r="N137" s="97">
        <f>$H137</f>
        <v>77555.8</v>
      </c>
      <c r="O137" s="190"/>
      <c r="P137" s="64"/>
      <c r="Q137" s="97"/>
      <c r="R137" s="97">
        <f>$F137</f>
        <v>37691</v>
      </c>
      <c r="S137" s="97"/>
      <c r="T137" s="97">
        <f>$H137</f>
        <v>77555.8</v>
      </c>
      <c r="U137" s="64"/>
      <c r="V137" s="97"/>
      <c r="W137" s="97">
        <f>$F137</f>
        <v>37691</v>
      </c>
      <c r="X137" s="97"/>
      <c r="Y137" s="97">
        <f>$H137</f>
        <v>77555.8</v>
      </c>
      <c r="Z137" s="64"/>
      <c r="AA137" s="97"/>
      <c r="AB137" s="97">
        <f>$F137</f>
        <v>37691</v>
      </c>
      <c r="AC137" s="97"/>
      <c r="AD137" s="97">
        <f>$H137</f>
        <v>77555.8</v>
      </c>
      <c r="AE137" s="284"/>
      <c r="AF137" s="64"/>
      <c r="AG137" s="97"/>
      <c r="AH137" s="97">
        <f>$F137</f>
        <v>37691</v>
      </c>
      <c r="AI137" s="97"/>
      <c r="AJ137" s="97">
        <f>$H137</f>
        <v>77555.8</v>
      </c>
      <c r="AK137" s="64"/>
    </row>
    <row r="138" spans="3:37" x14ac:dyDescent="0.3">
      <c r="C138" s="65"/>
      <c r="D138" s="77"/>
      <c r="E138" s="62"/>
      <c r="F138" s="62"/>
      <c r="G138" s="62"/>
      <c r="H138" s="62"/>
      <c r="I138" s="131"/>
      <c r="K138" s="62"/>
      <c r="L138" s="62"/>
      <c r="M138" s="62"/>
      <c r="N138" s="62"/>
      <c r="O138" s="131"/>
      <c r="Q138" s="62"/>
      <c r="R138" s="62"/>
      <c r="S138" s="62"/>
      <c r="T138" s="62"/>
      <c r="V138" s="62"/>
      <c r="W138" s="62"/>
      <c r="X138" s="62"/>
      <c r="Y138" s="62"/>
      <c r="AA138" s="62"/>
      <c r="AB138" s="62"/>
      <c r="AC138" s="62"/>
      <c r="AD138" s="62"/>
      <c r="AE138" s="143"/>
      <c r="AG138" s="62"/>
      <c r="AH138" s="62"/>
      <c r="AI138" s="62"/>
      <c r="AJ138" s="62"/>
    </row>
    <row r="139" spans="3:37" ht="13.5" thickBot="1" x14ac:dyDescent="0.35">
      <c r="C139" s="74" t="s">
        <v>52</v>
      </c>
      <c r="D139" s="126"/>
      <c r="E139" s="75"/>
      <c r="F139" s="75">
        <f>F128+F136</f>
        <v>4768463.4228888005</v>
      </c>
      <c r="G139" s="75"/>
      <c r="H139" s="75">
        <f>H128+H136</f>
        <v>5116388.1604890497</v>
      </c>
      <c r="I139" s="191">
        <f t="shared" si="25"/>
        <v>7.296370061898716E-2</v>
      </c>
      <c r="K139" s="75"/>
      <c r="L139" s="75">
        <f>L128+L136</f>
        <v>4768463.4228888005</v>
      </c>
      <c r="M139" s="75"/>
      <c r="N139" s="75">
        <f>N128+N136</f>
        <v>5116388.1604890497</v>
      </c>
      <c r="O139" s="191">
        <f>N139/L139-1</f>
        <v>7.296370061898716E-2</v>
      </c>
      <c r="Q139" s="75"/>
      <c r="R139" s="75">
        <f>R128+R136</f>
        <v>4768463.4228888005</v>
      </c>
      <c r="S139" s="75"/>
      <c r="T139" s="75">
        <f>T128+T136</f>
        <v>5116388.1604890497</v>
      </c>
      <c r="V139" s="75"/>
      <c r="W139" s="75">
        <f>W128+W136</f>
        <v>4768463.4228888005</v>
      </c>
      <c r="X139" s="75"/>
      <c r="Y139" s="75">
        <f>Y128+Y136</f>
        <v>5116388.1604890497</v>
      </c>
      <c r="AA139" s="75"/>
      <c r="AB139" s="75">
        <f>AB128+AB136</f>
        <v>4768463.4228888005</v>
      </c>
      <c r="AC139" s="75"/>
      <c r="AD139" s="75">
        <f>AD128+AD136</f>
        <v>5116388.1604890497</v>
      </c>
      <c r="AE139" s="285">
        <f>AD139/AB139-1</f>
        <v>7.296370061898716E-2</v>
      </c>
      <c r="AG139" s="75"/>
      <c r="AH139" s="75">
        <f>AH128+AH136</f>
        <v>4768463.4228888005</v>
      </c>
      <c r="AI139" s="75"/>
      <c r="AJ139" s="75">
        <f>AJ128+AJ136</f>
        <v>5116388.1604890497</v>
      </c>
    </row>
    <row r="140" spans="3:37" x14ac:dyDescent="0.3">
      <c r="C140" s="65"/>
      <c r="D140" s="77"/>
      <c r="E140" s="62"/>
      <c r="F140" s="62">
        <f>F139-SUM('Quarterly I.S IFRS17'!F139:G139)</f>
        <v>0</v>
      </c>
      <c r="G140" s="62"/>
      <c r="H140" s="62">
        <f>H139-SUM('Quarterly I.S IFRS17'!J139:K139)</f>
        <v>0</v>
      </c>
      <c r="I140" s="131"/>
      <c r="K140" s="62"/>
      <c r="L140" s="62"/>
      <c r="M140" s="62"/>
      <c r="N140" s="62"/>
      <c r="O140" s="131"/>
      <c r="Q140" s="62"/>
      <c r="R140" s="62"/>
      <c r="S140" s="62"/>
      <c r="T140" s="62"/>
      <c r="V140" s="62"/>
      <c r="W140" s="62"/>
      <c r="X140" s="62"/>
      <c r="Y140" s="62"/>
      <c r="AA140" s="62"/>
      <c r="AB140" s="62"/>
      <c r="AC140" s="62"/>
      <c r="AD140" s="62"/>
      <c r="AE140" s="143"/>
      <c r="AG140" s="62"/>
      <c r="AH140" s="62"/>
      <c r="AI140" s="62"/>
      <c r="AJ140" s="62"/>
    </row>
    <row r="141" spans="3:37" s="45" customFormat="1" x14ac:dyDescent="0.3">
      <c r="C141" s="93" t="s">
        <v>67</v>
      </c>
      <c r="D141" s="127"/>
      <c r="E141" s="94"/>
      <c r="F141" s="94">
        <f>SUM(F142:F143)</f>
        <v>2683785.2845999994</v>
      </c>
      <c r="G141" s="94"/>
      <c r="H141" s="94">
        <f>SUM(H142:H143)</f>
        <v>2031136.6730100003</v>
      </c>
      <c r="I141" s="192">
        <f t="shared" si="25"/>
        <v>-0.24318212613170065</v>
      </c>
      <c r="K141" s="94"/>
      <c r="L141" s="94">
        <f>SUM(L142:L143)</f>
        <v>2683785.2845999994</v>
      </c>
      <c r="M141" s="94"/>
      <c r="N141" s="94">
        <f>SUM(N142:N143)</f>
        <v>2031136.6730100003</v>
      </c>
      <c r="O141" s="192">
        <f>N141/L141-1</f>
        <v>-0.24318212613170065</v>
      </c>
      <c r="Q141" s="94"/>
      <c r="R141" s="94">
        <f>SUM(R142:R143)</f>
        <v>2683785.2845999994</v>
      </c>
      <c r="S141" s="94"/>
      <c r="T141" s="94">
        <f>SUM(T142:T143)</f>
        <v>2031136.6730100003</v>
      </c>
      <c r="V141" s="94"/>
      <c r="W141" s="94">
        <f>SUM(W142:W143)</f>
        <v>2683785.2845999994</v>
      </c>
      <c r="X141" s="94"/>
      <c r="Y141" s="94">
        <f>SUM(Y142:Y143)</f>
        <v>2031136.6730100003</v>
      </c>
      <c r="AA141" s="94"/>
      <c r="AB141" s="94">
        <f>SUM(AB142:AB143)</f>
        <v>2683785.2845999994</v>
      </c>
      <c r="AC141" s="94"/>
      <c r="AD141" s="94">
        <f>SUM(AD142:AD143)</f>
        <v>2031136.6730100003</v>
      </c>
      <c r="AE141" s="286">
        <f>AD141/AB141-1</f>
        <v>-0.24318212613170065</v>
      </c>
      <c r="AG141" s="94"/>
      <c r="AH141" s="94">
        <f>SUM(AH142:AH143)</f>
        <v>2683785.2845999994</v>
      </c>
      <c r="AI141" s="94"/>
      <c r="AJ141" s="94">
        <f>SUM(AJ142:AJ143)</f>
        <v>2031136.6730100003</v>
      </c>
    </row>
    <row r="142" spans="3:37" x14ac:dyDescent="0.3">
      <c r="C142" s="36" t="s">
        <v>68</v>
      </c>
      <c r="E142" s="97"/>
      <c r="F142" s="97">
        <f>SUM('Quarterly I.S IFRS17'!F142:G142)</f>
        <v>2667719.7493799995</v>
      </c>
      <c r="G142" s="97"/>
      <c r="H142" s="97">
        <f>SUM('Quarterly I.S IFRS17'!J142:K142)</f>
        <v>1968531.4512200002</v>
      </c>
      <c r="I142" s="190">
        <f t="shared" si="25"/>
        <v>-0.26209211005859834</v>
      </c>
      <c r="K142" s="97"/>
      <c r="L142" s="97">
        <f>$F142</f>
        <v>2667719.7493799995</v>
      </c>
      <c r="M142" s="97"/>
      <c r="N142" s="97">
        <f>$H142</f>
        <v>1968531.4512200002</v>
      </c>
      <c r="O142" s="190"/>
      <c r="Q142" s="97"/>
      <c r="R142" s="97">
        <f>$F142</f>
        <v>2667719.7493799995</v>
      </c>
      <c r="S142" s="97"/>
      <c r="T142" s="97">
        <f>$H142</f>
        <v>1968531.4512200002</v>
      </c>
      <c r="V142" s="97"/>
      <c r="W142" s="97">
        <f>$F142</f>
        <v>2667719.7493799995</v>
      </c>
      <c r="X142" s="97"/>
      <c r="Y142" s="97">
        <f>$H142</f>
        <v>1968531.4512200002</v>
      </c>
      <c r="AA142" s="97"/>
      <c r="AB142" s="97">
        <f>$F142</f>
        <v>2667719.7493799995</v>
      </c>
      <c r="AC142" s="97"/>
      <c r="AD142" s="97">
        <f>$H142</f>
        <v>1968531.4512200002</v>
      </c>
      <c r="AE142" s="284"/>
      <c r="AG142" s="97"/>
      <c r="AH142" s="97">
        <f>$F142</f>
        <v>2667719.7493799995</v>
      </c>
      <c r="AI142" s="97"/>
      <c r="AJ142" s="97">
        <f>$H142</f>
        <v>1968531.4512200002</v>
      </c>
    </row>
    <row r="143" spans="3:37" x14ac:dyDescent="0.3">
      <c r="C143" s="36" t="s">
        <v>121</v>
      </c>
      <c r="E143" s="97"/>
      <c r="F143" s="97">
        <f>SUM('Quarterly I.S IFRS17'!F143:G143)</f>
        <v>16065.53522</v>
      </c>
      <c r="G143" s="97"/>
      <c r="H143" s="97">
        <f>SUM('Quarterly I.S IFRS17'!J143:K143)</f>
        <v>62605.221789999996</v>
      </c>
      <c r="I143" s="190">
        <f t="shared" si="25"/>
        <v>2.8968649928365098</v>
      </c>
      <c r="K143" s="97"/>
      <c r="L143" s="97">
        <f>$F143</f>
        <v>16065.53522</v>
      </c>
      <c r="M143" s="97"/>
      <c r="N143" s="97">
        <f>$H143</f>
        <v>62605.221789999996</v>
      </c>
      <c r="O143" s="190"/>
      <c r="Q143" s="97"/>
      <c r="R143" s="97">
        <f>$F143</f>
        <v>16065.53522</v>
      </c>
      <c r="S143" s="97"/>
      <c r="T143" s="97">
        <f>$H143</f>
        <v>62605.221789999996</v>
      </c>
      <c r="V143" s="97"/>
      <c r="W143" s="97">
        <f>$F143</f>
        <v>16065.53522</v>
      </c>
      <c r="X143" s="97"/>
      <c r="Y143" s="97">
        <f>$H143</f>
        <v>62605.221789999996</v>
      </c>
      <c r="AA143" s="97"/>
      <c r="AB143" s="97">
        <f>$F143</f>
        <v>16065.53522</v>
      </c>
      <c r="AC143" s="97"/>
      <c r="AD143" s="97">
        <f>$H143</f>
        <v>62605.221789999996</v>
      </c>
      <c r="AE143" s="284"/>
      <c r="AG143" s="97"/>
      <c r="AH143" s="97">
        <f>$F143</f>
        <v>16065.53522</v>
      </c>
      <c r="AI143" s="97"/>
      <c r="AJ143" s="97">
        <f>$H143</f>
        <v>62605.221789999996</v>
      </c>
    </row>
    <row r="144" spans="3:37" x14ac:dyDescent="0.3">
      <c r="C144" s="71"/>
      <c r="D144" s="120"/>
      <c r="E144" s="68"/>
      <c r="F144" s="68"/>
      <c r="G144" s="68"/>
      <c r="H144" s="68"/>
      <c r="I144" s="193"/>
      <c r="K144" s="68"/>
      <c r="L144" s="68"/>
      <c r="M144" s="68"/>
      <c r="N144" s="68"/>
      <c r="O144" s="193"/>
      <c r="Q144" s="68"/>
      <c r="R144" s="68"/>
      <c r="S144" s="68"/>
      <c r="T144" s="68"/>
      <c r="V144" s="68"/>
      <c r="W144" s="68"/>
      <c r="X144" s="68"/>
      <c r="Y144" s="68"/>
      <c r="AA144" s="68"/>
      <c r="AB144" s="68"/>
      <c r="AC144" s="68"/>
      <c r="AD144" s="68"/>
      <c r="AE144" s="277"/>
      <c r="AG144" s="68"/>
      <c r="AH144" s="68"/>
      <c r="AI144" s="68"/>
      <c r="AJ144" s="68"/>
    </row>
    <row r="145" spans="2:37" s="35" customFormat="1" x14ac:dyDescent="0.3">
      <c r="B145" s="33"/>
      <c r="C145" s="63" t="s">
        <v>115</v>
      </c>
      <c r="D145" s="63"/>
      <c r="E145" s="34"/>
      <c r="F145" s="34"/>
      <c r="G145" s="34"/>
      <c r="H145" s="34"/>
      <c r="I145" s="168"/>
      <c r="K145" s="34"/>
      <c r="L145" s="34"/>
      <c r="M145" s="34"/>
      <c r="N145" s="34"/>
      <c r="O145" s="168"/>
      <c r="P145" s="205"/>
      <c r="Q145" s="34"/>
      <c r="R145" s="34"/>
      <c r="S145" s="34"/>
      <c r="T145" s="34"/>
      <c r="U145" s="205"/>
      <c r="V145" s="34"/>
      <c r="W145" s="34"/>
      <c r="X145" s="34"/>
      <c r="Y145" s="34"/>
      <c r="Z145" s="205"/>
      <c r="AA145" s="34"/>
      <c r="AB145" s="34"/>
      <c r="AC145" s="34"/>
      <c r="AD145" s="34"/>
      <c r="AE145" s="264"/>
      <c r="AF145" s="205"/>
      <c r="AG145" s="34"/>
      <c r="AH145" s="34"/>
      <c r="AI145" s="34"/>
      <c r="AJ145" s="34"/>
      <c r="AK145" s="205"/>
    </row>
    <row r="146" spans="2:37" x14ac:dyDescent="0.3">
      <c r="C146" s="79" t="s">
        <v>111</v>
      </c>
      <c r="D146" s="121"/>
      <c r="E146" s="48"/>
      <c r="F146" s="48">
        <f>SUM(F147)</f>
        <v>6998142.2419999996</v>
      </c>
      <c r="G146" s="48"/>
      <c r="H146" s="48">
        <f>SUM(H147)</f>
        <v>8177032.71318</v>
      </c>
      <c r="I146" s="173">
        <f t="shared" si="25"/>
        <v>0.16845763209909914</v>
      </c>
      <c r="K146" s="48"/>
      <c r="L146" s="48">
        <f>L147</f>
        <v>6998142.2419999996</v>
      </c>
      <c r="M146" s="48"/>
      <c r="N146" s="48">
        <f>N147</f>
        <v>8177032.71318</v>
      </c>
      <c r="O146" s="173">
        <f>N146/L146-1</f>
        <v>0.16845763209909914</v>
      </c>
      <c r="Q146" s="48"/>
      <c r="R146" s="48">
        <f>R147</f>
        <v>6998142.2419999996</v>
      </c>
      <c r="S146" s="48"/>
      <c r="T146" s="48">
        <f>T147</f>
        <v>8177032.71318</v>
      </c>
      <c r="V146" s="48"/>
      <c r="W146" s="48">
        <f>W147</f>
        <v>6998142.2419999996</v>
      </c>
      <c r="X146" s="48"/>
      <c r="Y146" s="48">
        <f>Y147</f>
        <v>8177032.71318</v>
      </c>
      <c r="AA146" s="48"/>
      <c r="AB146" s="48">
        <f>AB147</f>
        <v>6998142.2419999996</v>
      </c>
      <c r="AC146" s="48"/>
      <c r="AD146" s="48">
        <f>AD147</f>
        <v>8177032.71318</v>
      </c>
      <c r="AE146" s="266">
        <f>AD146/AB146-1</f>
        <v>0.16845763209909914</v>
      </c>
      <c r="AG146" s="48"/>
      <c r="AH146" s="48">
        <f>AH147</f>
        <v>6998142.2419999996</v>
      </c>
      <c r="AI146" s="48"/>
      <c r="AJ146" s="48">
        <f>AJ147</f>
        <v>8177032.71318</v>
      </c>
    </row>
    <row r="147" spans="2:37" x14ac:dyDescent="0.3">
      <c r="C147" s="65" t="s">
        <v>112</v>
      </c>
      <c r="D147" s="77">
        <v>37</v>
      </c>
      <c r="E147" s="97"/>
      <c r="F147" s="97">
        <f>'Quarterly I.S IFRS17'!G147</f>
        <v>6998142.2419999996</v>
      </c>
      <c r="G147" s="97"/>
      <c r="H147" s="97">
        <f>'Quarterly I.S IFRS17'!K147</f>
        <v>8177032.71318</v>
      </c>
      <c r="I147" s="190">
        <f t="shared" si="25"/>
        <v>0.16845763209909914</v>
      </c>
      <c r="K147" s="97"/>
      <c r="L147" s="97">
        <f>$F147</f>
        <v>6998142.2419999996</v>
      </c>
      <c r="M147" s="97"/>
      <c r="N147" s="97">
        <f>$H147</f>
        <v>8177032.71318</v>
      </c>
      <c r="O147" s="190"/>
      <c r="P147" s="64"/>
      <c r="Q147" s="97"/>
      <c r="R147" s="97">
        <f>$F147</f>
        <v>6998142.2419999996</v>
      </c>
      <c r="S147" s="97"/>
      <c r="T147" s="97">
        <f>$H147</f>
        <v>8177032.71318</v>
      </c>
      <c r="U147" s="64"/>
      <c r="V147" s="97"/>
      <c r="W147" s="97">
        <f>$F147</f>
        <v>6998142.2419999996</v>
      </c>
      <c r="X147" s="97"/>
      <c r="Y147" s="97">
        <f>$H147</f>
        <v>8177032.71318</v>
      </c>
      <c r="Z147" s="64"/>
      <c r="AA147" s="97"/>
      <c r="AB147" s="97">
        <f>$F147</f>
        <v>6998142.2419999996</v>
      </c>
      <c r="AC147" s="97"/>
      <c r="AD147" s="97">
        <f>$H147</f>
        <v>8177032.71318</v>
      </c>
      <c r="AE147" s="284"/>
      <c r="AF147" s="64"/>
      <c r="AG147" s="97"/>
      <c r="AH147" s="97">
        <f>$F147</f>
        <v>6998142.2419999996</v>
      </c>
      <c r="AI147" s="97"/>
      <c r="AJ147" s="97">
        <f>$H147</f>
        <v>8177032.71318</v>
      </c>
      <c r="AK147" s="64"/>
    </row>
    <row r="148" spans="2:37" x14ac:dyDescent="0.3">
      <c r="C148" s="65"/>
      <c r="D148" s="77"/>
      <c r="E148" s="41"/>
      <c r="F148" s="41"/>
      <c r="G148" s="41"/>
      <c r="H148" s="41"/>
      <c r="I148" s="169"/>
      <c r="K148" s="41"/>
      <c r="L148" s="41"/>
      <c r="M148" s="41"/>
      <c r="N148" s="41"/>
      <c r="O148" s="169"/>
      <c r="Q148" s="41"/>
      <c r="R148" s="41"/>
      <c r="S148" s="41"/>
      <c r="T148" s="41"/>
      <c r="V148" s="41"/>
      <c r="W148" s="41"/>
      <c r="X148" s="41"/>
      <c r="Y148" s="41"/>
      <c r="AA148" s="41"/>
      <c r="AB148" s="41"/>
      <c r="AC148" s="41"/>
      <c r="AD148" s="41"/>
      <c r="AE148" s="40"/>
      <c r="AG148" s="41"/>
      <c r="AH148" s="41"/>
      <c r="AI148" s="41"/>
      <c r="AJ148" s="41"/>
    </row>
    <row r="149" spans="2:37" x14ac:dyDescent="0.3">
      <c r="C149" s="80" t="s">
        <v>114</v>
      </c>
      <c r="D149" s="122"/>
      <c r="E149" s="48"/>
      <c r="F149" s="48">
        <f>SUM(F150:F153)</f>
        <v>13747813.077329999</v>
      </c>
      <c r="G149" s="48"/>
      <c r="H149" s="48">
        <f>SUM(H150:H153)</f>
        <v>12900512.416999999</v>
      </c>
      <c r="I149" s="173">
        <f t="shared" si="25"/>
        <v>-6.1631668656245364E-2</v>
      </c>
      <c r="K149" s="48"/>
      <c r="L149" s="48">
        <f>SUM(L150:L153)</f>
        <v>13747813.077329999</v>
      </c>
      <c r="M149" s="48"/>
      <c r="N149" s="48">
        <f>SUM(N150:N153)</f>
        <v>12900512.416999999</v>
      </c>
      <c r="O149" s="173">
        <f>N149/L149-1</f>
        <v>-6.1631668656245364E-2</v>
      </c>
      <c r="Q149" s="48"/>
      <c r="R149" s="48">
        <f>SUM(R150:R153)</f>
        <v>13747813.077329999</v>
      </c>
      <c r="S149" s="48"/>
      <c r="T149" s="48">
        <f>SUM(T150:T153)</f>
        <v>12900512.416999999</v>
      </c>
      <c r="U149" s="70"/>
      <c r="V149" s="48"/>
      <c r="W149" s="48">
        <f>SUM(W150:W153)</f>
        <v>13747813.077329999</v>
      </c>
      <c r="X149" s="48"/>
      <c r="Y149" s="48">
        <f>SUM(Y150:Y153)</f>
        <v>12900512.416999999</v>
      </c>
      <c r="Z149" s="70"/>
      <c r="AA149" s="48"/>
      <c r="AB149" s="48">
        <f>SUM(AB150:AB153)</f>
        <v>13747813.077329999</v>
      </c>
      <c r="AC149" s="48"/>
      <c r="AD149" s="48">
        <f>SUM(AD150:AD153)</f>
        <v>12900512.416999999</v>
      </c>
      <c r="AE149" s="266">
        <f>AD149/AB149-1</f>
        <v>-6.1631668656245364E-2</v>
      </c>
      <c r="AF149" s="70"/>
      <c r="AG149" s="48"/>
      <c r="AH149" s="48">
        <f>SUM(AH150:AH153)</f>
        <v>13747813.077329999</v>
      </c>
      <c r="AI149" s="48"/>
      <c r="AJ149" s="48">
        <f>SUM(AJ150:AJ153)</f>
        <v>12900512.416999999</v>
      </c>
      <c r="AK149" s="70"/>
    </row>
    <row r="150" spans="2:37" x14ac:dyDescent="0.3">
      <c r="C150" s="77" t="s">
        <v>142</v>
      </c>
      <c r="D150" s="77">
        <v>48.2</v>
      </c>
      <c r="E150" s="97"/>
      <c r="F150" s="97">
        <f>'Quarterly I.S IFRS17'!G150</f>
        <v>6266540.9663300002</v>
      </c>
      <c r="G150" s="97"/>
      <c r="H150" s="97">
        <f>'Quarterly I.S IFRS17'!K150</f>
        <v>4348126.2379999999</v>
      </c>
      <c r="I150" s="190">
        <f t="shared" si="25"/>
        <v>-0.30613615049157172</v>
      </c>
      <c r="K150" s="97"/>
      <c r="L150" s="97">
        <f>$F150</f>
        <v>6266540.9663300002</v>
      </c>
      <c r="M150" s="97"/>
      <c r="N150" s="97">
        <f>$H150</f>
        <v>4348126.2379999999</v>
      </c>
      <c r="O150" s="190">
        <f>N150/L150-1</f>
        <v>-0.30613615049157172</v>
      </c>
      <c r="P150" s="64"/>
      <c r="Q150" s="97"/>
      <c r="R150" s="97">
        <f>$F150</f>
        <v>6266540.9663300002</v>
      </c>
      <c r="S150" s="97"/>
      <c r="T150" s="97">
        <f>$H150</f>
        <v>4348126.2379999999</v>
      </c>
      <c r="U150" s="64"/>
      <c r="V150" s="97"/>
      <c r="W150" s="97">
        <f>$F150</f>
        <v>6266540.9663300002</v>
      </c>
      <c r="X150" s="97"/>
      <c r="Y150" s="97">
        <f>$H150</f>
        <v>4348126.2379999999</v>
      </c>
      <c r="Z150" s="64"/>
      <c r="AA150" s="97"/>
      <c r="AB150" s="97">
        <f>$F150</f>
        <v>6266540.9663300002</v>
      </c>
      <c r="AC150" s="97"/>
      <c r="AD150" s="97">
        <f>$H150</f>
        <v>4348126.2379999999</v>
      </c>
      <c r="AE150" s="284">
        <f>AD150/AB150-1</f>
        <v>-0.30613615049157172</v>
      </c>
      <c r="AF150" s="64"/>
      <c r="AG150" s="97"/>
      <c r="AH150" s="97">
        <f>$F150</f>
        <v>6266540.9663300002</v>
      </c>
      <c r="AI150" s="97"/>
      <c r="AJ150" s="97">
        <f>$H150</f>
        <v>4348126.2379999999</v>
      </c>
      <c r="AK150" s="64"/>
    </row>
    <row r="151" spans="2:37" x14ac:dyDescent="0.3">
      <c r="C151" s="77" t="s">
        <v>107</v>
      </c>
      <c r="D151" s="77" t="s">
        <v>149</v>
      </c>
      <c r="E151" s="97"/>
      <c r="F151" s="97">
        <f>'Quarterly I.S IFRS17'!G151</f>
        <v>3237260</v>
      </c>
      <c r="G151" s="97"/>
      <c r="H151" s="97">
        <f>'Quarterly I.S IFRS17'!K151</f>
        <v>1513831.085</v>
      </c>
      <c r="I151" s="190">
        <f t="shared" si="25"/>
        <v>-0.53237272106658096</v>
      </c>
      <c r="K151" s="97"/>
      <c r="L151" s="97">
        <f>$F151</f>
        <v>3237260</v>
      </c>
      <c r="M151" s="97"/>
      <c r="N151" s="97">
        <f>$H151</f>
        <v>1513831.085</v>
      </c>
      <c r="O151" s="190">
        <f>N151/L151-1</f>
        <v>-0.53237272106658096</v>
      </c>
      <c r="P151" s="64"/>
      <c r="Q151" s="97"/>
      <c r="R151" s="97">
        <f>$F151</f>
        <v>3237260</v>
      </c>
      <c r="S151" s="97"/>
      <c r="T151" s="97">
        <f>$H151</f>
        <v>1513831.085</v>
      </c>
      <c r="U151" s="64"/>
      <c r="V151" s="97"/>
      <c r="W151" s="97">
        <f>$F151</f>
        <v>3237260</v>
      </c>
      <c r="X151" s="97"/>
      <c r="Y151" s="97">
        <f>$H151</f>
        <v>1513831.085</v>
      </c>
      <c r="Z151" s="64"/>
      <c r="AA151" s="97"/>
      <c r="AB151" s="97">
        <f>$F151</f>
        <v>3237260</v>
      </c>
      <c r="AC151" s="97"/>
      <c r="AD151" s="97">
        <f>$H151</f>
        <v>1513831.085</v>
      </c>
      <c r="AE151" s="284">
        <f>AD151/AB151-1</f>
        <v>-0.53237272106658096</v>
      </c>
      <c r="AF151" s="64"/>
      <c r="AG151" s="97"/>
      <c r="AH151" s="97">
        <f>$F151</f>
        <v>3237260</v>
      </c>
      <c r="AI151" s="97"/>
      <c r="AJ151" s="97">
        <f>$H151</f>
        <v>1513831.085</v>
      </c>
      <c r="AK151" s="64"/>
    </row>
    <row r="152" spans="2:37" x14ac:dyDescent="0.3">
      <c r="C152" s="77" t="s">
        <v>108</v>
      </c>
      <c r="D152" s="77" t="s">
        <v>150</v>
      </c>
      <c r="E152" s="97"/>
      <c r="F152" s="97">
        <f>'Quarterly I.S IFRS17'!G152</f>
        <v>3367094.16</v>
      </c>
      <c r="G152" s="97"/>
      <c r="H152" s="97">
        <f>'Quarterly I.S IFRS17'!K152</f>
        <v>6256037.2479999997</v>
      </c>
      <c r="I152" s="190">
        <f t="shared" si="25"/>
        <v>0.8579929609096526</v>
      </c>
      <c r="K152" s="97"/>
      <c r="L152" s="97">
        <f>$F152</f>
        <v>3367094.16</v>
      </c>
      <c r="M152" s="97"/>
      <c r="N152" s="97">
        <f>$H152</f>
        <v>6256037.2479999997</v>
      </c>
      <c r="O152" s="190">
        <f>N152/L152-1</f>
        <v>0.8579929609096526</v>
      </c>
      <c r="P152" s="64"/>
      <c r="Q152" s="97"/>
      <c r="R152" s="97">
        <f>$F152</f>
        <v>3367094.16</v>
      </c>
      <c r="S152" s="97"/>
      <c r="T152" s="97">
        <f>$H152</f>
        <v>6256037.2479999997</v>
      </c>
      <c r="U152" s="64"/>
      <c r="V152" s="97"/>
      <c r="W152" s="97">
        <f>$F152</f>
        <v>3367094.16</v>
      </c>
      <c r="X152" s="97"/>
      <c r="Y152" s="97">
        <f>$H152</f>
        <v>6256037.2479999997</v>
      </c>
      <c r="Z152" s="64"/>
      <c r="AA152" s="97"/>
      <c r="AB152" s="97">
        <f>$F152</f>
        <v>3367094.16</v>
      </c>
      <c r="AC152" s="97"/>
      <c r="AD152" s="97">
        <f>$H152</f>
        <v>6256037.2479999997</v>
      </c>
      <c r="AE152" s="284">
        <f>AD152/AB152-1</f>
        <v>0.8579929609096526</v>
      </c>
      <c r="AF152" s="64"/>
      <c r="AG152" s="97"/>
      <c r="AH152" s="97">
        <f>$F152</f>
        <v>3367094.16</v>
      </c>
      <c r="AI152" s="97"/>
      <c r="AJ152" s="97">
        <f>$H152</f>
        <v>6256037.2479999997</v>
      </c>
      <c r="AK152" s="64"/>
    </row>
    <row r="153" spans="2:37" x14ac:dyDescent="0.3">
      <c r="C153" s="77" t="s">
        <v>109</v>
      </c>
      <c r="D153" s="77">
        <v>46</v>
      </c>
      <c r="E153" s="97"/>
      <c r="F153" s="97">
        <f>'Quarterly I.S IFRS17'!G153</f>
        <v>876917.951</v>
      </c>
      <c r="G153" s="97"/>
      <c r="H153" s="97">
        <f>'Quarterly I.S IFRS17'!K153</f>
        <v>782517.84600000002</v>
      </c>
      <c r="I153" s="190">
        <f t="shared" si="25"/>
        <v>-0.10764987179513219</v>
      </c>
      <c r="K153" s="97"/>
      <c r="L153" s="97">
        <f>$F153</f>
        <v>876917.951</v>
      </c>
      <c r="M153" s="97"/>
      <c r="N153" s="97">
        <f>$H153</f>
        <v>782517.84600000002</v>
      </c>
      <c r="O153" s="190">
        <f>N153/L153-1</f>
        <v>-0.10764987179513219</v>
      </c>
      <c r="P153" s="64"/>
      <c r="Q153" s="97"/>
      <c r="R153" s="97">
        <f>$F153</f>
        <v>876917.951</v>
      </c>
      <c r="S153" s="97"/>
      <c r="T153" s="97">
        <f>$H153</f>
        <v>782517.84600000002</v>
      </c>
      <c r="U153" s="64"/>
      <c r="V153" s="97"/>
      <c r="W153" s="97">
        <f>$F153</f>
        <v>876917.951</v>
      </c>
      <c r="X153" s="97"/>
      <c r="Y153" s="97">
        <f>$H153</f>
        <v>782517.84600000002</v>
      </c>
      <c r="Z153" s="64"/>
      <c r="AA153" s="97"/>
      <c r="AB153" s="97">
        <f>$F153</f>
        <v>876917.951</v>
      </c>
      <c r="AC153" s="97"/>
      <c r="AD153" s="97">
        <f>$H153</f>
        <v>782517.84600000002</v>
      </c>
      <c r="AE153" s="284">
        <f>AD153/AB153-1</f>
        <v>-0.10764987179513219</v>
      </c>
      <c r="AF153" s="64"/>
      <c r="AG153" s="97"/>
      <c r="AH153" s="97">
        <f>$F153</f>
        <v>876917.951</v>
      </c>
      <c r="AI153" s="97"/>
      <c r="AJ153" s="97">
        <f>$H153</f>
        <v>782517.84600000002</v>
      </c>
      <c r="AK153" s="64"/>
    </row>
    <row r="154" spans="2:37" x14ac:dyDescent="0.3">
      <c r="C154" s="77"/>
      <c r="D154" s="77"/>
      <c r="E154" s="41"/>
      <c r="F154" s="41"/>
      <c r="G154" s="41"/>
      <c r="H154" s="41"/>
      <c r="I154" s="169"/>
      <c r="K154" s="41"/>
      <c r="L154" s="41"/>
      <c r="M154" s="41"/>
      <c r="N154" s="41"/>
      <c r="O154" s="169"/>
      <c r="Q154" s="41"/>
      <c r="R154" s="41"/>
      <c r="S154" s="41"/>
      <c r="T154" s="41"/>
      <c r="V154" s="41"/>
      <c r="W154" s="41"/>
      <c r="X154" s="41"/>
      <c r="Y154" s="41"/>
      <c r="AA154" s="41"/>
      <c r="AB154" s="41"/>
      <c r="AC154" s="41"/>
      <c r="AD154" s="41"/>
      <c r="AE154" s="40"/>
      <c r="AG154" s="41"/>
      <c r="AH154" s="41"/>
      <c r="AI154" s="41"/>
      <c r="AJ154" s="41"/>
    </row>
    <row r="155" spans="2:37" ht="13.5" thickBot="1" x14ac:dyDescent="0.35">
      <c r="C155" s="78" t="s">
        <v>113</v>
      </c>
      <c r="D155" s="124"/>
      <c r="E155" s="102"/>
      <c r="F155" s="102">
        <f>F146+F149</f>
        <v>20745955.319329999</v>
      </c>
      <c r="G155" s="102"/>
      <c r="H155" s="102">
        <f>H146+H149</f>
        <v>21077545.130180001</v>
      </c>
      <c r="I155" s="194">
        <f t="shared" si="25"/>
        <v>1.5983347392108049E-2</v>
      </c>
      <c r="J155" s="71"/>
      <c r="K155" s="102"/>
      <c r="L155" s="102">
        <f>L146+L149</f>
        <v>20745955.319329999</v>
      </c>
      <c r="M155" s="102"/>
      <c r="N155" s="102">
        <f>N146+N149</f>
        <v>21077545.130180001</v>
      </c>
      <c r="O155" s="194">
        <f>N155/L155-1</f>
        <v>1.5983347392108049E-2</v>
      </c>
      <c r="P155" s="71"/>
      <c r="Q155" s="102"/>
      <c r="R155" s="102">
        <f>R146+R149</f>
        <v>20745955.319329999</v>
      </c>
      <c r="S155" s="102"/>
      <c r="T155" s="102">
        <f>T146+T149</f>
        <v>21077545.130180001</v>
      </c>
      <c r="U155" s="70"/>
      <c r="V155" s="102"/>
      <c r="W155" s="102">
        <f>W146+W149</f>
        <v>20745955.319329999</v>
      </c>
      <c r="X155" s="102"/>
      <c r="Y155" s="102">
        <f>Y146+Y149</f>
        <v>21077545.130180001</v>
      </c>
      <c r="Z155" s="70"/>
      <c r="AA155" s="102"/>
      <c r="AB155" s="102">
        <f>AB146+AB149</f>
        <v>20745955.319329999</v>
      </c>
      <c r="AC155" s="102"/>
      <c r="AD155" s="102">
        <f>AD146+AD149</f>
        <v>21077545.130180001</v>
      </c>
      <c r="AE155" s="287">
        <f>AD155/AB155-1</f>
        <v>1.5983347392108049E-2</v>
      </c>
      <c r="AF155" s="70"/>
      <c r="AG155" s="102"/>
      <c r="AH155" s="102">
        <f>AH146+AH149</f>
        <v>20745955.319329999</v>
      </c>
      <c r="AI155" s="102"/>
      <c r="AJ155" s="102">
        <f>AJ146+AJ149</f>
        <v>21077545.130180001</v>
      </c>
      <c r="AK155" s="70"/>
    </row>
    <row r="156" spans="2:37" x14ac:dyDescent="0.3">
      <c r="C156" s="65"/>
      <c r="D156" s="77"/>
      <c r="E156" s="62"/>
      <c r="F156" s="62"/>
      <c r="G156" s="62"/>
      <c r="H156" s="62"/>
      <c r="I156" s="131"/>
      <c r="K156" s="62"/>
      <c r="L156" s="62"/>
      <c r="M156" s="62"/>
      <c r="N156" s="62"/>
      <c r="O156" s="131"/>
      <c r="Q156" s="62"/>
      <c r="R156" s="62"/>
      <c r="S156" s="62"/>
      <c r="T156" s="62"/>
      <c r="V156" s="62"/>
      <c r="W156" s="62"/>
      <c r="X156" s="62"/>
      <c r="Y156" s="62"/>
      <c r="AA156" s="62"/>
      <c r="AB156" s="62"/>
      <c r="AC156" s="62"/>
      <c r="AD156" s="62"/>
      <c r="AE156" s="143"/>
      <c r="AG156" s="62"/>
      <c r="AH156" s="62"/>
      <c r="AI156" s="62"/>
      <c r="AJ156" s="62"/>
    </row>
    <row r="157" spans="2:37" s="82" customFormat="1" x14ac:dyDescent="0.3">
      <c r="B157" s="81"/>
      <c r="C157" s="30" t="s">
        <v>95</v>
      </c>
      <c r="D157" s="30"/>
      <c r="E157" s="30"/>
      <c r="F157" s="30"/>
      <c r="G157" s="30"/>
      <c r="H157" s="30"/>
      <c r="I157" s="185"/>
      <c r="K157" s="30"/>
      <c r="L157" s="30"/>
      <c r="M157" s="30"/>
      <c r="N157" s="30"/>
      <c r="O157" s="185"/>
      <c r="P157" s="110"/>
      <c r="Q157" s="30"/>
      <c r="R157" s="30"/>
      <c r="S157" s="30"/>
      <c r="T157" s="30"/>
      <c r="U157" s="110"/>
      <c r="V157" s="30"/>
      <c r="W157" s="30"/>
      <c r="X157" s="30"/>
      <c r="Y157" s="30"/>
      <c r="Z157" s="110"/>
      <c r="AA157" s="30"/>
      <c r="AB157" s="30"/>
      <c r="AC157" s="30"/>
      <c r="AD157" s="30"/>
      <c r="AE157" s="279"/>
      <c r="AF157" s="110"/>
      <c r="AG157" s="30"/>
      <c r="AH157" s="30"/>
      <c r="AI157" s="30"/>
      <c r="AJ157" s="30"/>
      <c r="AK157" s="110"/>
    </row>
    <row r="158" spans="2:37" s="85" customFormat="1" x14ac:dyDescent="0.3">
      <c r="B158" s="84"/>
      <c r="C158" s="63" t="s">
        <v>135</v>
      </c>
      <c r="D158" s="63"/>
      <c r="E158" s="63"/>
      <c r="F158" s="63"/>
      <c r="G158" s="63"/>
      <c r="H158" s="63"/>
      <c r="I158" s="186"/>
      <c r="K158" s="63"/>
      <c r="L158" s="63"/>
      <c r="M158" s="63"/>
      <c r="N158" s="63"/>
      <c r="O158" s="186"/>
      <c r="P158" s="110"/>
      <c r="Q158" s="63"/>
      <c r="R158" s="63"/>
      <c r="S158" s="63"/>
      <c r="T158" s="63"/>
      <c r="U158" s="110"/>
      <c r="V158" s="63"/>
      <c r="W158" s="63"/>
      <c r="X158" s="63"/>
      <c r="Y158" s="63"/>
      <c r="Z158" s="110"/>
      <c r="AA158" s="63"/>
      <c r="AB158" s="63"/>
      <c r="AC158" s="63"/>
      <c r="AD158" s="63"/>
      <c r="AE158" s="280"/>
      <c r="AF158" s="110"/>
      <c r="AG158" s="63"/>
      <c r="AH158" s="63"/>
      <c r="AI158" s="63"/>
      <c r="AJ158" s="63"/>
      <c r="AK158" s="110"/>
    </row>
    <row r="159" spans="2:37" x14ac:dyDescent="0.3">
      <c r="C159" s="105" t="s">
        <v>24</v>
      </c>
      <c r="D159" s="128"/>
      <c r="E159" s="106"/>
      <c r="F159" s="106">
        <f>SUM(F160:F161)</f>
        <v>1216006.7012194796</v>
      </c>
      <c r="G159" s="106"/>
      <c r="H159" s="106">
        <f>SUM(H160:H161)</f>
        <v>1882482.1008839533</v>
      </c>
      <c r="I159" s="195">
        <f t="shared" si="25"/>
        <v>0.54808530166494562</v>
      </c>
      <c r="K159" s="106"/>
      <c r="L159" s="106">
        <f>SUM(L160:L161)</f>
        <v>1216006.7012194796</v>
      </c>
      <c r="M159" s="106"/>
      <c r="N159" s="106">
        <f>SUM(N160:N161)</f>
        <v>1882482.1008839533</v>
      </c>
      <c r="O159" s="195">
        <f>N159/L159-1</f>
        <v>0.54808530166494562</v>
      </c>
      <c r="P159" s="64"/>
      <c r="Q159" s="106"/>
      <c r="R159" s="106">
        <f>SUM(R160:R161)</f>
        <v>1216006.7012194796</v>
      </c>
      <c r="S159" s="106"/>
      <c r="T159" s="106">
        <f>SUM(T160:T161)</f>
        <v>1882482.1008839533</v>
      </c>
      <c r="U159" s="64"/>
      <c r="V159" s="106"/>
      <c r="W159" s="106">
        <f>SUM(W160:W161)</f>
        <v>1216006.7012194796</v>
      </c>
      <c r="X159" s="106"/>
      <c r="Y159" s="106">
        <f>SUM(Y160:Y161)</f>
        <v>1882482.1008839533</v>
      </c>
      <c r="Z159" s="64"/>
      <c r="AA159" s="106"/>
      <c r="AB159" s="106">
        <f>SUM(AB160:AB161)</f>
        <v>1216006.7012194796</v>
      </c>
      <c r="AC159" s="106"/>
      <c r="AD159" s="106">
        <f>SUM(AD160:AD161)</f>
        <v>1882482.1008839533</v>
      </c>
      <c r="AE159" s="288">
        <f>AD159/AB159-1</f>
        <v>0.54808530166494562</v>
      </c>
      <c r="AF159" s="64"/>
      <c r="AG159" s="106"/>
      <c r="AH159" s="106">
        <f>SUM(AH160:AH161)</f>
        <v>1216006.7012194796</v>
      </c>
      <c r="AI159" s="106"/>
      <c r="AJ159" s="106">
        <f>SUM(AJ160:AJ161)</f>
        <v>1882482.1008839533</v>
      </c>
      <c r="AK159" s="64"/>
    </row>
    <row r="160" spans="2:37" x14ac:dyDescent="0.3">
      <c r="C160" s="65" t="s">
        <v>137</v>
      </c>
      <c r="D160" s="77"/>
      <c r="E160" s="97"/>
      <c r="F160" s="97">
        <f>SUM('Quarterly I.S IFRS17'!F160:G160)</f>
        <v>472759.87618365744</v>
      </c>
      <c r="G160" s="97"/>
      <c r="H160" s="97">
        <f>SUM('Quarterly I.S IFRS17'!J160:K160)</f>
        <v>698609.98733759054</v>
      </c>
      <c r="I160" s="190">
        <f t="shared" si="25"/>
        <v>0.4777269022428523</v>
      </c>
      <c r="J160" s="132"/>
      <c r="K160" s="97"/>
      <c r="L160" s="97">
        <f>$F160</f>
        <v>472759.87618365744</v>
      </c>
      <c r="M160" s="97"/>
      <c r="N160" s="97">
        <f>$H160</f>
        <v>698609.98733759054</v>
      </c>
      <c r="O160" s="190">
        <f>N160/L160-1</f>
        <v>0.4777269022428523</v>
      </c>
      <c r="P160" s="64"/>
      <c r="Q160" s="97"/>
      <c r="R160" s="97">
        <f>$F160</f>
        <v>472759.87618365744</v>
      </c>
      <c r="S160" s="97"/>
      <c r="T160" s="97">
        <f>$H160</f>
        <v>698609.98733759054</v>
      </c>
      <c r="U160" s="64"/>
      <c r="V160" s="97"/>
      <c r="W160" s="97">
        <f>$F160</f>
        <v>472759.87618365744</v>
      </c>
      <c r="X160" s="97"/>
      <c r="Y160" s="97">
        <f>$H160</f>
        <v>698609.98733759054</v>
      </c>
      <c r="Z160" s="64"/>
      <c r="AA160" s="97"/>
      <c r="AB160" s="97">
        <f>$F160</f>
        <v>472759.87618365744</v>
      </c>
      <c r="AC160" s="97"/>
      <c r="AD160" s="97">
        <f>$H160</f>
        <v>698609.98733759054</v>
      </c>
      <c r="AE160" s="284">
        <f>AD160/AB160-1</f>
        <v>0.4777269022428523</v>
      </c>
      <c r="AF160" s="214"/>
      <c r="AG160" s="97"/>
      <c r="AH160" s="97">
        <f>$F160</f>
        <v>472759.87618365744</v>
      </c>
      <c r="AI160" s="97"/>
      <c r="AJ160" s="97">
        <f>$H160</f>
        <v>698609.98733759054</v>
      </c>
      <c r="AK160" s="64"/>
    </row>
    <row r="161" spans="2:37" x14ac:dyDescent="0.3">
      <c r="C161" s="65" t="s">
        <v>138</v>
      </c>
      <c r="D161" s="77"/>
      <c r="E161" s="97"/>
      <c r="F161" s="97">
        <f>SUM('Quarterly I.S IFRS17'!F161:G161)</f>
        <v>743246.82503582211</v>
      </c>
      <c r="G161" s="97"/>
      <c r="H161" s="97">
        <f>SUM('Quarterly I.S IFRS17'!J161:K161)</f>
        <v>1183872.1135463628</v>
      </c>
      <c r="I161" s="190">
        <f t="shared" si="25"/>
        <v>0.59283844029781618</v>
      </c>
      <c r="J161" s="132"/>
      <c r="K161" s="97"/>
      <c r="L161" s="97">
        <f>$F161</f>
        <v>743246.82503582211</v>
      </c>
      <c r="M161" s="97"/>
      <c r="N161" s="97">
        <f>$H161</f>
        <v>1183872.1135463628</v>
      </c>
      <c r="O161" s="190">
        <f>N161/L161-1</f>
        <v>0.59283844029781618</v>
      </c>
      <c r="P161" s="64"/>
      <c r="Q161" s="97"/>
      <c r="R161" s="97">
        <f>$F161</f>
        <v>743246.82503582211</v>
      </c>
      <c r="S161" s="97"/>
      <c r="T161" s="97">
        <f>$H161</f>
        <v>1183872.1135463628</v>
      </c>
      <c r="U161" s="64"/>
      <c r="V161" s="97"/>
      <c r="W161" s="97">
        <f>$F161</f>
        <v>743246.82503582211</v>
      </c>
      <c r="X161" s="97"/>
      <c r="Y161" s="97">
        <f>$H161</f>
        <v>1183872.1135463628</v>
      </c>
      <c r="Z161" s="64"/>
      <c r="AA161" s="97"/>
      <c r="AB161" s="97">
        <f>$F161</f>
        <v>743246.82503582211</v>
      </c>
      <c r="AC161" s="97"/>
      <c r="AD161" s="97">
        <f>$H161</f>
        <v>1183872.1135463628</v>
      </c>
      <c r="AE161" s="284">
        <f>AD161/AB161-1</f>
        <v>0.59283844029781618</v>
      </c>
      <c r="AF161" s="214"/>
      <c r="AG161" s="97"/>
      <c r="AH161" s="97">
        <f>$F161</f>
        <v>743246.82503582211</v>
      </c>
      <c r="AI161" s="97"/>
      <c r="AJ161" s="97">
        <f>$H161</f>
        <v>1183872.1135463628</v>
      </c>
      <c r="AK161" s="64"/>
    </row>
    <row r="162" spans="2:37" x14ac:dyDescent="0.3">
      <c r="C162" s="65"/>
      <c r="D162" s="77"/>
      <c r="E162" s="149"/>
      <c r="F162" s="149"/>
      <c r="G162" s="149"/>
      <c r="H162" s="149"/>
      <c r="I162" s="149"/>
      <c r="J162" s="132"/>
      <c r="K162" s="149"/>
      <c r="L162" s="149"/>
      <c r="M162" s="149"/>
      <c r="N162" s="149"/>
      <c r="O162" s="149"/>
      <c r="P162" s="64"/>
      <c r="Q162" s="149"/>
      <c r="R162" s="149"/>
      <c r="S162" s="149"/>
      <c r="T162" s="149"/>
      <c r="U162" s="64"/>
      <c r="V162" s="149"/>
      <c r="W162" s="149"/>
      <c r="X162" s="149"/>
      <c r="Y162" s="149"/>
      <c r="Z162" s="64"/>
      <c r="AA162" s="149"/>
      <c r="AB162" s="149"/>
      <c r="AC162" s="149"/>
      <c r="AD162" s="149"/>
      <c r="AE162" s="289"/>
      <c r="AF162" s="214"/>
      <c r="AG162" s="149"/>
      <c r="AH162" s="149"/>
      <c r="AI162" s="149"/>
      <c r="AJ162" s="149"/>
      <c r="AK162" s="64"/>
    </row>
    <row r="163" spans="2:37" x14ac:dyDescent="0.3">
      <c r="C163" s="65" t="s">
        <v>170</v>
      </c>
      <c r="D163" s="77"/>
      <c r="E163" s="149"/>
      <c r="F163" s="149">
        <f>F160/F$159</f>
        <v>0.3887806503940705</v>
      </c>
      <c r="G163" s="149"/>
      <c r="H163" s="149">
        <f>H160/H$159</f>
        <v>0.37111109157932798</v>
      </c>
      <c r="I163" s="149">
        <f t="shared" si="25"/>
        <v>-4.5448657994765274E-2</v>
      </c>
      <c r="J163" s="132"/>
      <c r="K163" s="149"/>
      <c r="L163" s="149"/>
      <c r="M163" s="149"/>
      <c r="N163" s="149"/>
      <c r="O163" s="149"/>
      <c r="P163" s="64"/>
      <c r="Q163" s="149"/>
      <c r="R163" s="149"/>
      <c r="S163" s="149"/>
      <c r="T163" s="149"/>
      <c r="U163" s="64"/>
      <c r="V163" s="149"/>
      <c r="W163" s="149"/>
      <c r="X163" s="149"/>
      <c r="Y163" s="149"/>
      <c r="Z163" s="64"/>
      <c r="AA163" s="149"/>
      <c r="AB163" s="149"/>
      <c r="AC163" s="149"/>
      <c r="AD163" s="149"/>
      <c r="AE163" s="289"/>
      <c r="AF163" s="214"/>
      <c r="AG163" s="149"/>
      <c r="AH163" s="149"/>
      <c r="AI163" s="149"/>
      <c r="AJ163" s="149"/>
      <c r="AK163" s="64"/>
    </row>
    <row r="164" spans="2:37" x14ac:dyDescent="0.3">
      <c r="C164" s="65" t="s">
        <v>169</v>
      </c>
      <c r="D164" s="77"/>
      <c r="E164" s="149"/>
      <c r="F164" s="149">
        <f>F161/F$159</f>
        <v>0.6112193496059295</v>
      </c>
      <c r="G164" s="149"/>
      <c r="H164" s="149">
        <f>H161/H$159</f>
        <v>0.62888890842067202</v>
      </c>
      <c r="I164" s="149">
        <f t="shared" si="25"/>
        <v>2.8908703276711689E-2</v>
      </c>
      <c r="J164" s="132"/>
      <c r="K164" s="149"/>
      <c r="L164" s="149"/>
      <c r="M164" s="149"/>
      <c r="N164" s="149"/>
      <c r="O164" s="149"/>
      <c r="P164" s="64"/>
      <c r="Q164" s="149"/>
      <c r="R164" s="149"/>
      <c r="S164" s="149"/>
      <c r="T164" s="149"/>
      <c r="U164" s="64"/>
      <c r="V164" s="149"/>
      <c r="W164" s="149"/>
      <c r="X164" s="149"/>
      <c r="Y164" s="149"/>
      <c r="Z164" s="64"/>
      <c r="AA164" s="149"/>
      <c r="AB164" s="149"/>
      <c r="AC164" s="149"/>
      <c r="AD164" s="149"/>
      <c r="AE164" s="289"/>
      <c r="AF164" s="214"/>
      <c r="AG164" s="149"/>
      <c r="AH164" s="149"/>
      <c r="AI164" s="149"/>
      <c r="AJ164" s="149"/>
      <c r="AK164" s="64"/>
    </row>
    <row r="165" spans="2:37" x14ac:dyDescent="0.3">
      <c r="C165" s="65"/>
      <c r="D165" s="77"/>
      <c r="E165" s="42"/>
      <c r="F165" s="42"/>
      <c r="G165" s="42"/>
      <c r="H165" s="42"/>
      <c r="K165" s="42"/>
      <c r="L165" s="42"/>
      <c r="M165" s="42"/>
      <c r="N165" s="42"/>
      <c r="P165" s="64"/>
      <c r="Q165" s="42"/>
      <c r="R165" s="42"/>
      <c r="S165" s="42"/>
      <c r="T165" s="42"/>
      <c r="U165" s="64"/>
      <c r="V165" s="42"/>
      <c r="W165" s="42"/>
      <c r="X165" s="42"/>
      <c r="Y165" s="42"/>
      <c r="Z165" s="64"/>
      <c r="AA165" s="42"/>
      <c r="AB165" s="42"/>
      <c r="AC165" s="42"/>
      <c r="AD165" s="42"/>
      <c r="AF165" s="64"/>
      <c r="AG165" s="42"/>
      <c r="AH165" s="42"/>
      <c r="AI165" s="42"/>
      <c r="AJ165" s="42"/>
      <c r="AK165" s="64"/>
    </row>
    <row r="166" spans="2:37" x14ac:dyDescent="0.3">
      <c r="C166" s="105" t="s">
        <v>139</v>
      </c>
      <c r="D166" s="128"/>
      <c r="E166" s="106"/>
      <c r="F166" s="106">
        <f>SUM(F167:F168)</f>
        <v>74551</v>
      </c>
      <c r="G166" s="106"/>
      <c r="H166" s="106">
        <f>SUM(H167:H168)</f>
        <v>74265</v>
      </c>
      <c r="I166" s="195">
        <f t="shared" si="25"/>
        <v>-3.8362999825622968E-3</v>
      </c>
      <c r="K166" s="106"/>
      <c r="L166" s="106">
        <f>SUM(L167:L168)</f>
        <v>74551</v>
      </c>
      <c r="M166" s="106"/>
      <c r="N166" s="106">
        <f>SUM(N167:N168)</f>
        <v>74265</v>
      </c>
      <c r="O166" s="195">
        <f>N166/L166-1</f>
        <v>-3.8362999825622968E-3</v>
      </c>
      <c r="P166" s="64"/>
      <c r="Q166" s="106"/>
      <c r="R166" s="106">
        <f>SUM(R167:R168)</f>
        <v>74551</v>
      </c>
      <c r="S166" s="106"/>
      <c r="T166" s="106">
        <f>SUM(T167:T168)</f>
        <v>74265</v>
      </c>
      <c r="U166" s="64"/>
      <c r="V166" s="106"/>
      <c r="W166" s="106">
        <f>SUM(W167:W168)</f>
        <v>74551</v>
      </c>
      <c r="X166" s="106"/>
      <c r="Y166" s="106">
        <f>SUM(Y167:Y168)</f>
        <v>74265</v>
      </c>
      <c r="Z166" s="64"/>
      <c r="AA166" s="106"/>
      <c r="AB166" s="106">
        <f>SUM(AB167:AB168)</f>
        <v>74551</v>
      </c>
      <c r="AC166" s="106"/>
      <c r="AD166" s="106">
        <f>SUM(AD167:AD168)</f>
        <v>74265</v>
      </c>
      <c r="AE166" s="288">
        <f>AD166/AB166-1</f>
        <v>-3.8362999825622968E-3</v>
      </c>
      <c r="AF166" s="64"/>
      <c r="AG166" s="106"/>
      <c r="AH166" s="106">
        <f>SUM(AH167:AH168)</f>
        <v>74551</v>
      </c>
      <c r="AI166" s="106"/>
      <c r="AJ166" s="106">
        <f>SUM(AJ167:AJ168)</f>
        <v>74265</v>
      </c>
      <c r="AK166" s="64"/>
    </row>
    <row r="167" spans="2:37" x14ac:dyDescent="0.3">
      <c r="C167" s="65" t="s">
        <v>137</v>
      </c>
      <c r="D167" s="77"/>
      <c r="E167" s="97"/>
      <c r="F167" s="97">
        <f>SUM('Quarterly I.S IFRS17'!F167:G167)</f>
        <v>57500</v>
      </c>
      <c r="G167" s="97"/>
      <c r="H167" s="97">
        <f>SUM('Quarterly I.S IFRS17'!J167:K167)</f>
        <v>67263</v>
      </c>
      <c r="I167" s="190">
        <f t="shared" si="25"/>
        <v>0.16979130434782608</v>
      </c>
      <c r="K167" s="97"/>
      <c r="L167" s="97">
        <f>$F167</f>
        <v>57500</v>
      </c>
      <c r="M167" s="97"/>
      <c r="N167" s="97">
        <f>$H167</f>
        <v>67263</v>
      </c>
      <c r="O167" s="190">
        <f>N167/L167-1</f>
        <v>0.16979130434782608</v>
      </c>
      <c r="P167" s="64"/>
      <c r="Q167" s="97"/>
      <c r="R167" s="97">
        <f>$F167</f>
        <v>57500</v>
      </c>
      <c r="S167" s="97"/>
      <c r="T167" s="97">
        <f>$H167</f>
        <v>67263</v>
      </c>
      <c r="U167" s="64"/>
      <c r="V167" s="97"/>
      <c r="W167" s="97">
        <f>$F167</f>
        <v>57500</v>
      </c>
      <c r="X167" s="97"/>
      <c r="Y167" s="97">
        <f>$H167</f>
        <v>67263</v>
      </c>
      <c r="Z167" s="64"/>
      <c r="AA167" s="97"/>
      <c r="AB167" s="97">
        <f>$F167</f>
        <v>57500</v>
      </c>
      <c r="AC167" s="97"/>
      <c r="AD167" s="97">
        <f>$H167</f>
        <v>67263</v>
      </c>
      <c r="AE167" s="284">
        <f>AD167/AB167-1</f>
        <v>0.16979130434782608</v>
      </c>
      <c r="AF167" s="64"/>
      <c r="AG167" s="97"/>
      <c r="AH167" s="97">
        <f>$F167</f>
        <v>57500</v>
      </c>
      <c r="AI167" s="97"/>
      <c r="AJ167" s="97">
        <f>$H167</f>
        <v>67263</v>
      </c>
      <c r="AK167" s="64"/>
    </row>
    <row r="168" spans="2:37" x14ac:dyDescent="0.3">
      <c r="C168" s="65" t="s">
        <v>138</v>
      </c>
      <c r="D168" s="77"/>
      <c r="E168" s="97"/>
      <c r="F168" s="97">
        <f>SUM('Quarterly I.S IFRS17'!F168:G168)</f>
        <v>17051</v>
      </c>
      <c r="G168" s="97"/>
      <c r="H168" s="97">
        <f>SUM('Quarterly I.S IFRS17'!J168:K168)</f>
        <v>7002</v>
      </c>
      <c r="I168" s="190">
        <f t="shared" si="25"/>
        <v>-0.58934959826403144</v>
      </c>
      <c r="K168" s="97"/>
      <c r="L168" s="97">
        <f>$F168</f>
        <v>17051</v>
      </c>
      <c r="M168" s="97"/>
      <c r="N168" s="97">
        <f>$H168</f>
        <v>7002</v>
      </c>
      <c r="O168" s="190">
        <f>N168/L168-1</f>
        <v>-0.58934959826403144</v>
      </c>
      <c r="P168" s="64"/>
      <c r="Q168" s="97"/>
      <c r="R168" s="97">
        <f>$F168</f>
        <v>17051</v>
      </c>
      <c r="S168" s="97"/>
      <c r="T168" s="97">
        <f>$H168</f>
        <v>7002</v>
      </c>
      <c r="U168" s="64"/>
      <c r="V168" s="97"/>
      <c r="W168" s="97">
        <f>$F168</f>
        <v>17051</v>
      </c>
      <c r="X168" s="97"/>
      <c r="Y168" s="97">
        <f>$H168</f>
        <v>7002</v>
      </c>
      <c r="Z168" s="64"/>
      <c r="AA168" s="97"/>
      <c r="AB168" s="97">
        <f>$F168</f>
        <v>17051</v>
      </c>
      <c r="AC168" s="97"/>
      <c r="AD168" s="97">
        <f>$H168</f>
        <v>7002</v>
      </c>
      <c r="AE168" s="284">
        <f>AD168/AB168-1</f>
        <v>-0.58934959826403144</v>
      </c>
      <c r="AF168" s="64"/>
      <c r="AG168" s="97"/>
      <c r="AH168" s="97">
        <f>$F168</f>
        <v>17051</v>
      </c>
      <c r="AI168" s="97"/>
      <c r="AJ168" s="97">
        <f>$H168</f>
        <v>7002</v>
      </c>
      <c r="AK168" s="64"/>
    </row>
    <row r="169" spans="2:37" x14ac:dyDescent="0.3">
      <c r="C169" s="65"/>
      <c r="D169" s="77"/>
      <c r="E169" s="42"/>
      <c r="F169" s="42"/>
      <c r="G169" s="42"/>
      <c r="H169" s="42"/>
      <c r="K169" s="42"/>
      <c r="L169" s="42"/>
      <c r="M169" s="42"/>
      <c r="N169" s="42"/>
      <c r="P169" s="64"/>
      <c r="Q169" s="42"/>
      <c r="R169" s="42"/>
      <c r="S169" s="42"/>
      <c r="T169" s="42"/>
      <c r="U169" s="64"/>
      <c r="V169" s="42"/>
      <c r="W169" s="42"/>
      <c r="X169" s="42"/>
      <c r="Y169" s="42"/>
      <c r="Z169" s="64"/>
      <c r="AA169" s="42"/>
      <c r="AB169" s="42"/>
      <c r="AC169" s="42"/>
      <c r="AD169" s="42"/>
      <c r="AF169" s="64"/>
      <c r="AG169" s="42"/>
      <c r="AH169" s="42"/>
      <c r="AI169" s="42"/>
      <c r="AJ169" s="42"/>
      <c r="AK169" s="64"/>
    </row>
    <row r="170" spans="2:37" x14ac:dyDescent="0.3">
      <c r="C170" s="65" t="s">
        <v>122</v>
      </c>
      <c r="D170" s="77"/>
      <c r="E170" s="98"/>
      <c r="F170" s="98">
        <f>'Quarterly I.S IFRS17'!G170</f>
        <v>1029517.4450000001</v>
      </c>
      <c r="G170" s="98"/>
      <c r="H170" s="98">
        <f>'Quarterly I.S IFRS17'!K170</f>
        <v>1296432.9739999999</v>
      </c>
      <c r="I170" s="196">
        <f t="shared" si="25"/>
        <v>0.25926275489192885</v>
      </c>
      <c r="K170" s="98"/>
      <c r="L170" s="98">
        <f>$F170</f>
        <v>1029517.4450000001</v>
      </c>
      <c r="M170" s="98"/>
      <c r="N170" s="98">
        <f>$H170</f>
        <v>1296432.9739999999</v>
      </c>
      <c r="O170" s="196">
        <f>N170/L170-1</f>
        <v>0.25926275489192885</v>
      </c>
      <c r="P170" s="64"/>
      <c r="Q170" s="98"/>
      <c r="R170" s="98">
        <f>$F170</f>
        <v>1029517.4450000001</v>
      </c>
      <c r="S170" s="98"/>
      <c r="T170" s="98">
        <f>$H170</f>
        <v>1296432.9739999999</v>
      </c>
      <c r="U170" s="64"/>
      <c r="V170" s="98"/>
      <c r="W170" s="98">
        <f>$F170</f>
        <v>1029517.4450000001</v>
      </c>
      <c r="X170" s="98"/>
      <c r="Y170" s="98">
        <f>$H170</f>
        <v>1296432.9739999999</v>
      </c>
      <c r="Z170" s="64"/>
      <c r="AA170" s="98"/>
      <c r="AB170" s="98">
        <f>$F170</f>
        <v>1029517.4450000001</v>
      </c>
      <c r="AC170" s="98"/>
      <c r="AD170" s="98">
        <f>$H170</f>
        <v>1296432.9739999999</v>
      </c>
      <c r="AE170" s="290">
        <f>AD170/AB170-1</f>
        <v>0.25926275489192885</v>
      </c>
      <c r="AF170" s="64"/>
      <c r="AG170" s="98"/>
      <c r="AH170" s="98">
        <f>$F170</f>
        <v>1029517.4450000001</v>
      </c>
      <c r="AI170" s="98"/>
      <c r="AJ170" s="98">
        <f>$H170</f>
        <v>1296432.9739999999</v>
      </c>
      <c r="AK170" s="64"/>
    </row>
    <row r="171" spans="2:37" x14ac:dyDescent="0.3">
      <c r="C171" s="65" t="s">
        <v>133</v>
      </c>
      <c r="D171" s="77"/>
      <c r="E171" s="98"/>
      <c r="F171" s="98">
        <f>'Quarterly I.S IFRS17'!G171</f>
        <v>237447.18884000002</v>
      </c>
      <c r="G171" s="98"/>
      <c r="H171" s="98">
        <f>'Quarterly I.S IFRS17'!K171</f>
        <v>58087</v>
      </c>
      <c r="I171" s="196">
        <f t="shared" si="25"/>
        <v>-0.75536876101261829</v>
      </c>
      <c r="K171" s="98"/>
      <c r="L171" s="98">
        <f>$F171</f>
        <v>237447.18884000002</v>
      </c>
      <c r="M171" s="98"/>
      <c r="N171" s="98">
        <f>$H171</f>
        <v>58087</v>
      </c>
      <c r="O171" s="196">
        <f>N171/L171-1</f>
        <v>-0.75536876101261829</v>
      </c>
      <c r="P171" s="64"/>
      <c r="Q171" s="98"/>
      <c r="R171" s="98">
        <f>$F171</f>
        <v>237447.18884000002</v>
      </c>
      <c r="S171" s="98"/>
      <c r="T171" s="98">
        <f>$H171</f>
        <v>58087</v>
      </c>
      <c r="U171" s="64"/>
      <c r="V171" s="98"/>
      <c r="W171" s="98">
        <f>$F171</f>
        <v>237447.18884000002</v>
      </c>
      <c r="X171" s="98"/>
      <c r="Y171" s="98">
        <f>$H171</f>
        <v>58087</v>
      </c>
      <c r="Z171" s="64"/>
      <c r="AA171" s="98"/>
      <c r="AB171" s="98">
        <f>$F171</f>
        <v>237447.18884000002</v>
      </c>
      <c r="AC171" s="98"/>
      <c r="AD171" s="98">
        <f>$H171</f>
        <v>58087</v>
      </c>
      <c r="AE171" s="290">
        <f>AD171/AB171-1</f>
        <v>-0.75536876101261829</v>
      </c>
      <c r="AF171" s="64"/>
      <c r="AG171" s="98"/>
      <c r="AH171" s="98">
        <f>$F171</f>
        <v>237447.18884000002</v>
      </c>
      <c r="AI171" s="98"/>
      <c r="AJ171" s="98">
        <f>$H171</f>
        <v>58087</v>
      </c>
      <c r="AK171" s="64"/>
    </row>
    <row r="172" spans="2:37" x14ac:dyDescent="0.3">
      <c r="C172" s="65"/>
      <c r="D172" s="77"/>
      <c r="E172" s="62"/>
      <c r="F172" s="62"/>
      <c r="G172" s="62"/>
      <c r="H172" s="62"/>
      <c r="I172" s="131"/>
      <c r="K172" s="62"/>
      <c r="L172" s="62"/>
      <c r="M172" s="62"/>
      <c r="N172" s="62"/>
      <c r="O172" s="131"/>
      <c r="Q172" s="62"/>
      <c r="R172" s="62"/>
      <c r="S172" s="62"/>
      <c r="T172" s="62"/>
      <c r="V172" s="62"/>
      <c r="W172" s="62"/>
      <c r="X172" s="62"/>
      <c r="Y172" s="62"/>
      <c r="AA172" s="62"/>
      <c r="AB172" s="62"/>
      <c r="AC172" s="62"/>
      <c r="AD172" s="62"/>
      <c r="AE172" s="143"/>
      <c r="AG172" s="62"/>
      <c r="AH172" s="62"/>
      <c r="AI172" s="62"/>
      <c r="AJ172" s="62"/>
    </row>
    <row r="173" spans="2:37" x14ac:dyDescent="0.3">
      <c r="C173" s="65"/>
      <c r="D173" s="77"/>
      <c r="E173" s="62"/>
      <c r="F173" s="62"/>
      <c r="G173" s="62"/>
      <c r="H173" s="62"/>
      <c r="I173" s="131"/>
      <c r="K173" s="62"/>
      <c r="L173" s="62"/>
      <c r="M173" s="62"/>
      <c r="N173" s="62"/>
      <c r="O173" s="131"/>
      <c r="Q173" s="62"/>
      <c r="R173" s="62"/>
      <c r="S173" s="62"/>
      <c r="T173" s="62"/>
      <c r="V173" s="62"/>
      <c r="W173" s="62"/>
      <c r="X173" s="62"/>
      <c r="Y173" s="62"/>
      <c r="AA173" s="62"/>
      <c r="AB173" s="62"/>
      <c r="AC173" s="62"/>
      <c r="AD173" s="62"/>
      <c r="AE173" s="143"/>
      <c r="AG173" s="62"/>
      <c r="AH173" s="62"/>
      <c r="AI173" s="62"/>
      <c r="AJ173" s="62"/>
    </row>
    <row r="174" spans="2:37" s="85" customFormat="1" x14ac:dyDescent="0.3">
      <c r="B174" s="84"/>
      <c r="C174" s="63" t="s">
        <v>136</v>
      </c>
      <c r="D174" s="63"/>
      <c r="E174" s="63"/>
      <c r="F174" s="63"/>
      <c r="G174" s="63"/>
      <c r="H174" s="63"/>
      <c r="I174" s="186"/>
      <c r="K174" s="63"/>
      <c r="L174" s="63"/>
      <c r="M174" s="63"/>
      <c r="N174" s="63"/>
      <c r="O174" s="186"/>
      <c r="P174" s="110"/>
      <c r="Q174" s="63"/>
      <c r="R174" s="63"/>
      <c r="S174" s="63"/>
      <c r="T174" s="63"/>
      <c r="U174" s="110"/>
      <c r="V174" s="63"/>
      <c r="W174" s="63"/>
      <c r="X174" s="63"/>
      <c r="Y174" s="63"/>
      <c r="Z174" s="110"/>
      <c r="AA174" s="63"/>
      <c r="AB174" s="63"/>
      <c r="AC174" s="63"/>
      <c r="AD174" s="63"/>
      <c r="AE174" s="280"/>
      <c r="AF174" s="110"/>
      <c r="AG174" s="63"/>
      <c r="AH174" s="63"/>
      <c r="AI174" s="63"/>
      <c r="AJ174" s="63"/>
      <c r="AK174" s="110"/>
    </row>
    <row r="175" spans="2:37" x14ac:dyDescent="0.3">
      <c r="C175" s="36" t="s">
        <v>53</v>
      </c>
      <c r="E175" s="97"/>
      <c r="F175" s="97">
        <f>SUM('Quarterly I.S IFRS17'!F175:G175)</f>
        <v>255497.21705810018</v>
      </c>
      <c r="G175" s="97"/>
      <c r="H175" s="97">
        <f>SUM('Quarterly I.S IFRS17'!J175:K175)</f>
        <v>346250.03509303066</v>
      </c>
      <c r="I175" s="190">
        <f t="shared" si="25"/>
        <v>0.35520080836846546</v>
      </c>
      <c r="K175" s="97"/>
      <c r="L175" s="97">
        <f>$F175</f>
        <v>255497.21705810018</v>
      </c>
      <c r="M175" s="97"/>
      <c r="N175" s="97">
        <f>$H175</f>
        <v>346250.03509303066</v>
      </c>
      <c r="O175" s="190">
        <f>N175/L175-1</f>
        <v>0.35520080836846546</v>
      </c>
      <c r="Q175" s="97"/>
      <c r="R175" s="97">
        <f>$F175</f>
        <v>255497.21705810018</v>
      </c>
      <c r="S175" s="97"/>
      <c r="T175" s="97">
        <f>$H175</f>
        <v>346250.03509303066</v>
      </c>
      <c r="V175" s="97"/>
      <c r="W175" s="97">
        <f>$F175</f>
        <v>255497.21705810018</v>
      </c>
      <c r="X175" s="97"/>
      <c r="Y175" s="97">
        <f>$H175</f>
        <v>346250.03509303066</v>
      </c>
      <c r="AA175" s="97"/>
      <c r="AB175" s="97">
        <f>$F175</f>
        <v>255497.21705810018</v>
      </c>
      <c r="AC175" s="97"/>
      <c r="AD175" s="97">
        <f>$H175</f>
        <v>346250.03509303066</v>
      </c>
      <c r="AE175" s="284">
        <f>AD175/AB175-1</f>
        <v>0.35520080836846546</v>
      </c>
      <c r="AG175" s="97"/>
      <c r="AH175" s="97">
        <f>$F175</f>
        <v>255497.21705810018</v>
      </c>
      <c r="AI175" s="97"/>
      <c r="AJ175" s="97">
        <f>$H175</f>
        <v>346250.03509303066</v>
      </c>
    </row>
    <row r="176" spans="2:37" x14ac:dyDescent="0.3">
      <c r="C176" s="36" t="s">
        <v>134</v>
      </c>
      <c r="E176" s="97"/>
      <c r="F176" s="97">
        <f>SUM('Quarterly I.S IFRS17'!F176:G176)</f>
        <v>27813</v>
      </c>
      <c r="G176" s="97"/>
      <c r="H176" s="97">
        <f>SUM('Quarterly I.S IFRS17'!J176:K176)</f>
        <v>57623</v>
      </c>
      <c r="I176" s="190">
        <f t="shared" si="25"/>
        <v>1.071800956387301</v>
      </c>
      <c r="K176" s="97"/>
      <c r="L176" s="97">
        <f>$F176</f>
        <v>27813</v>
      </c>
      <c r="M176" s="97"/>
      <c r="N176" s="97">
        <f>$H176</f>
        <v>57623</v>
      </c>
      <c r="O176" s="190">
        <f>N176/L176-1</f>
        <v>1.071800956387301</v>
      </c>
      <c r="Q176" s="97"/>
      <c r="R176" s="97">
        <f>$F176</f>
        <v>27813</v>
      </c>
      <c r="S176" s="97"/>
      <c r="T176" s="97">
        <f>$H176</f>
        <v>57623</v>
      </c>
      <c r="V176" s="97"/>
      <c r="W176" s="97">
        <f>$F176</f>
        <v>27813</v>
      </c>
      <c r="X176" s="97"/>
      <c r="Y176" s="97">
        <f>$H176</f>
        <v>57623</v>
      </c>
      <c r="AA176" s="97"/>
      <c r="AB176" s="97">
        <f>$F176</f>
        <v>27813</v>
      </c>
      <c r="AC176" s="97"/>
      <c r="AD176" s="97">
        <f>$H176</f>
        <v>57623</v>
      </c>
      <c r="AE176" s="284">
        <f>AD176/AB176-1</f>
        <v>1.071800956387301</v>
      </c>
      <c r="AG176" s="97"/>
      <c r="AH176" s="97">
        <f>$F176</f>
        <v>27813</v>
      </c>
      <c r="AI176" s="97"/>
      <c r="AJ176" s="97">
        <f>$H176</f>
        <v>57623</v>
      </c>
    </row>
    <row r="177" spans="2:37" x14ac:dyDescent="0.3">
      <c r="C177" s="65"/>
      <c r="D177" s="77"/>
      <c r="E177" s="62"/>
      <c r="F177" s="62"/>
      <c r="G177" s="62"/>
      <c r="H177" s="62"/>
      <c r="I177" s="131"/>
      <c r="K177" s="62"/>
      <c r="L177" s="62"/>
      <c r="M177" s="62"/>
      <c r="N177" s="62"/>
      <c r="O177" s="131"/>
      <c r="Q177" s="62"/>
      <c r="R177" s="62"/>
      <c r="S177" s="62"/>
      <c r="T177" s="62"/>
      <c r="V177" s="62"/>
      <c r="W177" s="62"/>
      <c r="X177" s="62"/>
      <c r="Y177" s="62"/>
      <c r="AA177" s="62"/>
      <c r="AB177" s="62"/>
      <c r="AC177" s="62"/>
      <c r="AD177" s="62"/>
      <c r="AE177" s="143"/>
      <c r="AG177" s="62"/>
      <c r="AH177" s="62"/>
      <c r="AI177" s="62"/>
      <c r="AJ177" s="62"/>
    </row>
    <row r="178" spans="2:37" s="82" customFormat="1" x14ac:dyDescent="0.3">
      <c r="B178" s="81"/>
      <c r="C178" s="30" t="s">
        <v>96</v>
      </c>
      <c r="D178" s="30"/>
      <c r="E178" s="30"/>
      <c r="F178" s="30"/>
      <c r="G178" s="30"/>
      <c r="H178" s="30"/>
      <c r="I178" s="185"/>
      <c r="K178" s="30"/>
      <c r="L178" s="30"/>
      <c r="M178" s="30"/>
      <c r="N178" s="30"/>
      <c r="O178" s="185"/>
      <c r="P178" s="110"/>
      <c r="Q178" s="30"/>
      <c r="R178" s="30"/>
      <c r="S178" s="30"/>
      <c r="T178" s="30"/>
      <c r="U178" s="110"/>
      <c r="V178" s="30"/>
      <c r="W178" s="30"/>
      <c r="X178" s="30"/>
      <c r="Y178" s="30"/>
      <c r="Z178" s="110"/>
      <c r="AA178" s="30"/>
      <c r="AB178" s="30"/>
      <c r="AC178" s="30"/>
      <c r="AD178" s="30"/>
      <c r="AE178" s="279"/>
      <c r="AF178" s="110"/>
      <c r="AG178" s="30"/>
      <c r="AH178" s="30"/>
      <c r="AI178" s="30"/>
      <c r="AJ178" s="30"/>
      <c r="AK178" s="110"/>
    </row>
    <row r="179" spans="2:37" x14ac:dyDescent="0.3">
      <c r="C179" s="36" t="s">
        <v>15</v>
      </c>
      <c r="E179" s="42"/>
      <c r="F179" s="42">
        <f>F21</f>
        <v>92722.167539999966</v>
      </c>
      <c r="G179" s="42"/>
      <c r="H179" s="42">
        <f>H21</f>
        <v>91150.236887779072</v>
      </c>
      <c r="I179" s="197"/>
      <c r="K179" s="42"/>
      <c r="L179" s="42">
        <f>L21</f>
        <v>85088.980469999966</v>
      </c>
      <c r="M179" s="42"/>
      <c r="N179" s="42">
        <f>N21</f>
        <v>85709.820877779071</v>
      </c>
      <c r="O179" s="197"/>
      <c r="Q179" s="42"/>
      <c r="R179" s="42">
        <f>R21</f>
        <v>0</v>
      </c>
      <c r="S179" s="42"/>
      <c r="T179" s="42">
        <f>T21</f>
        <v>0</v>
      </c>
      <c r="V179" s="42"/>
      <c r="W179" s="42">
        <f>W21</f>
        <v>0</v>
      </c>
      <c r="X179" s="42"/>
      <c r="Y179" s="42">
        <f>Y21</f>
        <v>0</v>
      </c>
      <c r="AA179" s="42"/>
      <c r="AB179" s="42">
        <f>AB21</f>
        <v>0</v>
      </c>
      <c r="AC179" s="42"/>
      <c r="AD179" s="42">
        <f>AD21</f>
        <v>0</v>
      </c>
      <c r="AG179" s="42"/>
      <c r="AH179" s="42">
        <f>AH21</f>
        <v>7633.187069999999</v>
      </c>
      <c r="AI179" s="42"/>
      <c r="AJ179" s="42">
        <f>AJ21</f>
        <v>5440.416009999999</v>
      </c>
    </row>
    <row r="180" spans="2:37" x14ac:dyDescent="0.3">
      <c r="C180" s="36" t="s">
        <v>97</v>
      </c>
      <c r="E180" s="140"/>
      <c r="F180" s="140">
        <f>SUM('Quarterly I.S IFRS17'!F180:G180)</f>
        <v>10364</v>
      </c>
      <c r="G180" s="140"/>
      <c r="H180" s="140">
        <f>SUM('Quarterly I.S IFRS17'!J180:K180)</f>
        <v>0</v>
      </c>
      <c r="I180" s="198"/>
      <c r="K180" s="140"/>
      <c r="L180" s="140">
        <f>$F180</f>
        <v>10364</v>
      </c>
      <c r="M180" s="140"/>
      <c r="N180" s="140">
        <f>$H180</f>
        <v>0</v>
      </c>
      <c r="O180" s="198"/>
      <c r="Q180" s="140"/>
      <c r="R180" s="140">
        <f>$F180</f>
        <v>10364</v>
      </c>
      <c r="S180" s="140"/>
      <c r="T180" s="140">
        <f>$H180</f>
        <v>0</v>
      </c>
      <c r="V180" s="140"/>
      <c r="W180" s="140">
        <f>$F180</f>
        <v>10364</v>
      </c>
      <c r="X180" s="140"/>
      <c r="Y180" s="140">
        <f>$H180</f>
        <v>0</v>
      </c>
      <c r="AA180" s="140"/>
      <c r="AB180" s="140">
        <f>$F180</f>
        <v>10364</v>
      </c>
      <c r="AC180" s="140"/>
      <c r="AD180" s="140">
        <f>$H180</f>
        <v>0</v>
      </c>
      <c r="AE180" s="291"/>
      <c r="AG180" s="140"/>
      <c r="AH180" s="140">
        <f>$F180</f>
        <v>10364</v>
      </c>
      <c r="AI180" s="140"/>
      <c r="AJ180" s="140">
        <f>$H180</f>
        <v>0</v>
      </c>
    </row>
    <row r="181" spans="2:37" x14ac:dyDescent="0.3">
      <c r="C181" s="36" t="s">
        <v>98</v>
      </c>
      <c r="E181" s="57"/>
      <c r="F181" s="57">
        <f>F179-F180</f>
        <v>82358.167539999966</v>
      </c>
      <c r="G181" s="57"/>
      <c r="H181" s="57">
        <f>H179-H180</f>
        <v>91150.236887779072</v>
      </c>
      <c r="I181" s="199"/>
      <c r="K181" s="57"/>
      <c r="L181" s="57">
        <f>L179-L180</f>
        <v>74724.980469999966</v>
      </c>
      <c r="M181" s="57"/>
      <c r="N181" s="57">
        <f>N179-N180</f>
        <v>85709.820877779071</v>
      </c>
      <c r="O181" s="199"/>
      <c r="Q181" s="57"/>
      <c r="R181" s="57">
        <f>R179-R180</f>
        <v>-10364</v>
      </c>
      <c r="S181" s="57"/>
      <c r="T181" s="57">
        <f>T179-T180</f>
        <v>0</v>
      </c>
      <c r="V181" s="57"/>
      <c r="W181" s="57">
        <f>W179-W180</f>
        <v>-10364</v>
      </c>
      <c r="X181" s="57"/>
      <c r="Y181" s="57">
        <f>Y179-Y180</f>
        <v>0</v>
      </c>
      <c r="AA181" s="57"/>
      <c r="AB181" s="57">
        <f>AB179-AB180</f>
        <v>-10364</v>
      </c>
      <c r="AC181" s="57"/>
      <c r="AD181" s="57">
        <f>AD179-AD180</f>
        <v>0</v>
      </c>
      <c r="AE181" s="269"/>
      <c r="AG181" s="57"/>
      <c r="AH181" s="57">
        <f>AH179-AH180</f>
        <v>-2730.812930000001</v>
      </c>
      <c r="AI181" s="57"/>
      <c r="AJ181" s="57">
        <f>AJ179-AJ180</f>
        <v>5440.416009999999</v>
      </c>
    </row>
    <row r="182" spans="2:37" x14ac:dyDescent="0.3">
      <c r="I182" s="197"/>
      <c r="O182" s="197"/>
    </row>
    <row r="183" spans="2:37" x14ac:dyDescent="0.3">
      <c r="C183" s="36" t="s">
        <v>128</v>
      </c>
      <c r="E183" s="42"/>
      <c r="F183" s="42">
        <f>F24</f>
        <v>-58832.21942999999</v>
      </c>
      <c r="G183" s="42"/>
      <c r="H183" s="42">
        <f>H24</f>
        <v>-41103.84960999999</v>
      </c>
      <c r="I183" s="197"/>
      <c r="K183" s="42"/>
      <c r="L183" s="42">
        <f>L24</f>
        <v>-58832.21942999999</v>
      </c>
      <c r="M183" s="42"/>
      <c r="N183" s="42">
        <f>N24</f>
        <v>-41103.84960999999</v>
      </c>
      <c r="O183" s="197"/>
      <c r="Q183" s="42"/>
      <c r="R183" s="42">
        <f>R24</f>
        <v>0</v>
      </c>
      <c r="S183" s="42"/>
      <c r="T183" s="42">
        <f>T24</f>
        <v>0</v>
      </c>
      <c r="V183" s="42"/>
      <c r="W183" s="42">
        <f>W24</f>
        <v>0</v>
      </c>
      <c r="X183" s="42"/>
      <c r="Y183" s="42">
        <f>Y24</f>
        <v>0</v>
      </c>
      <c r="AA183" s="42"/>
      <c r="AB183" s="42">
        <f>AB24</f>
        <v>0</v>
      </c>
      <c r="AC183" s="42"/>
      <c r="AD183" s="42">
        <f>AD24</f>
        <v>0</v>
      </c>
      <c r="AG183" s="42"/>
      <c r="AH183" s="42">
        <f>AH24</f>
        <v>0</v>
      </c>
      <c r="AI183" s="42"/>
      <c r="AJ183" s="42">
        <f>AJ24</f>
        <v>0</v>
      </c>
    </row>
    <row r="184" spans="2:37" x14ac:dyDescent="0.3">
      <c r="C184" s="36" t="s">
        <v>97</v>
      </c>
      <c r="E184" s="140"/>
      <c r="F184" s="140">
        <f>SUM('Quarterly I.S IFRS17'!F184:G184)</f>
        <v>-5419.9802099999997</v>
      </c>
      <c r="G184" s="140"/>
      <c r="H184" s="140">
        <f>SUM('Quarterly I.S IFRS17'!J184:K184)</f>
        <v>-3131.67229</v>
      </c>
      <c r="I184" s="198"/>
      <c r="K184" s="140"/>
      <c r="L184" s="140">
        <f>$F184</f>
        <v>-5419.9802099999997</v>
      </c>
      <c r="M184" s="140"/>
      <c r="N184" s="140">
        <f>$H184</f>
        <v>-3131.67229</v>
      </c>
      <c r="O184" s="198"/>
      <c r="Q184" s="140"/>
      <c r="R184" s="140">
        <f>$F184</f>
        <v>-5419.9802099999997</v>
      </c>
      <c r="S184" s="140"/>
      <c r="T184" s="140">
        <f>$H184</f>
        <v>-3131.67229</v>
      </c>
      <c r="V184" s="140"/>
      <c r="W184" s="140">
        <f>$F184</f>
        <v>-5419.9802099999997</v>
      </c>
      <c r="X184" s="140"/>
      <c r="Y184" s="140">
        <f>$H184</f>
        <v>-3131.67229</v>
      </c>
      <c r="AA184" s="140"/>
      <c r="AB184" s="140">
        <f>$F184</f>
        <v>-5419.9802099999997</v>
      </c>
      <c r="AC184" s="140"/>
      <c r="AD184" s="140">
        <f>$H184</f>
        <v>-3131.67229</v>
      </c>
      <c r="AE184" s="291"/>
      <c r="AG184" s="140"/>
      <c r="AH184" s="140">
        <f>$F184</f>
        <v>-5419.9802099999997</v>
      </c>
      <c r="AI184" s="140"/>
      <c r="AJ184" s="140">
        <f>$H184</f>
        <v>-3131.67229</v>
      </c>
    </row>
    <row r="185" spans="2:37" x14ac:dyDescent="0.3">
      <c r="C185" s="36" t="s">
        <v>98</v>
      </c>
      <c r="E185" s="57"/>
      <c r="F185" s="57">
        <f>F183-F184</f>
        <v>-53412.239219999989</v>
      </c>
      <c r="G185" s="57"/>
      <c r="H185" s="57">
        <f>H183-H184</f>
        <v>-37972.177319999988</v>
      </c>
      <c r="I185" s="176"/>
      <c r="K185" s="57"/>
      <c r="L185" s="57">
        <f>L183-L184</f>
        <v>-53412.239219999989</v>
      </c>
      <c r="M185" s="57"/>
      <c r="N185" s="57">
        <f>N183-N184</f>
        <v>-37972.177319999988</v>
      </c>
      <c r="O185" s="176"/>
      <c r="Q185" s="57"/>
      <c r="R185" s="57">
        <f>R183-R184</f>
        <v>5419.9802099999997</v>
      </c>
      <c r="S185" s="57"/>
      <c r="T185" s="57">
        <f>T183-T184</f>
        <v>3131.67229</v>
      </c>
      <c r="V185" s="57"/>
      <c r="W185" s="57">
        <f>W183-W184</f>
        <v>5419.9802099999997</v>
      </c>
      <c r="X185" s="57"/>
      <c r="Y185" s="57">
        <f>Y183-Y184</f>
        <v>3131.67229</v>
      </c>
      <c r="AA185" s="57"/>
      <c r="AB185" s="57">
        <f>AB183-AB184</f>
        <v>5419.9802099999997</v>
      </c>
      <c r="AC185" s="57"/>
      <c r="AD185" s="57">
        <f>AD183-AD184</f>
        <v>3131.67229</v>
      </c>
      <c r="AE185" s="269"/>
      <c r="AG185" s="57"/>
      <c r="AH185" s="57">
        <f>AH183-AH184</f>
        <v>5419.9802099999997</v>
      </c>
      <c r="AI185" s="57"/>
      <c r="AJ185" s="57">
        <f>AJ183-AJ184</f>
        <v>3131.67229</v>
      </c>
    </row>
  </sheetData>
  <pageMargins left="0.7" right="0.7" top="1.3149999999999999" bottom="0.75" header="0.3" footer="0.3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71543-04D2-4E88-8B0A-3C33E61A43EA}">
  <sheetPr>
    <tabColor theme="5"/>
  </sheetPr>
  <dimension ref="A2:AK185"/>
  <sheetViews>
    <sheetView showGridLines="0" zoomScale="111" zoomScaleNormal="115" workbookViewId="0">
      <pane xSplit="3" ySplit="3" topLeftCell="D71" activePane="bottomRight" state="frozen"/>
      <selection activeCell="G5" sqref="G5"/>
      <selection pane="topRight" activeCell="G5" sqref="G5"/>
      <selection pane="bottomLeft" activeCell="G5" sqref="G5"/>
      <selection pane="bottomRight" activeCell="H88" sqref="H88"/>
    </sheetView>
  </sheetViews>
  <sheetFormatPr defaultColWidth="8.81640625" defaultRowHeight="13" x14ac:dyDescent="0.3"/>
  <cols>
    <col min="1" max="1" width="1.453125" style="36" customWidth="1"/>
    <col min="2" max="2" width="4.1796875" style="36" bestFit="1" customWidth="1"/>
    <col min="3" max="3" width="38.54296875" style="36" bestFit="1" customWidth="1"/>
    <col min="4" max="4" width="6.81640625" style="110" bestFit="1" customWidth="1"/>
    <col min="5" max="8" width="13.81640625" style="36" bestFit="1" customWidth="1"/>
    <col min="9" max="9" width="13.81640625" style="132" bestFit="1" customWidth="1"/>
    <col min="10" max="10" width="5" style="36" bestFit="1" customWidth="1"/>
    <col min="11" max="14" width="11.26953125" style="36" bestFit="1" customWidth="1"/>
    <col min="15" max="15" width="13.81640625" style="132" bestFit="1" customWidth="1"/>
    <col min="16" max="16" width="8" style="36" bestFit="1" customWidth="1"/>
    <col min="17" max="17" width="10.7265625" style="36" bestFit="1" customWidth="1"/>
    <col min="18" max="20" width="11.26953125" style="36" bestFit="1" customWidth="1"/>
    <col min="21" max="21" width="3.26953125" style="36" customWidth="1"/>
    <col min="22" max="22" width="10.7265625" style="36" bestFit="1" customWidth="1"/>
    <col min="23" max="25" width="11.26953125" style="36" bestFit="1" customWidth="1"/>
    <col min="26" max="26" width="1.26953125" style="36" customWidth="1"/>
    <col min="27" max="27" width="10.7265625" style="36" bestFit="1" customWidth="1"/>
    <col min="28" max="30" width="11.26953125" style="36" bestFit="1" customWidth="1"/>
    <col min="31" max="31" width="11.26953125" style="36" customWidth="1"/>
    <col min="32" max="32" width="13.81640625" style="132" bestFit="1" customWidth="1"/>
    <col min="33" max="33" width="5.54296875" style="36" bestFit="1" customWidth="1"/>
    <col min="34" max="34" width="10.7265625" style="36" bestFit="1" customWidth="1"/>
    <col min="35" max="37" width="11.26953125" style="36" bestFit="1" customWidth="1"/>
    <col min="38" max="16384" width="8.81640625" style="36"/>
  </cols>
  <sheetData>
    <row r="2" spans="2:37" s="32" customFormat="1" ht="14.5" customHeight="1" x14ac:dyDescent="0.3">
      <c r="B2" s="139"/>
      <c r="C2" s="30" t="s">
        <v>73</v>
      </c>
      <c r="D2" s="30"/>
      <c r="E2" s="136"/>
      <c r="F2" s="136"/>
      <c r="G2" s="136"/>
      <c r="H2" s="136"/>
      <c r="I2" s="167"/>
      <c r="K2" s="31" t="s">
        <v>75</v>
      </c>
      <c r="L2" s="31"/>
      <c r="M2" s="31"/>
      <c r="N2" s="31"/>
      <c r="O2" s="167"/>
      <c r="Q2" s="31" t="s">
        <v>69</v>
      </c>
      <c r="R2" s="31"/>
      <c r="S2" s="31"/>
      <c r="T2" s="31"/>
      <c r="V2" s="31" t="s">
        <v>70</v>
      </c>
      <c r="W2" s="31"/>
      <c r="X2" s="31"/>
      <c r="Y2" s="31"/>
      <c r="AA2" s="31" t="s">
        <v>76</v>
      </c>
      <c r="AB2" s="31"/>
      <c r="AC2" s="31"/>
      <c r="AD2" s="31"/>
      <c r="AE2" s="31"/>
      <c r="AF2" s="167"/>
      <c r="AH2" s="31" t="s">
        <v>77</v>
      </c>
      <c r="AI2" s="31"/>
      <c r="AJ2" s="31"/>
      <c r="AK2" s="31"/>
    </row>
    <row r="3" spans="2:37" s="35" customFormat="1" x14ac:dyDescent="0.3">
      <c r="B3" s="33"/>
      <c r="C3" s="34"/>
      <c r="D3" s="129" t="s">
        <v>148</v>
      </c>
      <c r="E3" s="34" t="s">
        <v>206</v>
      </c>
      <c r="F3" s="34" t="s">
        <v>222</v>
      </c>
      <c r="G3" s="34" t="s">
        <v>226</v>
      </c>
      <c r="H3" s="34" t="s">
        <v>250</v>
      </c>
      <c r="I3" s="168" t="s">
        <v>181</v>
      </c>
      <c r="K3" s="34" t="str">
        <f>E3</f>
        <v>Q4-2023</v>
      </c>
      <c r="L3" s="34" t="str">
        <f>F3</f>
        <v>9M-2024</v>
      </c>
      <c r="M3" s="34" t="str">
        <f>G3</f>
        <v>Q4-2024</v>
      </c>
      <c r="N3" s="34" t="str">
        <f>H3</f>
        <v>9M-2025</v>
      </c>
      <c r="O3" s="168" t="s">
        <v>181</v>
      </c>
      <c r="Q3" s="34" t="str">
        <f>E3</f>
        <v>Q4-2023</v>
      </c>
      <c r="R3" s="34" t="str">
        <f>F3</f>
        <v>9M-2024</v>
      </c>
      <c r="S3" s="34" t="str">
        <f>G3</f>
        <v>Q4-2024</v>
      </c>
      <c r="T3" s="34" t="str">
        <f>H3</f>
        <v>9M-2025</v>
      </c>
      <c r="V3" s="34" t="str">
        <f>E3</f>
        <v>Q4-2023</v>
      </c>
      <c r="W3" s="34" t="str">
        <f>F3</f>
        <v>9M-2024</v>
      </c>
      <c r="X3" s="34" t="str">
        <f>G3</f>
        <v>Q4-2024</v>
      </c>
      <c r="Y3" s="34" t="str">
        <f>H3</f>
        <v>9M-2025</v>
      </c>
      <c r="AA3" s="34" t="str">
        <f>E3</f>
        <v>Q4-2023</v>
      </c>
      <c r="AB3" s="34" t="str">
        <f>F3</f>
        <v>9M-2024</v>
      </c>
      <c r="AC3" s="34" t="str">
        <f>G3</f>
        <v>Q4-2024</v>
      </c>
      <c r="AD3" s="34" t="str">
        <f>H3</f>
        <v>9M-2025</v>
      </c>
      <c r="AE3" s="34"/>
      <c r="AF3" s="168" t="s">
        <v>181</v>
      </c>
      <c r="AH3" s="34" t="str">
        <f>E3</f>
        <v>Q4-2023</v>
      </c>
      <c r="AI3" s="34" t="str">
        <f>F3</f>
        <v>9M-2024</v>
      </c>
      <c r="AJ3" s="34" t="str">
        <f>G3</f>
        <v>Q4-2024</v>
      </c>
      <c r="AK3" s="34" t="str">
        <f>H3</f>
        <v>9M-2025</v>
      </c>
    </row>
    <row r="4" spans="2:37" x14ac:dyDescent="0.3">
      <c r="C4" s="37" t="s">
        <v>74</v>
      </c>
      <c r="D4" s="107"/>
      <c r="AA4" s="38"/>
    </row>
    <row r="5" spans="2:37" x14ac:dyDescent="0.3">
      <c r="C5" s="36" t="s">
        <v>85</v>
      </c>
      <c r="D5" s="108">
        <v>17746</v>
      </c>
      <c r="E5" s="38"/>
      <c r="F5" s="38">
        <f>SUM('Quarterly I.S IFRS17'!F5:H5)</f>
        <v>537344.94728999992</v>
      </c>
      <c r="G5" s="38"/>
      <c r="H5" s="38">
        <f>SUM('Quarterly I.S IFRS17'!J5:L5)</f>
        <v>660401.41981000011</v>
      </c>
      <c r="I5" s="132">
        <f>H5/F5-1</f>
        <v>0.22900833652686758</v>
      </c>
      <c r="K5" s="38"/>
      <c r="L5" s="38">
        <f>SUM('Quarterly I.S IFRS17'!Q5:S5)</f>
        <v>537344.94728999992</v>
      </c>
      <c r="M5" s="38"/>
      <c r="N5" s="38">
        <f>SUM('Quarterly I.S IFRS17'!U5:W5)</f>
        <v>660401.41981000011</v>
      </c>
      <c r="O5" s="132">
        <f>N5/L5-1</f>
        <v>0.22900833652686758</v>
      </c>
      <c r="Q5" s="38"/>
      <c r="R5" s="38">
        <f>SUM('Quarterly I.S IFRS17'!AB5:AD5)</f>
        <v>0</v>
      </c>
      <c r="S5" s="38"/>
      <c r="T5" s="38">
        <f>SUM('Quarterly I.S IFRS17'!AF5:AH5)</f>
        <v>0</v>
      </c>
      <c r="V5" s="38"/>
      <c r="W5" s="38">
        <f>SUM('Quarterly I.S IFRS17'!AL5:AN5)</f>
        <v>0</v>
      </c>
      <c r="X5" s="38"/>
      <c r="Y5" s="38">
        <f>SUM('Quarterly I.S IFRS17'!AP5:AR5)</f>
        <v>0</v>
      </c>
      <c r="AA5" s="38"/>
      <c r="AB5" s="38">
        <f>R5+W5</f>
        <v>0</v>
      </c>
      <c r="AC5" s="38"/>
      <c r="AD5" s="38">
        <f>T5+Y5</f>
        <v>0</v>
      </c>
      <c r="AE5" s="38"/>
      <c r="AF5" s="132" t="e">
        <f>AD5/AB5-1</f>
        <v>#DIV/0!</v>
      </c>
      <c r="AH5" s="38"/>
      <c r="AI5" s="38">
        <f>SUM('Quarterly I.S IFRS17'!BG5:BI5)</f>
        <v>0</v>
      </c>
      <c r="AJ5" s="38"/>
      <c r="AK5" s="38">
        <f>SUM('Quarterly I.S IFRS17'!BK5:BM5)</f>
        <v>0</v>
      </c>
    </row>
    <row r="6" spans="2:37" x14ac:dyDescent="0.3">
      <c r="C6" s="39" t="s">
        <v>92</v>
      </c>
      <c r="D6" s="109"/>
      <c r="E6" s="40"/>
      <c r="F6" s="40">
        <f>F5/F$142</f>
        <v>0.13251116924842357</v>
      </c>
      <c r="G6" s="40"/>
      <c r="H6" s="40">
        <f>H5/H$142</f>
        <v>0.1580714981735277</v>
      </c>
      <c r="I6" s="169"/>
      <c r="K6" s="40"/>
      <c r="L6" s="40">
        <f>L5/L$142</f>
        <v>0.13251116924842357</v>
      </c>
      <c r="M6" s="40"/>
      <c r="N6" s="40">
        <f>N5/N$142</f>
        <v>0.1580714981735277</v>
      </c>
      <c r="O6" s="169"/>
      <c r="Q6" s="40"/>
      <c r="R6" s="40"/>
      <c r="S6" s="40"/>
      <c r="T6" s="40"/>
      <c r="V6" s="40"/>
      <c r="W6" s="40"/>
      <c r="X6" s="40"/>
      <c r="Y6" s="40"/>
      <c r="AA6" s="40"/>
      <c r="AB6" s="40"/>
      <c r="AC6" s="40"/>
      <c r="AD6" s="40"/>
      <c r="AE6" s="40"/>
      <c r="AF6" s="169"/>
      <c r="AH6" s="40"/>
      <c r="AI6" s="40">
        <f>AI5/AI$142</f>
        <v>0</v>
      </c>
      <c r="AJ6" s="40"/>
      <c r="AK6" s="40">
        <f>AK5/AK$142</f>
        <v>0</v>
      </c>
    </row>
    <row r="7" spans="2:37" x14ac:dyDescent="0.3">
      <c r="C7" s="36" t="s">
        <v>19</v>
      </c>
      <c r="D7" s="110">
        <v>9</v>
      </c>
      <c r="E7" s="38"/>
      <c r="F7" s="38">
        <f>SUM('Quarterly I.S IFRS17'!F7:H7)</f>
        <v>287130.33263037994</v>
      </c>
      <c r="G7" s="38"/>
      <c r="H7" s="38">
        <f>SUM('Quarterly I.S IFRS17'!J7:L7)</f>
        <v>255852.02293317998</v>
      </c>
      <c r="I7" s="132">
        <f>H7/F7-1</f>
        <v>-0.10893418821571954</v>
      </c>
      <c r="K7" s="38"/>
      <c r="L7" s="38">
        <f>SUM('Quarterly I.S IFRS17'!Q7:S7)</f>
        <v>287130.33263037994</v>
      </c>
      <c r="M7" s="38"/>
      <c r="N7" s="38">
        <f>SUM('Quarterly I.S IFRS17'!U7:W7)</f>
        <v>255852.02293317998</v>
      </c>
      <c r="O7" s="132">
        <f>N7/L7-1</f>
        <v>-0.10893418821571954</v>
      </c>
      <c r="Q7" s="38"/>
      <c r="R7" s="38">
        <f>SUM('Quarterly I.S IFRS17'!AB7:AD7)</f>
        <v>0</v>
      </c>
      <c r="S7" s="38"/>
      <c r="T7" s="38">
        <f>SUM('Quarterly I.S IFRS17'!AF7:AH7)</f>
        <v>0</v>
      </c>
      <c r="V7" s="38"/>
      <c r="W7" s="38">
        <f>SUM('Quarterly I.S IFRS17'!AL7:AN7)</f>
        <v>0</v>
      </c>
      <c r="X7" s="38"/>
      <c r="Y7" s="38">
        <f>SUM('Quarterly I.S IFRS17'!AP7:AR7)</f>
        <v>0</v>
      </c>
      <c r="AA7" s="38"/>
      <c r="AB7" s="38">
        <f>R7+W7</f>
        <v>0</v>
      </c>
      <c r="AC7" s="38"/>
      <c r="AD7" s="38">
        <f>T7+Y7</f>
        <v>0</v>
      </c>
      <c r="AE7" s="38"/>
      <c r="AF7" s="132" t="e">
        <f>AD7/AB7-1</f>
        <v>#DIV/0!</v>
      </c>
      <c r="AH7" s="38"/>
      <c r="AI7" s="38">
        <f>SUM('Quarterly I.S IFRS17'!BG7:BI7)</f>
        <v>0</v>
      </c>
      <c r="AJ7" s="38"/>
      <c r="AK7" s="38">
        <f>SUM('Quarterly I.S IFRS17'!BK7:BM7)</f>
        <v>0</v>
      </c>
    </row>
    <row r="8" spans="2:37" x14ac:dyDescent="0.3">
      <c r="C8" s="39" t="s">
        <v>57</v>
      </c>
      <c r="D8" s="109"/>
      <c r="E8" s="40"/>
      <c r="F8" s="40">
        <f>F7/AVERAGE(E118:F118)*12/9</f>
        <v>3.097150466524029E-2</v>
      </c>
      <c r="G8" s="40"/>
      <c r="H8" s="40">
        <f>H7/AVERAGE(G118:H118)*12/9</f>
        <v>2.8529323498008661E-2</v>
      </c>
      <c r="I8" s="169"/>
      <c r="K8" s="40"/>
      <c r="L8" s="40">
        <f>L7/AVERAGE(K118:L118)*12/9</f>
        <v>3.097150466524029E-2</v>
      </c>
      <c r="M8" s="40"/>
      <c r="N8" s="40">
        <f>N7/AVERAGE(M118:N118)*12/9</f>
        <v>2.8529323498008661E-2</v>
      </c>
      <c r="O8" s="169"/>
      <c r="Q8" s="40"/>
      <c r="R8" s="40"/>
      <c r="S8" s="40"/>
      <c r="T8" s="40"/>
      <c r="V8" s="40"/>
      <c r="W8" s="40"/>
      <c r="X8" s="40"/>
      <c r="Y8" s="40"/>
      <c r="AA8" s="40"/>
      <c r="AB8" s="40"/>
      <c r="AC8" s="40"/>
      <c r="AD8" s="40"/>
      <c r="AE8" s="40"/>
      <c r="AF8" s="169"/>
      <c r="AH8" s="40"/>
      <c r="AI8" s="40"/>
      <c r="AJ8" s="40"/>
      <c r="AK8" s="40"/>
    </row>
    <row r="9" spans="2:37" x14ac:dyDescent="0.3">
      <c r="C9" s="36" t="s">
        <v>86</v>
      </c>
      <c r="D9" s="110">
        <v>10</v>
      </c>
      <c r="E9" s="38"/>
      <c r="F9" s="38">
        <f>SUM('Quarterly I.S IFRS17'!F9:H9)</f>
        <v>12184.644499999993</v>
      </c>
      <c r="G9" s="38"/>
      <c r="H9" s="38">
        <f>SUM('Quarterly I.S IFRS17'!J9:L9)</f>
        <v>8687.5299500000001</v>
      </c>
      <c r="I9" s="132">
        <f>H9/F9-1</f>
        <v>-0.28700997800961647</v>
      </c>
      <c r="K9" s="38"/>
      <c r="L9" s="38">
        <f>SUM('Quarterly I.S IFRS17'!Q9:S9)</f>
        <v>12184.644499999993</v>
      </c>
      <c r="M9" s="38"/>
      <c r="N9" s="38">
        <f>SUM('Quarterly I.S IFRS17'!U9:W9)</f>
        <v>8687.5299500000001</v>
      </c>
      <c r="O9" s="132">
        <f>N9/L9-1</f>
        <v>-0.28700997800961647</v>
      </c>
      <c r="Q9" s="38"/>
      <c r="R9" s="38">
        <f>SUM('Quarterly I.S IFRS17'!AB9:AD9)</f>
        <v>0</v>
      </c>
      <c r="S9" s="38"/>
      <c r="T9" s="38">
        <f>SUM('Quarterly I.S IFRS17'!AF9:AH9)</f>
        <v>0</v>
      </c>
      <c r="V9" s="38"/>
      <c r="W9" s="38">
        <f>SUM('Quarterly I.S IFRS17'!AL9:AN9)</f>
        <v>0</v>
      </c>
      <c r="X9" s="38"/>
      <c r="Y9" s="38">
        <f>SUM('Quarterly I.S IFRS17'!AP9:AR9)</f>
        <v>0</v>
      </c>
      <c r="AA9" s="38"/>
      <c r="AB9" s="38">
        <f>R9+W9</f>
        <v>0</v>
      </c>
      <c r="AC9" s="38"/>
      <c r="AD9" s="38">
        <f>T9+Y9</f>
        <v>0</v>
      </c>
      <c r="AE9" s="38"/>
      <c r="AF9" s="132" t="e">
        <f>AD9/AB9-1</f>
        <v>#DIV/0!</v>
      </c>
      <c r="AH9" s="38"/>
      <c r="AI9" s="38">
        <f>SUM('Quarterly I.S IFRS17'!BG9:BI9)</f>
        <v>0</v>
      </c>
      <c r="AJ9" s="38"/>
      <c r="AK9" s="38">
        <f>SUM('Quarterly I.S IFRS17'!BK9:BM9)</f>
        <v>0</v>
      </c>
    </row>
    <row r="10" spans="2:37" x14ac:dyDescent="0.3">
      <c r="C10" s="36" t="s">
        <v>87</v>
      </c>
      <c r="E10" s="38"/>
      <c r="F10" s="38">
        <f>SUM('Quarterly I.S IFRS17'!F10:H10)</f>
        <v>-201867.06954</v>
      </c>
      <c r="G10" s="38"/>
      <c r="H10" s="38">
        <f>SUM('Quarterly I.S IFRS17'!J10:L10)</f>
        <v>-181898.85476000002</v>
      </c>
      <c r="I10" s="132">
        <f>H10/F10-1</f>
        <v>-9.8917643306073111E-2</v>
      </c>
      <c r="K10" s="38"/>
      <c r="L10" s="38">
        <f>SUM('Quarterly I.S IFRS17'!Q10:S10)</f>
        <v>-201867.06954</v>
      </c>
      <c r="M10" s="38"/>
      <c r="N10" s="38">
        <f>SUM('Quarterly I.S IFRS17'!U10:W10)</f>
        <v>-181898.85476000002</v>
      </c>
      <c r="O10" s="132">
        <f>N10/L10-1</f>
        <v>-9.8917643306073111E-2</v>
      </c>
      <c r="Q10" s="38"/>
      <c r="R10" s="38">
        <f>SUM('Quarterly I.S IFRS17'!AB10:AD10)</f>
        <v>0</v>
      </c>
      <c r="S10" s="38"/>
      <c r="T10" s="38">
        <f>SUM('Quarterly I.S IFRS17'!AF10:AH10)</f>
        <v>0</v>
      </c>
      <c r="V10" s="38"/>
      <c r="W10" s="38">
        <f>SUM('Quarterly I.S IFRS17'!AL10:AN10)</f>
        <v>0</v>
      </c>
      <c r="X10" s="38"/>
      <c r="Y10" s="38">
        <f>SUM('Quarterly I.S IFRS17'!AP10:AR10)</f>
        <v>0</v>
      </c>
      <c r="AA10" s="38"/>
      <c r="AB10" s="38">
        <f>R10+W10</f>
        <v>0</v>
      </c>
      <c r="AC10" s="38"/>
      <c r="AD10" s="38">
        <f>T10+Y10</f>
        <v>0</v>
      </c>
      <c r="AE10" s="38"/>
      <c r="AF10" s="132" t="e">
        <f>AD10/AB10-1</f>
        <v>#DIV/0!</v>
      </c>
      <c r="AH10" s="38"/>
      <c r="AI10" s="38">
        <f>SUM('Quarterly I.S IFRS17'!BG10:BI10)</f>
        <v>0</v>
      </c>
      <c r="AJ10" s="38"/>
      <c r="AK10" s="38">
        <f>SUM('Quarterly I.S IFRS17'!BK10:BM10)</f>
        <v>0</v>
      </c>
    </row>
    <row r="11" spans="2:37" x14ac:dyDescent="0.3">
      <c r="C11" s="43" t="s">
        <v>18</v>
      </c>
      <c r="D11" s="111"/>
      <c r="E11" s="44"/>
      <c r="F11" s="44">
        <f>F5+F7+F9+F10</f>
        <v>634792.85488037975</v>
      </c>
      <c r="G11" s="44"/>
      <c r="H11" s="44">
        <f>H5+H7+H9+H10</f>
        <v>743042.11793318007</v>
      </c>
      <c r="I11" s="170">
        <f>H11/F11-1</f>
        <v>0.17052690845614316</v>
      </c>
      <c r="K11" s="44"/>
      <c r="L11" s="44">
        <f>L5+L7+L9+L10</f>
        <v>634792.85488037975</v>
      </c>
      <c r="M11" s="44"/>
      <c r="N11" s="44">
        <f>N5+N7+N9+N10</f>
        <v>743042.11793318007</v>
      </c>
      <c r="O11" s="170">
        <f>N11/L11-1</f>
        <v>0.17052690845614316</v>
      </c>
      <c r="P11" s="42">
        <f>N11-L11</f>
        <v>108249.26305280032</v>
      </c>
      <c r="Q11" s="44"/>
      <c r="R11" s="44">
        <f>R5+R7+R9+R10</f>
        <v>0</v>
      </c>
      <c r="S11" s="44"/>
      <c r="T11" s="44">
        <f>T5+T7+T9+T10</f>
        <v>0</v>
      </c>
      <c r="V11" s="44"/>
      <c r="W11" s="44">
        <f>W5+W7+W9+W10</f>
        <v>0</v>
      </c>
      <c r="X11" s="44"/>
      <c r="Y11" s="44">
        <f>Y5+Y7+Y9+Y10</f>
        <v>0</v>
      </c>
      <c r="AA11" s="44"/>
      <c r="AB11" s="44">
        <f>AB5+AB7+AB9+AB10</f>
        <v>0</v>
      </c>
      <c r="AC11" s="44"/>
      <c r="AD11" s="44">
        <f>AD5+AD7+AD9+AD10</f>
        <v>0</v>
      </c>
      <c r="AE11" s="44"/>
      <c r="AF11" s="170"/>
      <c r="AH11" s="44"/>
      <c r="AI11" s="44">
        <f>AI5+AI7+AI9+AI10</f>
        <v>0</v>
      </c>
      <c r="AJ11" s="44"/>
      <c r="AK11" s="44">
        <f>AK5+AK7+AK9+AK10</f>
        <v>0</v>
      </c>
    </row>
    <row r="12" spans="2:37" x14ac:dyDescent="0.3">
      <c r="C12" s="39" t="s">
        <v>56</v>
      </c>
      <c r="D12" s="109"/>
      <c r="E12" s="40"/>
      <c r="F12" s="40">
        <f>F11/F$142</f>
        <v>0.15654216877812527</v>
      </c>
      <c r="G12" s="40"/>
      <c r="H12" s="40">
        <f>H11/H$142</f>
        <v>0.17785210216767963</v>
      </c>
      <c r="I12" s="169"/>
      <c r="K12" s="207"/>
      <c r="L12" s="207">
        <f>L11/L$142</f>
        <v>0.15654216877812527</v>
      </c>
      <c r="M12" s="207"/>
      <c r="N12" s="207">
        <f>N11/N$142</f>
        <v>0.17785210216767963</v>
      </c>
      <c r="O12" s="169"/>
      <c r="Q12" s="40"/>
      <c r="R12" s="40"/>
      <c r="S12" s="40"/>
      <c r="T12" s="40"/>
      <c r="V12" s="40"/>
      <c r="W12" s="40"/>
      <c r="X12" s="40"/>
      <c r="Y12" s="40"/>
      <c r="AA12" s="40"/>
      <c r="AB12" s="40"/>
      <c r="AC12" s="40"/>
      <c r="AD12" s="40"/>
      <c r="AE12" s="40"/>
      <c r="AF12" s="169"/>
      <c r="AH12" s="40"/>
      <c r="AI12" s="40">
        <f>AI11/AI$142</f>
        <v>0</v>
      </c>
      <c r="AJ12" s="40"/>
      <c r="AK12" s="40">
        <f>AK11/AK$142</f>
        <v>0</v>
      </c>
    </row>
    <row r="13" spans="2:37" x14ac:dyDescent="0.3">
      <c r="C13" s="37"/>
      <c r="D13" s="107"/>
      <c r="E13" s="37"/>
      <c r="F13" s="37"/>
      <c r="G13" s="37"/>
      <c r="H13" s="37"/>
      <c r="I13" s="171"/>
      <c r="K13" s="37"/>
      <c r="L13" s="37"/>
      <c r="M13" s="37"/>
      <c r="N13" s="37"/>
      <c r="O13" s="171"/>
      <c r="Q13" s="37"/>
      <c r="R13" s="37"/>
      <c r="S13" s="37"/>
      <c r="T13" s="37"/>
      <c r="V13" s="37"/>
      <c r="W13" s="37"/>
      <c r="X13" s="37"/>
      <c r="Y13" s="37"/>
      <c r="AA13" s="37"/>
      <c r="AB13" s="37"/>
      <c r="AC13" s="37"/>
      <c r="AD13" s="37"/>
      <c r="AE13" s="37"/>
      <c r="AF13" s="171"/>
      <c r="AH13" s="37"/>
      <c r="AI13" s="37"/>
      <c r="AJ13" s="37"/>
      <c r="AK13" s="37"/>
    </row>
    <row r="14" spans="2:37" x14ac:dyDescent="0.3">
      <c r="C14" s="36" t="s">
        <v>12</v>
      </c>
      <c r="D14" s="110">
        <v>11</v>
      </c>
      <c r="E14" s="38"/>
      <c r="F14" s="38">
        <f>SUM('Quarterly I.S IFRS17'!F14:H14)</f>
        <v>1630027.4423400001</v>
      </c>
      <c r="G14" s="38"/>
      <c r="H14" s="38">
        <f>SUM('Quarterly I.S IFRS17'!J14:L14)</f>
        <v>2062943.6065100001</v>
      </c>
      <c r="I14" s="132">
        <f>H14/F14-1</f>
        <v>0.26558826736593066</v>
      </c>
      <c r="J14" s="132"/>
      <c r="K14" s="38"/>
      <c r="L14" s="38">
        <f>SUM('Quarterly I.S IFRS17'!Q14:S14)</f>
        <v>1630027.4423400001</v>
      </c>
      <c r="M14" s="38"/>
      <c r="N14" s="38">
        <f>SUM('Quarterly I.S IFRS17'!U14:W14)</f>
        <v>2062943.6065100001</v>
      </c>
      <c r="O14" s="132">
        <f>N14/L14-1</f>
        <v>0.26558826736593066</v>
      </c>
      <c r="Q14" s="38"/>
      <c r="R14" s="38">
        <f>SUM('Quarterly I.S IFRS17'!AB14:AD14)</f>
        <v>0</v>
      </c>
      <c r="S14" s="38"/>
      <c r="T14" s="38">
        <f>SUM('Quarterly I.S IFRS17'!AF14:AH14)</f>
        <v>0</v>
      </c>
      <c r="V14" s="38"/>
      <c r="W14" s="38">
        <f>SUM('Quarterly I.S IFRS17'!AL14:AN14)</f>
        <v>0</v>
      </c>
      <c r="X14" s="38"/>
      <c r="Y14" s="38">
        <f>SUM('Quarterly I.S IFRS17'!AP14:AR14)</f>
        <v>0</v>
      </c>
      <c r="AA14" s="38"/>
      <c r="AB14" s="38">
        <f>R14+W14</f>
        <v>0</v>
      </c>
      <c r="AC14" s="38"/>
      <c r="AD14" s="38">
        <f>T14+Y14</f>
        <v>0</v>
      </c>
      <c r="AE14" s="38"/>
      <c r="AF14" s="132" t="e">
        <f>AD14/AB14-1</f>
        <v>#DIV/0!</v>
      </c>
      <c r="AH14" s="38"/>
      <c r="AI14" s="38">
        <f>SUM('Quarterly I.S IFRS17'!BG14:BI14)</f>
        <v>0</v>
      </c>
      <c r="AJ14" s="38"/>
      <c r="AK14" s="38">
        <f>SUM('Quarterly I.S IFRS17'!BK14:BM14)</f>
        <v>0</v>
      </c>
    </row>
    <row r="15" spans="2:37" x14ac:dyDescent="0.3">
      <c r="C15" s="36" t="s">
        <v>3</v>
      </c>
      <c r="E15" s="38"/>
      <c r="F15" s="38">
        <f>SUM('Quarterly I.S IFRS17'!F15:H15)</f>
        <v>-1036556.6382624388</v>
      </c>
      <c r="G15" s="38"/>
      <c r="H15" s="38">
        <f>SUM('Quarterly I.S IFRS17'!J15:L15)</f>
        <v>-1371794.4437712245</v>
      </c>
      <c r="I15" s="132">
        <f>H15/F15-1</f>
        <v>0.32341484597574777</v>
      </c>
      <c r="J15" s="132"/>
      <c r="K15" s="38"/>
      <c r="L15" s="38">
        <f>SUM('Quarterly I.S IFRS17'!Q15:S15)</f>
        <v>-1036508.1425324387</v>
      </c>
      <c r="M15" s="38"/>
      <c r="N15" s="38">
        <f>SUM('Quarterly I.S IFRS17'!U15:W15)</f>
        <v>-1371709.5246712244</v>
      </c>
      <c r="O15" s="132">
        <f>N15/L15-1</f>
        <v>0.32339483732352359</v>
      </c>
      <c r="Q15" s="38"/>
      <c r="R15" s="38">
        <f>SUM('Quarterly I.S IFRS17'!AB15:AD15)</f>
        <v>0</v>
      </c>
      <c r="S15" s="38"/>
      <c r="T15" s="38">
        <f>SUM('Quarterly I.S IFRS17'!AF15:AH15)</f>
        <v>0</v>
      </c>
      <c r="V15" s="38"/>
      <c r="W15" s="38">
        <f>SUM('Quarterly I.S IFRS17'!AL15:AN15)</f>
        <v>0</v>
      </c>
      <c r="X15" s="38"/>
      <c r="Y15" s="38">
        <f>SUM('Quarterly I.S IFRS17'!AP15:AR15)</f>
        <v>0</v>
      </c>
      <c r="AA15" s="38"/>
      <c r="AB15" s="38">
        <f>R15+W15</f>
        <v>0</v>
      </c>
      <c r="AC15" s="38"/>
      <c r="AD15" s="38">
        <f>T15+Y15</f>
        <v>0</v>
      </c>
      <c r="AE15" s="38"/>
      <c r="AF15" s="132" t="e">
        <f>AD15/AB15-1</f>
        <v>#DIV/0!</v>
      </c>
      <c r="AH15" s="38"/>
      <c r="AI15" s="38">
        <f>SUM('Quarterly I.S IFRS17'!BG15:BI15)</f>
        <v>-48.495729999999995</v>
      </c>
      <c r="AJ15" s="38"/>
      <c r="AK15" s="38">
        <f>SUM('Quarterly I.S IFRS17'!BK15:BM15)</f>
        <v>-84.9191</v>
      </c>
    </row>
    <row r="16" spans="2:37" x14ac:dyDescent="0.3">
      <c r="C16" s="36" t="s">
        <v>88</v>
      </c>
      <c r="E16" s="38"/>
      <c r="F16" s="38">
        <f>SUM('Quarterly I.S IFRS17'!F16:H16)</f>
        <v>87036.80604840233</v>
      </c>
      <c r="G16" s="38"/>
      <c r="H16" s="38">
        <f>SUM('Quarterly I.S IFRS17'!J16:L16)</f>
        <v>120256.59699583522</v>
      </c>
      <c r="I16" s="132">
        <f>H16/F16-1</f>
        <v>0.38167520679652389</v>
      </c>
      <c r="J16" s="132"/>
      <c r="K16" s="38"/>
      <c r="L16" s="38">
        <f>SUM('Quarterly I.S IFRS17'!Q16:S16)</f>
        <v>85440.786788402329</v>
      </c>
      <c r="M16" s="38"/>
      <c r="N16" s="38">
        <f>SUM('Quarterly I.S IFRS17'!U16:W16)</f>
        <v>115688.95944583524</v>
      </c>
      <c r="O16" s="132">
        <f>N16/L16-1</f>
        <v>0.35402497793406051</v>
      </c>
      <c r="Q16" s="38"/>
      <c r="R16" s="38">
        <f>SUM('Quarterly I.S IFRS17'!AB16:AD16)</f>
        <v>0</v>
      </c>
      <c r="S16" s="38"/>
      <c r="T16" s="38">
        <f>SUM('Quarterly I.S IFRS17'!AF16:AH16)</f>
        <v>0</v>
      </c>
      <c r="V16" s="38"/>
      <c r="W16" s="38">
        <f>SUM('Quarterly I.S IFRS17'!AL16:AN16)</f>
        <v>0</v>
      </c>
      <c r="X16" s="38"/>
      <c r="Y16" s="38">
        <f>SUM('Quarterly I.S IFRS17'!AP16:AR16)</f>
        <v>0</v>
      </c>
      <c r="AA16" s="38"/>
      <c r="AB16" s="38">
        <f>R16+W16</f>
        <v>0</v>
      </c>
      <c r="AC16" s="38"/>
      <c r="AD16" s="38">
        <f>T16+Y16</f>
        <v>0</v>
      </c>
      <c r="AE16" s="38"/>
      <c r="AF16" s="132" t="e">
        <f>AD16/AB16-1</f>
        <v>#DIV/0!</v>
      </c>
      <c r="AH16" s="38"/>
      <c r="AI16" s="38">
        <f>SUM('Quarterly I.S IFRS17'!BG16:BI16)</f>
        <v>1596.0192599999998</v>
      </c>
      <c r="AJ16" s="38"/>
      <c r="AK16" s="38">
        <f>SUM('Quarterly I.S IFRS17'!BK16:BM16)</f>
        <v>4567.6375499999995</v>
      </c>
    </row>
    <row r="17" spans="3:37" x14ac:dyDescent="0.3">
      <c r="C17" s="36" t="s">
        <v>13</v>
      </c>
      <c r="E17" s="38"/>
      <c r="F17" s="38">
        <f>SUM('Quarterly I.S IFRS17'!F17:H17)</f>
        <v>-10792.028269999999</v>
      </c>
      <c r="G17" s="38"/>
      <c r="H17" s="38">
        <f>SUM('Quarterly I.S IFRS17'!J17:L17)</f>
        <v>-17332.623899999999</v>
      </c>
      <c r="I17" s="132">
        <f>H17/F17-1</f>
        <v>0.60605805195875395</v>
      </c>
      <c r="J17" s="132"/>
      <c r="K17" s="38"/>
      <c r="L17" s="38">
        <f>SUM('Quarterly I.S IFRS17'!Q17:S17)</f>
        <v>-10792.028269999999</v>
      </c>
      <c r="M17" s="38"/>
      <c r="N17" s="38">
        <f>SUM('Quarterly I.S IFRS17'!U17:W17)</f>
        <v>-17332.623899999999</v>
      </c>
      <c r="O17" s="132">
        <f>N17/L17-1</f>
        <v>0.60605805195875395</v>
      </c>
      <c r="Q17" s="38"/>
      <c r="R17" s="38">
        <f>SUM('Quarterly I.S IFRS17'!AB17:AD17)</f>
        <v>0</v>
      </c>
      <c r="S17" s="38"/>
      <c r="T17" s="38">
        <f>SUM('Quarterly I.S IFRS17'!AF17:AH17)</f>
        <v>0</v>
      </c>
      <c r="V17" s="38"/>
      <c r="W17" s="38">
        <f>SUM('Quarterly I.S IFRS17'!AL17:AN17)</f>
        <v>0</v>
      </c>
      <c r="X17" s="38"/>
      <c r="Y17" s="38">
        <f>SUM('Quarterly I.S IFRS17'!AP17:AR17)</f>
        <v>0</v>
      </c>
      <c r="AA17" s="38"/>
      <c r="AB17" s="38">
        <f>R17+W17</f>
        <v>0</v>
      </c>
      <c r="AC17" s="38"/>
      <c r="AD17" s="38">
        <f>T17+Y17</f>
        <v>0</v>
      </c>
      <c r="AE17" s="38"/>
      <c r="AF17" s="132" t="e">
        <f>AD17/AB17-1</f>
        <v>#DIV/0!</v>
      </c>
      <c r="AH17" s="38"/>
      <c r="AI17" s="38">
        <f>SUM('Quarterly I.S IFRS17'!BG17:BI17)</f>
        <v>0</v>
      </c>
      <c r="AJ17" s="38"/>
      <c r="AK17" s="38">
        <f>SUM('Quarterly I.S IFRS17'!BK17:BM17)</f>
        <v>0</v>
      </c>
    </row>
    <row r="18" spans="3:37" x14ac:dyDescent="0.3">
      <c r="C18" s="43" t="s">
        <v>14</v>
      </c>
      <c r="D18" s="111"/>
      <c r="E18" s="44"/>
      <c r="F18" s="44">
        <f>F14+F15+F16+F17</f>
        <v>669715.58185596357</v>
      </c>
      <c r="G18" s="44"/>
      <c r="H18" s="44">
        <f>H14+H15+H16+H17</f>
        <v>794073.13583461079</v>
      </c>
      <c r="I18" s="170">
        <f>H18/F18-1</f>
        <v>0.1856871145718586</v>
      </c>
      <c r="J18" s="132"/>
      <c r="K18" s="44"/>
      <c r="L18" s="44">
        <f>L14+L15+L16+L17</f>
        <v>668168.05832596368</v>
      </c>
      <c r="M18" s="44"/>
      <c r="N18" s="44">
        <f>N14+N15+N16+N17</f>
        <v>789590.41738461086</v>
      </c>
      <c r="O18" s="170">
        <f>N18/L18-1</f>
        <v>0.18172427961142024</v>
      </c>
      <c r="P18" s="42">
        <f>N18-L18</f>
        <v>121422.35905864718</v>
      </c>
      <c r="Q18" s="44"/>
      <c r="R18" s="44">
        <f>R14+R15+R16+R17</f>
        <v>0</v>
      </c>
      <c r="S18" s="44"/>
      <c r="T18" s="44">
        <f>T14+T15+T16+T17</f>
        <v>0</v>
      </c>
      <c r="V18" s="44"/>
      <c r="W18" s="44">
        <f>W14+W15+W16+W17</f>
        <v>0</v>
      </c>
      <c r="X18" s="44"/>
      <c r="Y18" s="44">
        <f>Y14+Y15+Y16+Y17</f>
        <v>0</v>
      </c>
      <c r="AA18" s="44"/>
      <c r="AB18" s="44">
        <f>AB14+AB15+AB16+AB17</f>
        <v>0</v>
      </c>
      <c r="AC18" s="44"/>
      <c r="AD18" s="44">
        <f>AD14+AD15+AD16+AD17</f>
        <v>0</v>
      </c>
      <c r="AE18" s="44"/>
      <c r="AF18" s="170"/>
      <c r="AH18" s="44"/>
      <c r="AI18" s="44">
        <f>AI14+AI15+AI16+AI17</f>
        <v>1547.5235299999997</v>
      </c>
      <c r="AJ18" s="44"/>
      <c r="AK18" s="44">
        <f>AK14+AK15+AK16+AK17</f>
        <v>4482.7184499999994</v>
      </c>
    </row>
    <row r="19" spans="3:37" x14ac:dyDescent="0.3">
      <c r="C19" s="39" t="s">
        <v>54</v>
      </c>
      <c r="D19" s="109"/>
      <c r="E19" s="40"/>
      <c r="F19" s="207">
        <f>F18/AVERAGE(E115:F115)*12/9</f>
        <v>0.10351715633228602</v>
      </c>
      <c r="G19" s="207"/>
      <c r="H19" s="207">
        <f>H18/AVERAGE(G115:H115)*12/9</f>
        <v>0.12363597203519659</v>
      </c>
      <c r="I19" s="40"/>
      <c r="J19" s="104"/>
      <c r="K19" s="40"/>
      <c r="L19" s="207">
        <f>L18/AVERAGE(K115:L115)*12/9</f>
        <v>0.10327795742528292</v>
      </c>
      <c r="M19" s="207"/>
      <c r="N19" s="207">
        <f>N18/AVERAGE(M115:N115)*12/9</f>
        <v>0.12293801963268478</v>
      </c>
      <c r="O19" s="169"/>
      <c r="Q19" s="40"/>
      <c r="R19" s="40"/>
      <c r="S19" s="40"/>
      <c r="T19" s="40"/>
      <c r="V19" s="40"/>
      <c r="W19" s="40"/>
      <c r="X19" s="40"/>
      <c r="Y19" s="40"/>
      <c r="AA19" s="40"/>
      <c r="AB19" s="40"/>
      <c r="AC19" s="40"/>
      <c r="AD19" s="40"/>
      <c r="AE19" s="40"/>
      <c r="AF19" s="169"/>
      <c r="AH19" s="40"/>
      <c r="AI19" s="40"/>
      <c r="AJ19" s="40"/>
      <c r="AK19" s="40"/>
    </row>
    <row r="20" spans="3:37" x14ac:dyDescent="0.3">
      <c r="C20" s="45"/>
      <c r="D20" s="112"/>
      <c r="E20" s="45"/>
      <c r="F20" s="45"/>
      <c r="G20" s="45"/>
      <c r="H20" s="45"/>
      <c r="I20" s="172"/>
      <c r="K20" s="45"/>
      <c r="L20" s="45"/>
      <c r="M20" s="45"/>
      <c r="N20" s="45"/>
      <c r="O20" s="172"/>
      <c r="Q20" s="45"/>
      <c r="R20" s="45"/>
      <c r="S20" s="45"/>
      <c r="T20" s="45"/>
      <c r="V20" s="45"/>
      <c r="W20" s="45"/>
      <c r="X20" s="45"/>
      <c r="Y20" s="45"/>
      <c r="AA20" s="45"/>
      <c r="AB20" s="45"/>
      <c r="AC20" s="45"/>
      <c r="AD20" s="45"/>
      <c r="AE20" s="45"/>
      <c r="AF20" s="172"/>
      <c r="AH20" s="45"/>
      <c r="AI20" s="45"/>
      <c r="AJ20" s="45"/>
      <c r="AK20" s="45"/>
    </row>
    <row r="21" spans="3:37" x14ac:dyDescent="0.3">
      <c r="C21" s="36" t="s">
        <v>15</v>
      </c>
      <c r="D21" s="110">
        <v>12</v>
      </c>
      <c r="E21" s="38"/>
      <c r="F21" s="38">
        <f>SUM('Quarterly I.S IFRS17'!F21:H21)</f>
        <v>151821.84018000003</v>
      </c>
      <c r="G21" s="38"/>
      <c r="H21" s="38">
        <f>SUM('Quarterly I.S IFRS17'!J21:L21)</f>
        <v>160691.10569992012</v>
      </c>
      <c r="I21" s="132">
        <f>H21/F21-1</f>
        <v>5.8418904087874868E-2</v>
      </c>
      <c r="K21" s="38"/>
      <c r="L21" s="38">
        <f>SUM('Quarterly I.S IFRS17'!Q21:S21)</f>
        <v>140371.26548</v>
      </c>
      <c r="M21" s="38"/>
      <c r="N21" s="38">
        <f>SUM('Quarterly I.S IFRS17'!U21:W21)</f>
        <v>152770.50605992012</v>
      </c>
      <c r="O21" s="132">
        <f>N21/L21-1</f>
        <v>8.8331757482707607E-2</v>
      </c>
      <c r="Q21" s="38"/>
      <c r="R21" s="38">
        <f>SUM('Quarterly I.S IFRS17'!AB21:AD21)</f>
        <v>0</v>
      </c>
      <c r="S21" s="38"/>
      <c r="T21" s="38">
        <f>SUM('Quarterly I.S IFRS17'!AF21:AH21)</f>
        <v>0</v>
      </c>
      <c r="V21" s="38"/>
      <c r="W21" s="38">
        <f>SUM('Quarterly I.S IFRS17'!AL21:AN21)</f>
        <v>0</v>
      </c>
      <c r="X21" s="38"/>
      <c r="Y21" s="38">
        <f>SUM('Quarterly I.S IFRS17'!AP21:AR21)</f>
        <v>0</v>
      </c>
      <c r="AA21" s="38"/>
      <c r="AB21" s="38">
        <f>R21+W21</f>
        <v>0</v>
      </c>
      <c r="AC21" s="38"/>
      <c r="AD21" s="38">
        <f>T21+Y21</f>
        <v>0</v>
      </c>
      <c r="AE21" s="38"/>
      <c r="AF21" s="132" t="e">
        <f>AD21/AB21-1</f>
        <v>#DIV/0!</v>
      </c>
      <c r="AH21" s="38"/>
      <c r="AI21" s="38">
        <f>SUM('Quarterly I.S IFRS17'!BG21:BI21)</f>
        <v>11450.574699999999</v>
      </c>
      <c r="AJ21" s="38"/>
      <c r="AK21" s="38">
        <f>SUM('Quarterly I.S IFRS17'!BK21:BM21)</f>
        <v>7920.5996400000004</v>
      </c>
    </row>
    <row r="22" spans="3:37" x14ac:dyDescent="0.3">
      <c r="C22" s="39" t="s">
        <v>55</v>
      </c>
      <c r="D22" s="109"/>
      <c r="E22" s="40"/>
      <c r="F22" s="40">
        <f>F21/F$128</f>
        <v>1.8494420290639267E-2</v>
      </c>
      <c r="G22" s="40"/>
      <c r="H22" s="40">
        <f>H21/H$128</f>
        <v>1.9258126898255207E-2</v>
      </c>
      <c r="I22" s="169"/>
      <c r="K22" s="40"/>
      <c r="L22" s="40">
        <f>L21/L$128</f>
        <v>1.7099550219112771E-2</v>
      </c>
      <c r="M22" s="40"/>
      <c r="N22" s="40">
        <f>N21/N$128</f>
        <v>1.8308877639480144E-2</v>
      </c>
      <c r="O22" s="169"/>
      <c r="Q22" s="40"/>
      <c r="R22" s="40"/>
      <c r="S22" s="40"/>
      <c r="T22" s="40"/>
      <c r="V22" s="40"/>
      <c r="W22" s="40"/>
      <c r="X22" s="40"/>
      <c r="Y22" s="40"/>
      <c r="AA22" s="40"/>
      <c r="AB22" s="40"/>
      <c r="AC22" s="40"/>
      <c r="AD22" s="40"/>
      <c r="AE22" s="40"/>
      <c r="AF22" s="169"/>
      <c r="AH22" s="40"/>
      <c r="AI22" s="40">
        <f>AI21/AI$128</f>
        <v>1.3948700715264942E-3</v>
      </c>
      <c r="AJ22" s="40"/>
      <c r="AK22" s="40">
        <f>AK21/AK$128</f>
        <v>9.4924925877506311E-4</v>
      </c>
    </row>
    <row r="23" spans="3:37" x14ac:dyDescent="0.3">
      <c r="C23" s="39" t="s">
        <v>99</v>
      </c>
      <c r="D23" s="109"/>
      <c r="E23" s="40"/>
      <c r="F23" s="40">
        <f>F181/F$128</f>
        <v>1.7231913054098505E-2</v>
      </c>
      <c r="G23" s="40"/>
      <c r="H23" s="40">
        <f>H181/H$128</f>
        <v>1.7685752224469924E-2</v>
      </c>
      <c r="I23" s="169"/>
      <c r="K23" s="40"/>
      <c r="L23" s="40">
        <f>L181/L$128</f>
        <v>1.5837042982572005E-2</v>
      </c>
      <c r="M23" s="40"/>
      <c r="N23" s="40">
        <f>N181/N$128</f>
        <v>1.6736502965694861E-2</v>
      </c>
      <c r="O23" s="169"/>
      <c r="Q23" s="40"/>
      <c r="R23" s="40"/>
      <c r="S23" s="40"/>
      <c r="T23" s="40"/>
      <c r="V23" s="40"/>
      <c r="W23" s="40"/>
      <c r="X23" s="40"/>
      <c r="Y23" s="40"/>
      <c r="AA23" s="40"/>
      <c r="AB23" s="40"/>
      <c r="AC23" s="40"/>
      <c r="AD23" s="40"/>
      <c r="AE23" s="40"/>
      <c r="AF23" s="169"/>
      <c r="AH23" s="40"/>
      <c r="AI23" s="40"/>
      <c r="AJ23" s="40"/>
      <c r="AK23" s="40"/>
    </row>
    <row r="24" spans="3:37" x14ac:dyDescent="0.3">
      <c r="C24" s="36" t="s">
        <v>16</v>
      </c>
      <c r="D24" s="110">
        <v>13</v>
      </c>
      <c r="E24" s="38"/>
      <c r="F24" s="38">
        <f>SUM('Quarterly I.S IFRS17'!F24:H24)</f>
        <v>-84525.671658474574</v>
      </c>
      <c r="G24" s="38"/>
      <c r="H24" s="38">
        <f>SUM('Quarterly I.S IFRS17'!J24:L24)</f>
        <v>-74757.760208260865</v>
      </c>
      <c r="I24" s="132">
        <f>H24/F24-1</f>
        <v>-0.11556147686919183</v>
      </c>
      <c r="K24" s="38"/>
      <c r="L24" s="38">
        <f>SUM('Quarterly I.S IFRS17'!Q24:S24)</f>
        <v>-84525.671658474574</v>
      </c>
      <c r="M24" s="38"/>
      <c r="N24" s="38">
        <f>SUM('Quarterly I.S IFRS17'!U24:W24)</f>
        <v>-74757.760208260865</v>
      </c>
      <c r="O24" s="132">
        <f>N24/L24-1</f>
        <v>-0.11556147686919183</v>
      </c>
      <c r="Q24" s="38"/>
      <c r="R24" s="38">
        <f>SUM('Quarterly I.S IFRS17'!AB24:AD24)</f>
        <v>0</v>
      </c>
      <c r="S24" s="38"/>
      <c r="T24" s="38">
        <f>SUM('Quarterly I.S IFRS17'!AF24:AH24)</f>
        <v>0</v>
      </c>
      <c r="V24" s="38"/>
      <c r="W24" s="38">
        <f>SUM('Quarterly I.S IFRS17'!AL24:AN24)</f>
        <v>0</v>
      </c>
      <c r="X24" s="38"/>
      <c r="Y24" s="38">
        <f>SUM('Quarterly I.S IFRS17'!AP24:AR24)</f>
        <v>0</v>
      </c>
      <c r="AA24" s="38"/>
      <c r="AB24" s="38">
        <f>R24+W24</f>
        <v>0</v>
      </c>
      <c r="AC24" s="38"/>
      <c r="AD24" s="38">
        <f>T24+Y24</f>
        <v>0</v>
      </c>
      <c r="AE24" s="38"/>
      <c r="AF24" s="132" t="e">
        <f>AD24/AB24-1</f>
        <v>#DIV/0!</v>
      </c>
      <c r="AH24" s="38"/>
      <c r="AI24" s="38">
        <f>SUM('Quarterly I.S IFRS17'!BG24:BI24)</f>
        <v>0</v>
      </c>
      <c r="AJ24" s="38"/>
      <c r="AK24" s="38">
        <f>SUM('Quarterly I.S IFRS17'!BK24:BM24)</f>
        <v>0</v>
      </c>
    </row>
    <row r="25" spans="3:37" x14ac:dyDescent="0.3">
      <c r="C25" s="39" t="s">
        <v>126</v>
      </c>
      <c r="D25" s="109"/>
      <c r="E25" s="40"/>
      <c r="F25" s="40">
        <f>-F24/F$128</f>
        <v>1.0296629886365564E-2</v>
      </c>
      <c r="G25" s="40"/>
      <c r="H25" s="40">
        <f>-H24/H$128</f>
        <v>8.9593909161876963E-3</v>
      </c>
      <c r="I25" s="169"/>
      <c r="K25" s="40"/>
      <c r="L25" s="40">
        <f>-L24/L$128</f>
        <v>1.0296629886365564E-2</v>
      </c>
      <c r="M25" s="40"/>
      <c r="N25" s="40">
        <f>-N24/N$128</f>
        <v>8.9593909161876963E-3</v>
      </c>
      <c r="O25" s="169"/>
      <c r="Q25" s="40"/>
      <c r="R25" s="40"/>
      <c r="S25" s="40"/>
      <c r="T25" s="40"/>
      <c r="V25" s="40"/>
      <c r="W25" s="40"/>
      <c r="X25" s="40"/>
      <c r="Y25" s="40"/>
      <c r="AA25" s="40"/>
      <c r="AB25" s="40"/>
      <c r="AC25" s="40"/>
      <c r="AD25" s="40"/>
      <c r="AE25" s="40"/>
      <c r="AF25" s="169"/>
      <c r="AH25" s="40"/>
      <c r="AI25" s="40">
        <f>-AI24/AI$128</f>
        <v>0</v>
      </c>
      <c r="AJ25" s="40"/>
      <c r="AK25" s="40">
        <f>-AK24/AK$128</f>
        <v>0</v>
      </c>
    </row>
    <row r="26" spans="3:37" x14ac:dyDescent="0.3">
      <c r="C26" s="39" t="s">
        <v>127</v>
      </c>
      <c r="D26" s="109"/>
      <c r="E26" s="40"/>
      <c r="F26" s="40">
        <f>-F185/F$128</f>
        <v>9.4069412097548596E-3</v>
      </c>
      <c r="G26" s="40"/>
      <c r="H26" s="40">
        <f>-H185/H$128</f>
        <v>8.1442649522276752E-3</v>
      </c>
      <c r="I26" s="169"/>
      <c r="K26" s="40"/>
      <c r="L26" s="40">
        <f>-L185/L$128</f>
        <v>9.4069412097548596E-3</v>
      </c>
      <c r="M26" s="40"/>
      <c r="N26" s="40">
        <f>-N185/N$128</f>
        <v>8.1442649522276752E-3</v>
      </c>
      <c r="O26" s="169"/>
      <c r="Q26" s="40"/>
      <c r="R26" s="40"/>
      <c r="S26" s="40"/>
      <c r="T26" s="40"/>
      <c r="V26" s="40"/>
      <c r="W26" s="40"/>
      <c r="X26" s="40"/>
      <c r="Y26" s="40"/>
      <c r="AA26" s="40"/>
      <c r="AB26" s="40"/>
      <c r="AC26" s="40"/>
      <c r="AD26" s="40"/>
      <c r="AE26" s="40"/>
      <c r="AF26" s="169"/>
      <c r="AH26" s="40"/>
      <c r="AI26" s="40"/>
      <c r="AJ26" s="40"/>
      <c r="AK26" s="40"/>
    </row>
    <row r="27" spans="3:37" x14ac:dyDescent="0.3">
      <c r="C27" s="43" t="s">
        <v>17</v>
      </c>
      <c r="D27" s="111"/>
      <c r="E27" s="44"/>
      <c r="F27" s="44">
        <f>F21+F24</f>
        <v>67296.168521525455</v>
      </c>
      <c r="G27" s="44"/>
      <c r="H27" s="44">
        <f>H21+H24</f>
        <v>85933.34549165926</v>
      </c>
      <c r="I27" s="170">
        <f>H27/F27-1</f>
        <v>0.27694261619326044</v>
      </c>
      <c r="K27" s="44"/>
      <c r="L27" s="44">
        <f>L21+L24</f>
        <v>55845.593821525428</v>
      </c>
      <c r="M27" s="44"/>
      <c r="N27" s="44">
        <f>N21+N24</f>
        <v>78012.74585165926</v>
      </c>
      <c r="O27" s="170">
        <f>N27/L27-1</f>
        <v>0.39693645484327544</v>
      </c>
      <c r="P27" s="42">
        <f>N27-L27</f>
        <v>22167.152030133831</v>
      </c>
      <c r="Q27" s="44"/>
      <c r="R27" s="44">
        <f>R21+R24</f>
        <v>0</v>
      </c>
      <c r="S27" s="44"/>
      <c r="T27" s="44">
        <f>T21+T24</f>
        <v>0</v>
      </c>
      <c r="U27" s="44"/>
      <c r="V27" s="44"/>
      <c r="W27" s="44">
        <f>W21+W24</f>
        <v>0</v>
      </c>
      <c r="X27" s="44"/>
      <c r="Y27" s="44">
        <f>Y21+Y24</f>
        <v>0</v>
      </c>
      <c r="Z27" s="44"/>
      <c r="AA27" s="44"/>
      <c r="AB27" s="44">
        <f>AB21+AB24</f>
        <v>0</v>
      </c>
      <c r="AC27" s="44"/>
      <c r="AD27" s="44">
        <f>AD21+AD24</f>
        <v>0</v>
      </c>
      <c r="AE27" s="44"/>
      <c r="AF27" s="170"/>
      <c r="AG27" s="44"/>
      <c r="AH27" s="44"/>
      <c r="AI27" s="44">
        <f>AI21+AI24</f>
        <v>11450.574699999999</v>
      </c>
      <c r="AJ27" s="44"/>
      <c r="AK27" s="44">
        <f>AK21+AK24</f>
        <v>7920.5996400000004</v>
      </c>
    </row>
    <row r="28" spans="3:37" x14ac:dyDescent="0.3">
      <c r="C28" s="39" t="s">
        <v>91</v>
      </c>
      <c r="D28" s="109"/>
      <c r="E28" s="40"/>
      <c r="F28" s="40">
        <f>F27/F$128</f>
        <v>8.197790404273703E-3</v>
      </c>
      <c r="G28" s="40"/>
      <c r="H28" s="40">
        <f>H27/H$128</f>
        <v>1.029873598206751E-2</v>
      </c>
      <c r="I28" s="169"/>
      <c r="K28" s="40"/>
      <c r="L28" s="40">
        <f>L27/L$128</f>
        <v>6.8029203327472053E-3</v>
      </c>
      <c r="M28" s="40"/>
      <c r="N28" s="40">
        <f>N27/N$128</f>
        <v>9.3494867232924456E-3</v>
      </c>
      <c r="O28" s="169"/>
      <c r="Q28" s="40"/>
      <c r="R28" s="40"/>
      <c r="S28" s="40"/>
      <c r="T28" s="40"/>
      <c r="V28" s="40"/>
      <c r="W28" s="40"/>
      <c r="X28" s="40"/>
      <c r="Y28" s="40"/>
      <c r="AA28" s="40"/>
      <c r="AB28" s="40"/>
      <c r="AC28" s="40"/>
      <c r="AD28" s="40"/>
      <c r="AE28" s="40"/>
      <c r="AF28" s="169"/>
      <c r="AH28" s="40"/>
      <c r="AI28" s="40">
        <f>AI27/AI$128</f>
        <v>1.3948700715264942E-3</v>
      </c>
      <c r="AJ28" s="40"/>
      <c r="AK28" s="40">
        <f>AK27/AK$128</f>
        <v>9.4924925877506311E-4</v>
      </c>
    </row>
    <row r="29" spans="3:37" x14ac:dyDescent="0.3">
      <c r="E29" s="104"/>
      <c r="F29" s="104"/>
      <c r="G29" s="104"/>
      <c r="H29" s="104"/>
    </row>
    <row r="30" spans="3:37" x14ac:dyDescent="0.3">
      <c r="C30" s="46" t="s">
        <v>20</v>
      </c>
      <c r="D30" s="113"/>
      <c r="E30" s="47"/>
      <c r="F30" s="47">
        <f>SUM('Quarterly I.S IFRS17'!F30:H30)</f>
        <v>-37009.178398028627</v>
      </c>
      <c r="G30" s="47"/>
      <c r="H30" s="47">
        <f>SUM('Quarterly I.S IFRS17'!J30:L30)</f>
        <v>-149.66964761483314</v>
      </c>
      <c r="I30" s="173">
        <f>H30/F30-1</f>
        <v>-0.9959558775932511</v>
      </c>
      <c r="K30" s="47"/>
      <c r="L30" s="47">
        <f>SUM('Quarterly I.S IFRS17'!Q30:S30)</f>
        <v>-18933.41881818595</v>
      </c>
      <c r="M30" s="47"/>
      <c r="N30" s="47">
        <f>SUM('Quarterly I.S IFRS17'!U30:W30)</f>
        <v>19071.58311315679</v>
      </c>
      <c r="O30" s="173">
        <f>N30/L30-1</f>
        <v>-2.0072973769976574</v>
      </c>
      <c r="Q30" s="47"/>
      <c r="R30" s="47">
        <f>SUM('Quarterly I.S IFRS17'!AB30:AD30)</f>
        <v>0</v>
      </c>
      <c r="S30" s="47"/>
      <c r="T30" s="47">
        <f>SUM('Quarterly I.S IFRS17'!AF30:AH30)</f>
        <v>0</v>
      </c>
      <c r="V30" s="47"/>
      <c r="W30" s="47">
        <f>SUM('Quarterly I.S IFRS17'!AL30:AN30)</f>
        <v>0</v>
      </c>
      <c r="X30" s="47"/>
      <c r="Y30" s="47">
        <f>SUM('Quarterly I.S IFRS17'!AP30:AR30)</f>
        <v>0</v>
      </c>
      <c r="AA30" s="47"/>
      <c r="AB30" s="47">
        <f>R30+W30</f>
        <v>0</v>
      </c>
      <c r="AC30" s="47"/>
      <c r="AD30" s="47">
        <f>T30+Y30</f>
        <v>0</v>
      </c>
      <c r="AE30" s="47"/>
      <c r="AF30" s="173" t="e">
        <f>AD30/AB30-1</f>
        <v>#DIV/0!</v>
      </c>
      <c r="AH30" s="47"/>
      <c r="AI30" s="47">
        <f>SUM('Quarterly I.S IFRS17'!BG30:BI30)</f>
        <v>-18075.759579842674</v>
      </c>
      <c r="AJ30" s="47"/>
      <c r="AK30" s="47">
        <f>SUM('Quarterly I.S IFRS17'!BK30:BM30)</f>
        <v>-19221.252760771626</v>
      </c>
    </row>
    <row r="32" spans="3:37" x14ac:dyDescent="0.3">
      <c r="C32" s="36" t="s">
        <v>0</v>
      </c>
      <c r="E32" s="38"/>
      <c r="F32" s="38">
        <f>SUM('Quarterly I.S IFRS17'!F32:H32)</f>
        <v>0</v>
      </c>
      <c r="G32" s="38"/>
      <c r="H32" s="38">
        <f>SUM('Quarterly I.S IFRS17'!J32:L32)</f>
        <v>0</v>
      </c>
      <c r="I32" s="132" t="e">
        <f>H32/F32-1</f>
        <v>#DIV/0!</v>
      </c>
      <c r="K32" s="38"/>
      <c r="L32" s="38">
        <f>SUM('Quarterly I.S IFRS17'!Q32:S32)</f>
        <v>0</v>
      </c>
      <c r="M32" s="38"/>
      <c r="N32" s="38">
        <f>SUM('Quarterly I.S IFRS17'!U32:W32)</f>
        <v>0</v>
      </c>
      <c r="O32" s="132" t="e">
        <f>N32/L32-1</f>
        <v>#DIV/0!</v>
      </c>
      <c r="Q32" s="38"/>
      <c r="R32" s="38">
        <f>SUM('Quarterly I.S IFRS17'!AB32:AD32)</f>
        <v>0</v>
      </c>
      <c r="S32" s="38"/>
      <c r="T32" s="38">
        <f>SUM('Quarterly I.S IFRS17'!AF32:AH32)</f>
        <v>0</v>
      </c>
      <c r="V32" s="38"/>
      <c r="W32" s="38">
        <f>SUM('Quarterly I.S IFRS17'!AL32:AN32)</f>
        <v>0</v>
      </c>
      <c r="X32" s="38"/>
      <c r="Y32" s="38">
        <f>SUM('Quarterly I.S IFRS17'!AP32:AR32)</f>
        <v>0</v>
      </c>
      <c r="AA32" s="38"/>
      <c r="AB32" s="38">
        <f>R32+W32</f>
        <v>0</v>
      </c>
      <c r="AC32" s="38"/>
      <c r="AD32" s="38">
        <f>T32+Y32</f>
        <v>0</v>
      </c>
      <c r="AE32" s="38"/>
      <c r="AF32" s="132" t="e">
        <f>AD32/AB32-1</f>
        <v>#DIV/0!</v>
      </c>
      <c r="AH32" s="38"/>
      <c r="AI32" s="38">
        <f>SUM('Quarterly I.S IFRS17'!BG32:BI32)</f>
        <v>0</v>
      </c>
      <c r="AJ32" s="38"/>
      <c r="AK32" s="38">
        <f>SUM('Quarterly I.S IFRS17'!BK32:BM32)</f>
        <v>0</v>
      </c>
    </row>
    <row r="33" spans="1:37" x14ac:dyDescent="0.3">
      <c r="C33" s="36" t="s">
        <v>2</v>
      </c>
      <c r="E33" s="38"/>
      <c r="F33" s="38">
        <f>SUM('Quarterly I.S IFRS17'!F33:H33)</f>
        <v>-4.6999999999999999E-4</v>
      </c>
      <c r="G33" s="38"/>
      <c r="H33" s="38">
        <f>SUM('Quarterly I.S IFRS17'!J33:L33)</f>
        <v>-4.6999999999999999E-4</v>
      </c>
      <c r="I33" s="132">
        <f>H33/F33-1</f>
        <v>0</v>
      </c>
      <c r="K33" s="38"/>
      <c r="L33" s="38">
        <f>SUM('Quarterly I.S IFRS17'!Q33:S33)</f>
        <v>-4.6999999999999999E-4</v>
      </c>
      <c r="M33" s="38"/>
      <c r="N33" s="38">
        <f>SUM('Quarterly I.S IFRS17'!U33:W33)</f>
        <v>-4.6999999999999999E-4</v>
      </c>
      <c r="O33" s="132">
        <f>N33/L33-1</f>
        <v>0</v>
      </c>
      <c r="Q33" s="38"/>
      <c r="R33" s="38">
        <f>SUM('Quarterly I.S IFRS17'!AB33:AD33)</f>
        <v>0</v>
      </c>
      <c r="S33" s="38"/>
      <c r="T33" s="38">
        <f>SUM('Quarterly I.S IFRS17'!AF33:AH33)</f>
        <v>0</v>
      </c>
      <c r="V33" s="38"/>
      <c r="W33" s="38">
        <f>SUM('Quarterly I.S IFRS17'!AL33:AN33)</f>
        <v>0</v>
      </c>
      <c r="X33" s="38"/>
      <c r="Y33" s="38">
        <f>SUM('Quarterly I.S IFRS17'!AP33:AR33)</f>
        <v>0</v>
      </c>
      <c r="AA33" s="38"/>
      <c r="AB33" s="38">
        <f>R33+W33</f>
        <v>0</v>
      </c>
      <c r="AC33" s="38"/>
      <c r="AD33" s="38">
        <f>T33+Y33</f>
        <v>0</v>
      </c>
      <c r="AE33" s="38"/>
      <c r="AF33" s="132" t="e">
        <f>AD33/AB33-1</f>
        <v>#DIV/0!</v>
      </c>
      <c r="AH33" s="38"/>
      <c r="AI33" s="38">
        <f>SUM('Quarterly I.S IFRS17'!BG33:BI33)</f>
        <v>0</v>
      </c>
      <c r="AJ33" s="38"/>
      <c r="AK33" s="38">
        <f>SUM('Quarterly I.S IFRS17'!BK33:BM33)</f>
        <v>0</v>
      </c>
    </row>
    <row r="34" spans="1:37" x14ac:dyDescent="0.3">
      <c r="C34" s="43" t="s">
        <v>21</v>
      </c>
      <c r="D34" s="111"/>
      <c r="E34" s="44"/>
      <c r="F34" s="44">
        <f>SUM(F32:F33)</f>
        <v>-4.6999999999999999E-4</v>
      </c>
      <c r="G34" s="44"/>
      <c r="H34" s="44">
        <f>SUM(H32:H33)</f>
        <v>-4.6999999999999999E-4</v>
      </c>
      <c r="I34" s="170"/>
      <c r="K34" s="44"/>
      <c r="L34" s="44">
        <f>SUM(L32:L33)</f>
        <v>-4.6999999999999999E-4</v>
      </c>
      <c r="M34" s="44"/>
      <c r="N34" s="44">
        <f>SUM(N32:N33)</f>
        <v>-4.6999999999999999E-4</v>
      </c>
      <c r="O34" s="170"/>
      <c r="P34" s="44"/>
      <c r="Q34" s="44"/>
      <c r="R34" s="44">
        <f>SUM(R32:R33)</f>
        <v>0</v>
      </c>
      <c r="S34" s="44"/>
      <c r="T34" s="44">
        <f>SUM(T32:T33)</f>
        <v>0</v>
      </c>
      <c r="U34" s="44"/>
      <c r="V34" s="44"/>
      <c r="W34" s="44">
        <f>SUM(W32:W33)</f>
        <v>0</v>
      </c>
      <c r="X34" s="44"/>
      <c r="Y34" s="44">
        <f>SUM(Y32:Y33)</f>
        <v>0</v>
      </c>
      <c r="Z34" s="44"/>
      <c r="AA34" s="44"/>
      <c r="AB34" s="44">
        <f>SUM(AB32:AB33)</f>
        <v>0</v>
      </c>
      <c r="AC34" s="44"/>
      <c r="AD34" s="44">
        <f>SUM(AD32:AD33)</f>
        <v>0</v>
      </c>
      <c r="AE34" s="44"/>
      <c r="AF34" s="170"/>
      <c r="AG34" s="44"/>
      <c r="AH34" s="44"/>
      <c r="AI34" s="44">
        <f>SUM(AI32:AI33)</f>
        <v>0</v>
      </c>
      <c r="AJ34" s="44"/>
      <c r="AK34" s="44">
        <f>SUM(AK32:AK33)</f>
        <v>0</v>
      </c>
    </row>
    <row r="35" spans="1:37" ht="13.5" thickBot="1" x14ac:dyDescent="0.35">
      <c r="C35" s="50" t="s">
        <v>22</v>
      </c>
      <c r="D35" s="114"/>
      <c r="E35" s="51"/>
      <c r="F35" s="51">
        <f>F18+F27+F11+F30+F34</f>
        <v>1334795.42638984</v>
      </c>
      <c r="G35" s="51"/>
      <c r="H35" s="51">
        <f>H18+H27+H11+H30+H34</f>
        <v>1622898.9291418351</v>
      </c>
      <c r="I35" s="174">
        <f>H35/F35-1</f>
        <v>0.21584094240659435</v>
      </c>
      <c r="K35" s="51"/>
      <c r="L35" s="51">
        <f>L18+L27+L11+L30+L34</f>
        <v>1339873.0877396828</v>
      </c>
      <c r="M35" s="51"/>
      <c r="N35" s="51">
        <f>N18+N27+N11+N30+N34</f>
        <v>1629716.8638126068</v>
      </c>
      <c r="O35" s="174">
        <f>N35/L35-1</f>
        <v>0.21632181340538748</v>
      </c>
      <c r="P35" s="144"/>
      <c r="Q35" s="51"/>
      <c r="R35" s="51">
        <f>R18+R27+R11+R30+R34</f>
        <v>0</v>
      </c>
      <c r="S35" s="51"/>
      <c r="T35" s="51">
        <f>T18+T27+T11+T30+T34</f>
        <v>0</v>
      </c>
      <c r="U35" s="52"/>
      <c r="V35" s="51"/>
      <c r="W35" s="51">
        <f>W18+W27+W11+W30+W34</f>
        <v>0</v>
      </c>
      <c r="X35" s="51"/>
      <c r="Y35" s="51">
        <f>Y18+Y27+Y11+Y30+Y34</f>
        <v>0</v>
      </c>
      <c r="Z35" s="52"/>
      <c r="AA35" s="51"/>
      <c r="AB35" s="51">
        <f>AB18+AB27+AB11+AB30+AB34</f>
        <v>0</v>
      </c>
      <c r="AC35" s="51"/>
      <c r="AD35" s="51">
        <f>AD18+AD27+AD11+AD30+AD34</f>
        <v>0</v>
      </c>
      <c r="AE35" s="51"/>
      <c r="AF35" s="174"/>
      <c r="AG35" s="52"/>
      <c r="AH35" s="51"/>
      <c r="AI35" s="51">
        <f>AI18+AI27+AI11+AI30+AI34</f>
        <v>-5077.6613498426741</v>
      </c>
      <c r="AJ35" s="51"/>
      <c r="AK35" s="51">
        <f>AK18+AK27+AK11+AK30+AK34</f>
        <v>-6817.934670771625</v>
      </c>
    </row>
    <row r="36" spans="1:37" ht="13.5" thickTop="1" x14ac:dyDescent="0.3">
      <c r="C36" s="39" t="s">
        <v>58</v>
      </c>
      <c r="D36" s="109"/>
      <c r="E36" s="41"/>
      <c r="F36" s="41">
        <f>(F35-F24-F17-F15-F10)/1000</f>
        <v>2668.5368341207532</v>
      </c>
      <c r="G36" s="41"/>
      <c r="H36" s="41">
        <f>(H35-H24-H17-H15-H10)/1000</f>
        <v>3268.6826117813207</v>
      </c>
      <c r="I36" s="169"/>
      <c r="K36" s="41"/>
      <c r="L36" s="41">
        <f>(L35-L24-L17-L15-L10)/1000</f>
        <v>2673.565999740596</v>
      </c>
      <c r="M36" s="41"/>
      <c r="N36" s="41">
        <f>(N35-N24-N17-N15-N10)/1000</f>
        <v>3275.4156273520921</v>
      </c>
      <c r="O36" s="169"/>
      <c r="Q36" s="41"/>
      <c r="R36" s="41"/>
      <c r="S36" s="41"/>
      <c r="T36" s="41"/>
      <c r="V36" s="41"/>
      <c r="W36" s="41"/>
      <c r="X36" s="41"/>
      <c r="Y36" s="41"/>
      <c r="AA36" s="41"/>
      <c r="AB36" s="41"/>
      <c r="AC36" s="41"/>
      <c r="AD36" s="41"/>
      <c r="AE36" s="41"/>
      <c r="AF36" s="169"/>
      <c r="AH36" s="41"/>
      <c r="AI36" s="41">
        <f>(AI35-AI24-AI17-AI15-AI10)/1000</f>
        <v>-5.0291656198426749</v>
      </c>
      <c r="AJ36" s="41"/>
      <c r="AK36" s="41">
        <f>(AK35-AK24-AK17-AK15-AK10)/1000</f>
        <v>-6.7330155707716246</v>
      </c>
    </row>
    <row r="37" spans="1:37" x14ac:dyDescent="0.3">
      <c r="C37" s="39" t="s">
        <v>59</v>
      </c>
      <c r="D37" s="109"/>
      <c r="E37" s="40"/>
      <c r="F37" s="40">
        <f>(F36*1000)/F139</f>
        <v>0.32063765698624558</v>
      </c>
      <c r="G37" s="40"/>
      <c r="H37" s="40">
        <f>(H36*1000)/H139</f>
        <v>0.38396830481474969</v>
      </c>
      <c r="I37" s="169"/>
      <c r="K37" s="40"/>
      <c r="L37" s="40">
        <f>(L36*1000)/L139</f>
        <v>0.32124193565323778</v>
      </c>
      <c r="M37" s="40"/>
      <c r="N37" s="40">
        <f>(N36*1000)/N139</f>
        <v>0.3847592242407234</v>
      </c>
      <c r="O37" s="169"/>
      <c r="Q37" s="40"/>
      <c r="R37" s="40"/>
      <c r="S37" s="40"/>
      <c r="T37" s="40"/>
      <c r="V37" s="40"/>
      <c r="W37" s="40"/>
      <c r="X37" s="40"/>
      <c r="Y37" s="40"/>
      <c r="AA37" s="40"/>
      <c r="AB37" s="40"/>
      <c r="AC37" s="40"/>
      <c r="AD37" s="40"/>
      <c r="AE37" s="40"/>
      <c r="AF37" s="169"/>
      <c r="AH37" s="40"/>
      <c r="AI37" s="40">
        <f>(AI36*1000)/AI139</f>
        <v>-6.0427866699222261E-4</v>
      </c>
      <c r="AJ37" s="40"/>
      <c r="AK37" s="40">
        <f>(AK36*1000)/AK139</f>
        <v>-7.9091942597376078E-4</v>
      </c>
    </row>
    <row r="38" spans="1:37" x14ac:dyDescent="0.3">
      <c r="C38" s="39" t="s">
        <v>60</v>
      </c>
      <c r="D38" s="109"/>
      <c r="E38" s="40"/>
      <c r="F38" s="40">
        <f>(F36*1000)/AVERAGE(E123:F123)*12/9</f>
        <v>0.16953424437278639</v>
      </c>
      <c r="G38" s="40"/>
      <c r="H38" s="40">
        <f>(H36*1000)/AVERAGE(G123:H123)*12/9</f>
        <v>0.21238026978362826</v>
      </c>
      <c r="I38" s="169"/>
      <c r="K38" s="40"/>
      <c r="L38" s="40">
        <f>(L36*1000)/AVERAGE(K123:L123)*12/9</f>
        <v>0.16985375122099017</v>
      </c>
      <c r="M38" s="40"/>
      <c r="N38" s="40">
        <f>(N36*1000)/AVERAGE(M123:N123)*12/9</f>
        <v>0.2128177425618735</v>
      </c>
      <c r="O38" s="169"/>
      <c r="Q38" s="40"/>
      <c r="R38" s="40"/>
      <c r="S38" s="40"/>
      <c r="T38" s="40"/>
      <c r="V38" s="40"/>
      <c r="W38" s="40"/>
      <c r="X38" s="40"/>
      <c r="Y38" s="40"/>
      <c r="AA38" s="40"/>
      <c r="AB38" s="40"/>
      <c r="AC38" s="40"/>
      <c r="AD38" s="40"/>
      <c r="AE38" s="40"/>
      <c r="AF38" s="169"/>
      <c r="AH38" s="40"/>
      <c r="AI38" s="40">
        <f>(AI36*1000)/AVERAGE(AH123:AI123)*12/9</f>
        <v>-3.195068482037832E-4</v>
      </c>
      <c r="AJ38" s="40"/>
      <c r="AK38" s="40">
        <f>(AK36*1000)/AVERAGE(AJ123:AK123)*12/9</f>
        <v>-4.3747277824522966E-4</v>
      </c>
    </row>
    <row r="39" spans="1:37" x14ac:dyDescent="0.3">
      <c r="C39" s="45"/>
      <c r="D39" s="112"/>
      <c r="E39" s="45"/>
      <c r="F39" s="45"/>
      <c r="G39" s="45"/>
      <c r="H39" s="45"/>
      <c r="I39" s="172"/>
      <c r="K39" s="45"/>
      <c r="L39" s="45"/>
      <c r="M39" s="45"/>
      <c r="N39" s="45"/>
      <c r="O39" s="172"/>
      <c r="Q39" s="45"/>
      <c r="R39" s="45"/>
      <c r="S39" s="45"/>
      <c r="T39" s="45"/>
      <c r="V39" s="45"/>
      <c r="W39" s="45"/>
      <c r="X39" s="45"/>
      <c r="Y39" s="45"/>
      <c r="AA39" s="45"/>
      <c r="AB39" s="171"/>
      <c r="AC39" s="171"/>
      <c r="AD39" s="171"/>
      <c r="AE39" s="171"/>
      <c r="AF39" s="172"/>
      <c r="AH39" s="45"/>
      <c r="AI39" s="45"/>
      <c r="AJ39" s="45"/>
      <c r="AK39" s="45"/>
    </row>
    <row r="40" spans="1:37" x14ac:dyDescent="0.3">
      <c r="A40" s="37"/>
      <c r="C40" s="37" t="s">
        <v>23</v>
      </c>
      <c r="D40" s="107"/>
      <c r="E40" s="37"/>
      <c r="F40" s="37"/>
      <c r="G40" s="37"/>
      <c r="H40" s="37"/>
      <c r="I40" s="171"/>
      <c r="K40" s="37"/>
      <c r="L40" s="37"/>
      <c r="M40" s="37"/>
      <c r="N40" s="37"/>
      <c r="O40" s="171"/>
      <c r="Q40" s="37"/>
      <c r="R40" s="37"/>
      <c r="S40" s="37"/>
      <c r="T40" s="37"/>
      <c r="V40" s="37"/>
      <c r="W40" s="37"/>
      <c r="X40" s="37"/>
      <c r="Y40" s="37"/>
      <c r="AA40" s="37"/>
      <c r="AB40" s="171"/>
      <c r="AC40" s="171"/>
      <c r="AD40" s="171"/>
      <c r="AE40" s="171"/>
      <c r="AF40" s="171"/>
      <c r="AH40" s="37"/>
      <c r="AI40" s="37"/>
      <c r="AJ40" s="37"/>
      <c r="AK40" s="37"/>
    </row>
    <row r="41" spans="1:37" ht="14.5" x14ac:dyDescent="0.35">
      <c r="A41"/>
      <c r="C41" t="s">
        <v>241</v>
      </c>
      <c r="E41" s="38"/>
      <c r="F41" s="38">
        <f>SUM('Quarterly I.S IFRS17'!F41:H41)</f>
        <v>1321250.2277216627</v>
      </c>
      <c r="G41" s="38"/>
      <c r="H41" s="38">
        <f>SUM('Quarterly I.S IFRS17'!J41:L41)</f>
        <v>2122801.7798868674</v>
      </c>
      <c r="I41" s="132">
        <f>H41/F41-1</f>
        <v>0.60666142971826309</v>
      </c>
      <c r="K41" s="38"/>
      <c r="L41" s="38">
        <f>SUM('Quarterly I.S IFRS17'!Q41:S41)</f>
        <v>0</v>
      </c>
      <c r="M41" s="38"/>
      <c r="N41" s="38">
        <f>SUM('Quarterly I.S IFRS17'!U41:W41)</f>
        <v>0</v>
      </c>
      <c r="O41" s="132" t="e">
        <f>N41/L41-1</f>
        <v>#DIV/0!</v>
      </c>
      <c r="Q41" s="38"/>
      <c r="R41" s="38">
        <f>SUM('Quarterly I.S IFRS17'!AB41:AD41)</f>
        <v>1321250.2277216627</v>
      </c>
      <c r="S41" s="38"/>
      <c r="T41" s="38">
        <f>SUM('Quarterly I.S IFRS17'!AF41:AH41)</f>
        <v>2122801.7798868674</v>
      </c>
      <c r="V41" s="38"/>
      <c r="W41" s="38">
        <f>SUM('Quarterly I.S IFRS17'!AL41:AN41)</f>
        <v>0</v>
      </c>
      <c r="X41" s="38"/>
      <c r="Y41" s="38">
        <f>SUM('Quarterly I.S IFRS17'!AP41:AR41)</f>
        <v>0</v>
      </c>
      <c r="AA41" s="38"/>
      <c r="AB41" s="38">
        <f>R41+W41</f>
        <v>1321250.2277216627</v>
      </c>
      <c r="AC41" s="38"/>
      <c r="AD41" s="38">
        <f>T41+Y41</f>
        <v>2122801.7798868674</v>
      </c>
      <c r="AE41" s="38"/>
      <c r="AF41" s="132">
        <f>AD41/AB41-1</f>
        <v>0.60666142971826309</v>
      </c>
      <c r="AH41" s="38"/>
      <c r="AI41" s="38">
        <f>SUM('Quarterly I.S IFRS17'!BG41:BI41)</f>
        <v>0</v>
      </c>
      <c r="AJ41" s="38"/>
      <c r="AK41" s="38">
        <f>SUM('Quarterly I.S IFRS17'!BK41:BM41)</f>
        <v>0</v>
      </c>
    </row>
    <row r="42" spans="1:37" ht="14.5" x14ac:dyDescent="0.35">
      <c r="A42"/>
      <c r="C42" t="s">
        <v>231</v>
      </c>
      <c r="E42" s="38"/>
      <c r="F42" s="38">
        <f>SUM('Quarterly I.S IFRS17'!F42:H42)</f>
        <v>-1215560.5008866433</v>
      </c>
      <c r="G42" s="38"/>
      <c r="H42" s="38">
        <f>SUM('Quarterly I.S IFRS17'!J42:L42)</f>
        <v>-1902392.6642546095</v>
      </c>
      <c r="I42" s="132">
        <f>H42/F42-1</f>
        <v>0.56503330181178413</v>
      </c>
      <c r="K42" s="38"/>
      <c r="L42" s="38">
        <f>SUM('Quarterly I.S IFRS17'!Q42:S42)</f>
        <v>0</v>
      </c>
      <c r="M42" s="38"/>
      <c r="N42" s="38">
        <f>SUM('Quarterly I.S IFRS17'!U42:W42)</f>
        <v>0</v>
      </c>
      <c r="O42" s="132" t="e">
        <f>N42/L42-1</f>
        <v>#DIV/0!</v>
      </c>
      <c r="Q42" s="38"/>
      <c r="R42" s="38">
        <f>SUM('Quarterly I.S IFRS17'!AB42:AD42)</f>
        <v>-1215560.5008866433</v>
      </c>
      <c r="S42" s="38"/>
      <c r="T42" s="38">
        <f>SUM('Quarterly I.S IFRS17'!AF42:AH42)</f>
        <v>-1902392.6642546095</v>
      </c>
      <c r="V42" s="38"/>
      <c r="W42" s="38">
        <f>SUM('Quarterly I.S IFRS17'!AL42:AN42)</f>
        <v>0</v>
      </c>
      <c r="X42" s="38"/>
      <c r="Y42" s="38">
        <f>SUM('Quarterly I.S IFRS17'!AP42:AR42)</f>
        <v>0</v>
      </c>
      <c r="AA42" s="38"/>
      <c r="AB42" s="38">
        <f>R42+W42</f>
        <v>-1215560.5008866433</v>
      </c>
      <c r="AC42" s="38"/>
      <c r="AD42" s="38">
        <f>T42+Y42</f>
        <v>-1902392.6642546095</v>
      </c>
      <c r="AE42" s="38"/>
      <c r="AF42" s="132">
        <f>AD42/AB42-1</f>
        <v>0.56503330181178413</v>
      </c>
      <c r="AH42" s="38"/>
      <c r="AI42" s="38">
        <f>SUM('Quarterly I.S IFRS17'!BG42:BI42)</f>
        <v>0</v>
      </c>
      <c r="AJ42" s="38"/>
      <c r="AK42" s="38">
        <f>SUM('Quarterly I.S IFRS17'!BK42:BM42)</f>
        <v>0</v>
      </c>
    </row>
    <row r="43" spans="1:37" ht="13.5" thickBot="1" x14ac:dyDescent="0.35">
      <c r="C43" s="54" t="s">
        <v>238</v>
      </c>
      <c r="D43" s="115"/>
      <c r="E43" s="55"/>
      <c r="F43" s="55">
        <f>SUM(F41:F42)</f>
        <v>105689.72683501942</v>
      </c>
      <c r="G43" s="55"/>
      <c r="H43" s="55">
        <f>SUM(H41:H42)</f>
        <v>220409.11563225789</v>
      </c>
      <c r="I43" s="175">
        <f>H43/F43-1</f>
        <v>1.0854355691193551</v>
      </c>
      <c r="K43" s="55"/>
      <c r="L43" s="55">
        <f>SUM(L41:L42)</f>
        <v>0</v>
      </c>
      <c r="M43" s="55"/>
      <c r="N43" s="55">
        <f>SUM(N41:N42)</f>
        <v>0</v>
      </c>
      <c r="O43" s="175"/>
      <c r="P43" s="55"/>
      <c r="Q43" s="55"/>
      <c r="R43" s="55">
        <f>SUM(R41:R42)</f>
        <v>105689.72683501942</v>
      </c>
      <c r="S43" s="55"/>
      <c r="T43" s="55">
        <f>SUM(T41:T42)</f>
        <v>220409.11563225789</v>
      </c>
      <c r="U43" s="55"/>
      <c r="V43" s="55"/>
      <c r="W43" s="55">
        <f>SUM(W41:W42)</f>
        <v>0</v>
      </c>
      <c r="X43" s="55"/>
      <c r="Y43" s="55">
        <f>SUM(Y41:Y42)</f>
        <v>0</v>
      </c>
      <c r="Z43" s="55"/>
      <c r="AA43" s="55"/>
      <c r="AB43" s="55">
        <f>SUM(AB41:AB42)</f>
        <v>105689.72683501942</v>
      </c>
      <c r="AC43" s="55"/>
      <c r="AD43" s="55">
        <f>SUM(AD41:AD42)</f>
        <v>220409.11563225789</v>
      </c>
      <c r="AE43" s="55"/>
      <c r="AF43" s="175">
        <f>AD43/AB43-1</f>
        <v>1.0854355691193551</v>
      </c>
      <c r="AG43" s="55"/>
      <c r="AH43" s="55"/>
      <c r="AI43" s="55">
        <f>SUM(AI41:AI42)</f>
        <v>0</v>
      </c>
      <c r="AJ43" s="55"/>
      <c r="AK43" s="55">
        <f>SUM(AK41:AK42)</f>
        <v>0</v>
      </c>
    </row>
    <row r="44" spans="1:37" ht="15" thickTop="1" x14ac:dyDescent="0.35">
      <c r="A44"/>
      <c r="C44" t="s">
        <v>233</v>
      </c>
      <c r="D44" s="110">
        <v>14</v>
      </c>
      <c r="E44" s="38"/>
      <c r="F44" s="38">
        <f>SUM('Quarterly I.S IFRS17'!F44:H44)</f>
        <v>-357406.78674477898</v>
      </c>
      <c r="G44" s="38"/>
      <c r="H44" s="38">
        <f>SUM('Quarterly I.S IFRS17'!J44:L44)</f>
        <v>-635864.91407698439</v>
      </c>
      <c r="I44" s="132">
        <f>H44/F44-1</f>
        <v>0.77910699421343077</v>
      </c>
      <c r="K44" s="38"/>
      <c r="L44" s="38">
        <f>SUM('Quarterly I.S IFRS17'!Q44:S44)</f>
        <v>0</v>
      </c>
      <c r="M44" s="38"/>
      <c r="N44" s="38">
        <f>SUM('Quarterly I.S IFRS17'!U44:W44)</f>
        <v>0</v>
      </c>
      <c r="O44" s="132" t="e">
        <f>N44/L44-1</f>
        <v>#DIV/0!</v>
      </c>
      <c r="Q44" s="38"/>
      <c r="R44" s="38">
        <f>SUM('Quarterly I.S IFRS17'!AB44:AD44)</f>
        <v>-357406.78674477898</v>
      </c>
      <c r="S44" s="38"/>
      <c r="T44" s="38">
        <f>SUM('Quarterly I.S IFRS17'!AF44:AH44)</f>
        <v>-635864.91407698439</v>
      </c>
      <c r="V44" s="38"/>
      <c r="W44" s="38">
        <f>SUM('Quarterly I.S IFRS17'!AL44:AN44)</f>
        <v>0</v>
      </c>
      <c r="X44" s="38"/>
      <c r="Y44" s="38">
        <f>SUM('Quarterly I.S IFRS17'!AP44:AR44)</f>
        <v>0</v>
      </c>
      <c r="AA44" s="38"/>
      <c r="AB44" s="38">
        <f>R44+W44</f>
        <v>-357406.78674477898</v>
      </c>
      <c r="AC44" s="38"/>
      <c r="AD44" s="38">
        <f>T44+Y44</f>
        <v>-635864.91407698439</v>
      </c>
      <c r="AE44" s="38"/>
      <c r="AF44" s="132">
        <f>AD44/AB44-1</f>
        <v>0.77910699421343077</v>
      </c>
      <c r="AH44" s="38"/>
      <c r="AI44" s="38">
        <f>SUM('Quarterly I.S IFRS17'!BG44:BI44)</f>
        <v>0</v>
      </c>
      <c r="AJ44" s="38"/>
      <c r="AK44" s="38">
        <f>SUM('Quarterly I.S IFRS17'!BK44:BM44)</f>
        <v>0</v>
      </c>
    </row>
    <row r="45" spans="1:37" ht="14.5" x14ac:dyDescent="0.35">
      <c r="A45"/>
      <c r="B45"/>
      <c r="C45" t="s">
        <v>234</v>
      </c>
      <c r="D45" s="110">
        <v>15</v>
      </c>
      <c r="E45" s="38"/>
      <c r="F45" s="38">
        <f>SUM('Quarterly I.S IFRS17'!F45:H45)</f>
        <v>406044.82056812011</v>
      </c>
      <c r="G45" s="38"/>
      <c r="H45" s="38">
        <f>SUM('Quarterly I.S IFRS17'!J45:L45)</f>
        <v>574673.554591386</v>
      </c>
      <c r="I45" s="132">
        <f>H45/F45-1</f>
        <v>0.41529586262750007</v>
      </c>
      <c r="K45" s="38"/>
      <c r="L45" s="38">
        <f>SUM('Quarterly I.S IFRS17'!Q45:S45)</f>
        <v>0</v>
      </c>
      <c r="M45" s="38"/>
      <c r="N45" s="38">
        <f>SUM('Quarterly I.S IFRS17'!U45:W45)</f>
        <v>0</v>
      </c>
      <c r="O45" s="132" t="e">
        <f>N45/L45-1</f>
        <v>#DIV/0!</v>
      </c>
      <c r="Q45" s="38"/>
      <c r="R45" s="38">
        <f>SUM('Quarterly I.S IFRS17'!AB45:AD45)</f>
        <v>406044.82056812011</v>
      </c>
      <c r="S45" s="38"/>
      <c r="T45" s="38">
        <f>SUM('Quarterly I.S IFRS17'!AF45:AH45)</f>
        <v>574673.554591386</v>
      </c>
      <c r="V45" s="38"/>
      <c r="W45" s="38">
        <f>SUM('Quarterly I.S IFRS17'!AL45:AN45)</f>
        <v>0</v>
      </c>
      <c r="X45" s="38"/>
      <c r="Y45" s="38">
        <f>SUM('Quarterly I.S IFRS17'!AP45:AR45)</f>
        <v>0</v>
      </c>
      <c r="AA45" s="38"/>
      <c r="AB45" s="38">
        <f>R45+W45</f>
        <v>406044.82056812011</v>
      </c>
      <c r="AC45" s="38"/>
      <c r="AD45" s="38">
        <f>T45+Y45</f>
        <v>574673.554591386</v>
      </c>
      <c r="AE45" s="38"/>
      <c r="AF45" s="132">
        <f>AD45/AB45-1</f>
        <v>0.41529586262750007</v>
      </c>
      <c r="AH45" s="38"/>
      <c r="AI45" s="38">
        <f>SUM('Quarterly I.S IFRS17'!BG45:BI45)</f>
        <v>0</v>
      </c>
      <c r="AJ45" s="38"/>
      <c r="AK45" s="38">
        <f>SUM('Quarterly I.S IFRS17'!BK45:BM45)</f>
        <v>0</v>
      </c>
    </row>
    <row r="46" spans="1:37" ht="13.5" thickBot="1" x14ac:dyDescent="0.35">
      <c r="C46" s="54" t="s">
        <v>239</v>
      </c>
      <c r="D46" s="298"/>
      <c r="E46" s="299"/>
      <c r="F46" s="252">
        <f>F44+F45</f>
        <v>48638.033823341131</v>
      </c>
      <c r="G46" s="299"/>
      <c r="H46" s="252">
        <f>H44+H45</f>
        <v>-61191.359485598397</v>
      </c>
      <c r="I46" s="300"/>
      <c r="J46" s="54"/>
      <c r="K46" s="299"/>
      <c r="L46" s="252">
        <f>L44+L45</f>
        <v>0</v>
      </c>
      <c r="M46" s="299"/>
      <c r="N46" s="252">
        <f>N44+N45</f>
        <v>0</v>
      </c>
      <c r="O46" s="300"/>
      <c r="P46" s="54"/>
      <c r="Q46" s="299"/>
      <c r="R46" s="252">
        <f>R44+R45</f>
        <v>48638.033823341131</v>
      </c>
      <c r="S46" s="299"/>
      <c r="T46" s="252">
        <f>T44+T45</f>
        <v>-61191.359485598397</v>
      </c>
      <c r="U46" s="54"/>
      <c r="V46" s="299"/>
      <c r="W46" s="252">
        <f>W44+W45</f>
        <v>0</v>
      </c>
      <c r="X46" s="299"/>
      <c r="Y46" s="252">
        <f>Y44+Y45</f>
        <v>0</v>
      </c>
      <c r="Z46" s="54"/>
      <c r="AA46" s="299"/>
      <c r="AB46" s="252">
        <f>AB44+AB45</f>
        <v>48638.033823341131</v>
      </c>
      <c r="AC46" s="299"/>
      <c r="AD46" s="252">
        <f>AD44+AD45</f>
        <v>-61191.359485598397</v>
      </c>
      <c r="AE46" s="299"/>
      <c r="AF46" s="300"/>
      <c r="AG46" s="54"/>
      <c r="AH46" s="299"/>
      <c r="AI46" s="252">
        <f>AI44+AI45</f>
        <v>0</v>
      </c>
      <c r="AJ46" s="299"/>
      <c r="AK46" s="252">
        <f>AK44+AK45</f>
        <v>0</v>
      </c>
    </row>
    <row r="47" spans="1:37" ht="13.5" thickTop="1" x14ac:dyDescent="0.3">
      <c r="C47" s="36" t="s">
        <v>236</v>
      </c>
      <c r="E47" s="38"/>
      <c r="F47" s="38">
        <f>SUM('Quarterly I.S IFRS17'!F47:H47)</f>
        <v>-35815.007635060625</v>
      </c>
      <c r="G47" s="38"/>
      <c r="H47" s="38">
        <f>SUM('Quarterly I.S IFRS17'!J47:L47)</f>
        <v>-54286.73665225369</v>
      </c>
      <c r="I47" s="132">
        <f>H47/F47-1</f>
        <v>0.51575387629152458</v>
      </c>
      <c r="K47" s="38"/>
      <c r="L47" s="38">
        <f>SUM('Quarterly I.S IFRS17'!Q47:S47)</f>
        <v>0</v>
      </c>
      <c r="M47" s="38"/>
      <c r="N47" s="38">
        <f>SUM('Quarterly I.S IFRS17'!U47:W47)</f>
        <v>0</v>
      </c>
      <c r="O47" s="132" t="e">
        <f>N47/L47-1</f>
        <v>#DIV/0!</v>
      </c>
      <c r="Q47" s="38"/>
      <c r="R47" s="38">
        <f>SUM('Quarterly I.S IFRS17'!AB47:AD47)</f>
        <v>-35815.007635060625</v>
      </c>
      <c r="S47" s="38"/>
      <c r="T47" s="38">
        <f>SUM('Quarterly I.S IFRS17'!AF47:AH47)</f>
        <v>-54286.73665225369</v>
      </c>
      <c r="V47" s="38"/>
      <c r="W47" s="38">
        <f>SUM('Quarterly I.S IFRS17'!AL47:AN47)</f>
        <v>0</v>
      </c>
      <c r="X47" s="38"/>
      <c r="Y47" s="38">
        <f>SUM('Quarterly I.S IFRS17'!AP47:AR47)</f>
        <v>0</v>
      </c>
      <c r="AA47" s="38"/>
      <c r="AB47" s="38">
        <f>R47+W47</f>
        <v>-35815.007635060625</v>
      </c>
      <c r="AC47" s="38"/>
      <c r="AD47" s="38">
        <f>T47+Y47</f>
        <v>-54286.73665225369</v>
      </c>
      <c r="AE47" s="38"/>
      <c r="AF47" s="132">
        <f>AD47/AB47-1</f>
        <v>0.51575387629152458</v>
      </c>
      <c r="AH47" s="38"/>
      <c r="AI47" s="38">
        <f>SUM('Quarterly I.S IFRS17'!BG47:BI47)</f>
        <v>0</v>
      </c>
      <c r="AJ47" s="38"/>
      <c r="AK47" s="38">
        <f>SUM('Quarterly I.S IFRS17'!BK47:BM47)</f>
        <v>0</v>
      </c>
    </row>
    <row r="48" spans="1:37" x14ac:dyDescent="0.3">
      <c r="C48" s="36" t="s">
        <v>237</v>
      </c>
      <c r="E48" s="38"/>
      <c r="F48" s="38">
        <f>SUM('Quarterly I.S IFRS17'!F48:H48)</f>
        <v>20249.35852575297</v>
      </c>
      <c r="G48" s="38"/>
      <c r="H48" s="38">
        <f>SUM('Quarterly I.S IFRS17'!J48:L48)</f>
        <v>29599.532816851442</v>
      </c>
      <c r="I48" s="132">
        <f>H48/F48-1</f>
        <v>0.46175162927788538</v>
      </c>
      <c r="K48" s="38"/>
      <c r="L48" s="38">
        <f>SUM('Quarterly I.S IFRS17'!Q48:S48)</f>
        <v>0</v>
      </c>
      <c r="M48" s="38"/>
      <c r="N48" s="38">
        <f>SUM('Quarterly I.S IFRS17'!U48:W48)</f>
        <v>0</v>
      </c>
      <c r="O48" s="132" t="e">
        <f>N48/L48-1</f>
        <v>#DIV/0!</v>
      </c>
      <c r="Q48" s="38"/>
      <c r="R48" s="38">
        <f>SUM('Quarterly I.S IFRS17'!AB48:AD48)</f>
        <v>20249.35852575297</v>
      </c>
      <c r="S48" s="38"/>
      <c r="T48" s="38">
        <f>SUM('Quarterly I.S IFRS17'!AF48:AH48)</f>
        <v>29599.532816851442</v>
      </c>
      <c r="V48" s="38"/>
      <c r="W48" s="38">
        <f>SUM('Quarterly I.S IFRS17'!AL48:AN48)</f>
        <v>0</v>
      </c>
      <c r="X48" s="38"/>
      <c r="Y48" s="38">
        <f>SUM('Quarterly I.S IFRS17'!AP48:AR48)</f>
        <v>0</v>
      </c>
      <c r="AA48" s="38"/>
      <c r="AB48" s="38">
        <f>R48+W48</f>
        <v>20249.35852575297</v>
      </c>
      <c r="AC48" s="38"/>
      <c r="AD48" s="38">
        <f>T48+Y48</f>
        <v>29599.532816851442</v>
      </c>
      <c r="AE48" s="38"/>
      <c r="AF48" s="132">
        <f>AD48/AB48-1</f>
        <v>0.46175162927788538</v>
      </c>
      <c r="AH48" s="38"/>
      <c r="AI48" s="38">
        <f>SUM('Quarterly I.S IFRS17'!BG48:BI48)</f>
        <v>0</v>
      </c>
      <c r="AJ48" s="38"/>
      <c r="AK48" s="38">
        <f>SUM('Quarterly I.S IFRS17'!BK48:BM48)</f>
        <v>0</v>
      </c>
    </row>
    <row r="49" spans="1:37" x14ac:dyDescent="0.3">
      <c r="A49" s="45"/>
      <c r="C49" s="43" t="s">
        <v>90</v>
      </c>
      <c r="D49" s="111"/>
      <c r="E49" s="44"/>
      <c r="F49" s="44">
        <f>SUM(F46:F48,F43)</f>
        <v>138762.1115490529</v>
      </c>
      <c r="G49" s="44"/>
      <c r="H49" s="44">
        <f>SUM(H46:H48,H43)</f>
        <v>134530.55231125723</v>
      </c>
      <c r="I49" s="170">
        <f>H49/F49-1</f>
        <v>-3.0495062308847909E-2</v>
      </c>
      <c r="K49" s="44"/>
      <c r="L49" s="44">
        <f>SUM(L46:L48,L43)</f>
        <v>0</v>
      </c>
      <c r="M49" s="44"/>
      <c r="N49" s="44">
        <f>SUM(N46:N48,N43)</f>
        <v>0</v>
      </c>
      <c r="O49" s="170"/>
      <c r="P49" s="44"/>
      <c r="Q49" s="44"/>
      <c r="R49" s="44">
        <f>SUM(R46:R48,R43)</f>
        <v>138762.1115490529</v>
      </c>
      <c r="S49" s="44"/>
      <c r="T49" s="44">
        <f>SUM(T46:T48,T43)</f>
        <v>134530.55231125723</v>
      </c>
      <c r="U49" s="44"/>
      <c r="V49" s="44"/>
      <c r="W49" s="44">
        <f>SUM(W46:W48,W43)</f>
        <v>0</v>
      </c>
      <c r="X49" s="44"/>
      <c r="Y49" s="44">
        <f>SUM(Y46:Y48,Y43)</f>
        <v>0</v>
      </c>
      <c r="Z49" s="44"/>
      <c r="AA49" s="44"/>
      <c r="AB49" s="44">
        <f>SUM(AB46:AB48,AB43)</f>
        <v>138762.1115490529</v>
      </c>
      <c r="AC49" s="44"/>
      <c r="AD49" s="44">
        <f>SUM(AD46:AD48,AD43)</f>
        <v>134530.55231125723</v>
      </c>
      <c r="AE49" s="44"/>
      <c r="AF49" s="170">
        <f>AD49/AB49-1</f>
        <v>-3.0495062308847909E-2</v>
      </c>
      <c r="AG49" s="146"/>
      <c r="AH49" s="44"/>
      <c r="AI49" s="44">
        <f>SUM(AI46:AI48,AI43)</f>
        <v>0</v>
      </c>
      <c r="AJ49" s="44"/>
      <c r="AK49" s="44">
        <f>SUM(AK46:AK48,AK43)</f>
        <v>0</v>
      </c>
    </row>
    <row r="50" spans="1:37" x14ac:dyDescent="0.3">
      <c r="A50" s="45"/>
      <c r="C50" s="45"/>
      <c r="D50" s="112"/>
      <c r="E50" s="45"/>
      <c r="F50" s="45"/>
      <c r="G50" s="45"/>
      <c r="H50" s="45"/>
      <c r="I50" s="172"/>
      <c r="K50" s="45"/>
      <c r="L50" s="45"/>
      <c r="M50" s="45"/>
      <c r="N50" s="45"/>
      <c r="O50" s="172"/>
      <c r="Q50" s="45"/>
      <c r="R50" s="45"/>
      <c r="S50" s="45"/>
      <c r="T50" s="45"/>
      <c r="V50" s="45"/>
      <c r="W50" s="45"/>
      <c r="X50" s="45"/>
      <c r="Y50" s="45"/>
      <c r="AA50" s="45"/>
      <c r="AB50" s="45"/>
      <c r="AC50" s="45"/>
      <c r="AD50" s="45"/>
      <c r="AE50" s="45"/>
      <c r="AF50" s="172"/>
      <c r="AH50" s="45"/>
      <c r="AI50" s="45"/>
      <c r="AJ50" s="45"/>
      <c r="AK50" s="45"/>
    </row>
    <row r="51" spans="1:37" x14ac:dyDescent="0.3">
      <c r="A51" s="45"/>
      <c r="C51" s="46" t="s">
        <v>89</v>
      </c>
      <c r="D51" s="113"/>
      <c r="E51" s="47"/>
      <c r="F51" s="47">
        <f>SUM('Quarterly I.S IFRS17'!F51:H51)</f>
        <v>160467.78820000001</v>
      </c>
      <c r="G51" s="47"/>
      <c r="H51" s="47">
        <f>SUM('Quarterly I.S IFRS17'!J51:L51)</f>
        <v>183752.87750986722</v>
      </c>
      <c r="I51" s="173">
        <f>H51/F51-1</f>
        <v>0.14510756065787911</v>
      </c>
      <c r="K51" s="47"/>
      <c r="L51" s="47">
        <f>SUM('Quarterly I.S IFRS17'!Q51:S51)</f>
        <v>0</v>
      </c>
      <c r="M51" s="47"/>
      <c r="N51" s="47">
        <f>SUM('Quarterly I.S IFRS17'!U51:W51)</f>
        <v>0</v>
      </c>
      <c r="O51" s="173" t="e">
        <f>N51/L51-1</f>
        <v>#DIV/0!</v>
      </c>
      <c r="Q51" s="47"/>
      <c r="R51" s="47">
        <f>SUM('Quarterly I.S IFRS17'!AB51:AD51)</f>
        <v>156700.576</v>
      </c>
      <c r="S51" s="47"/>
      <c r="T51" s="47">
        <f>SUM('Quarterly I.S IFRS17'!AF51:AH51)</f>
        <v>182775.60253986722</v>
      </c>
      <c r="V51" s="47"/>
      <c r="W51" s="47">
        <f>SUM('Quarterly I.S IFRS17'!AL51:AN51)</f>
        <v>3767.2121999999999</v>
      </c>
      <c r="X51" s="47"/>
      <c r="Y51" s="47">
        <f>SUM('Quarterly I.S IFRS17'!AP51:AR51)</f>
        <v>977.27496999999994</v>
      </c>
      <c r="AA51" s="47"/>
      <c r="AB51" s="47">
        <f>R51+W51</f>
        <v>160467.78820000001</v>
      </c>
      <c r="AC51" s="47"/>
      <c r="AD51" s="47">
        <f>T51+Y51</f>
        <v>183752.87750986722</v>
      </c>
      <c r="AE51" s="47"/>
      <c r="AF51" s="173">
        <f>AD51/AB51-1</f>
        <v>0.14510756065787911</v>
      </c>
      <c r="AH51" s="47"/>
      <c r="AI51" s="47">
        <f>SUM('Quarterly I.S IFRS17'!BG51:BI51)</f>
        <v>0</v>
      </c>
      <c r="AJ51" s="47"/>
      <c r="AK51" s="47">
        <f>SUM('Quarterly I.S IFRS17'!BK51:BM51)</f>
        <v>0</v>
      </c>
    </row>
    <row r="52" spans="1:37" x14ac:dyDescent="0.3">
      <c r="H52" s="132">
        <f>H51/H57</f>
        <v>0.51908457933384355</v>
      </c>
    </row>
    <row r="53" spans="1:37" x14ac:dyDescent="0.3">
      <c r="C53" s="36" t="s">
        <v>31</v>
      </c>
      <c r="D53" s="110">
        <v>16</v>
      </c>
      <c r="E53" s="38"/>
      <c r="F53" s="38">
        <f>SUM('Quarterly I.S IFRS17'!F53:H53)</f>
        <v>85739.647669999991</v>
      </c>
      <c r="G53" s="38"/>
      <c r="H53" s="38">
        <f>SUM('Quarterly I.S IFRS17'!J53:L53)</f>
        <v>107484.10052000001</v>
      </c>
      <c r="I53" s="132">
        <f>H53/F53-1</f>
        <v>0.25361024264633558</v>
      </c>
      <c r="K53" s="38"/>
      <c r="L53" s="38">
        <f>SUM('Quarterly I.S IFRS17'!Q53:S53)</f>
        <v>0</v>
      </c>
      <c r="M53" s="38"/>
      <c r="N53" s="38">
        <f>SUM('Quarterly I.S IFRS17'!U53:W53)</f>
        <v>0</v>
      </c>
      <c r="O53" s="132" t="e">
        <f>N53/L53-1</f>
        <v>#DIV/0!</v>
      </c>
      <c r="Q53" s="38"/>
      <c r="R53" s="38">
        <f>SUM('Quarterly I.S IFRS17'!AB53:AD53)</f>
        <v>0</v>
      </c>
      <c r="S53" s="38"/>
      <c r="T53" s="38">
        <f>SUM('Quarterly I.S IFRS17'!AF53:AH53)</f>
        <v>0</v>
      </c>
      <c r="V53" s="38"/>
      <c r="W53" s="38">
        <f>SUM('Quarterly I.S IFRS17'!AL53:AN53)</f>
        <v>85739.647669999991</v>
      </c>
      <c r="X53" s="38"/>
      <c r="Y53" s="38">
        <f>SUM('Quarterly I.S IFRS17'!AP53:AR53)</f>
        <v>107484.10052000001</v>
      </c>
      <c r="AA53" s="38"/>
      <c r="AB53" s="38">
        <f>R53+W53</f>
        <v>85739.647669999991</v>
      </c>
      <c r="AC53" s="38"/>
      <c r="AD53" s="38">
        <f>T53+Y53</f>
        <v>107484.10052000001</v>
      </c>
      <c r="AE53" s="38"/>
      <c r="AF53" s="132">
        <f>AD53/AB53-1</f>
        <v>0.25361024264633558</v>
      </c>
      <c r="AH53" s="38"/>
      <c r="AI53" s="38">
        <f>SUM('Quarterly I.S IFRS17'!BG53:BI53)</f>
        <v>0</v>
      </c>
      <c r="AJ53" s="38"/>
      <c r="AK53" s="38">
        <f>SUM('Quarterly I.S IFRS17'!BK53:BM53)</f>
        <v>0</v>
      </c>
    </row>
    <row r="54" spans="1:37" x14ac:dyDescent="0.3">
      <c r="C54" s="36" t="s">
        <v>32</v>
      </c>
      <c r="D54" s="110">
        <v>17</v>
      </c>
      <c r="E54" s="38"/>
      <c r="F54" s="38">
        <f>SUM('Quarterly I.S IFRS17'!F54:H54)</f>
        <v>-31986.03902</v>
      </c>
      <c r="G54" s="38"/>
      <c r="H54" s="38">
        <f>SUM('Quarterly I.S IFRS17'!J54:L54)</f>
        <v>-71773.432220000017</v>
      </c>
      <c r="I54" s="132">
        <f>H54/F54-1</f>
        <v>1.2438987264137968</v>
      </c>
      <c r="K54" s="38"/>
      <c r="L54" s="38">
        <f>SUM('Quarterly I.S IFRS17'!Q54:S54)</f>
        <v>0</v>
      </c>
      <c r="M54" s="38"/>
      <c r="N54" s="38">
        <f>SUM('Quarterly I.S IFRS17'!U54:W54)</f>
        <v>0</v>
      </c>
      <c r="O54" s="132" t="e">
        <f>N54/L54-1</f>
        <v>#DIV/0!</v>
      </c>
      <c r="Q54" s="38"/>
      <c r="R54" s="38">
        <f>SUM('Quarterly I.S IFRS17'!AB54:AD54)</f>
        <v>0</v>
      </c>
      <c r="S54" s="38"/>
      <c r="T54" s="38">
        <f>SUM('Quarterly I.S IFRS17'!AF54:AH54)</f>
        <v>0</v>
      </c>
      <c r="V54" s="38"/>
      <c r="W54" s="38">
        <f>SUM('Quarterly I.S IFRS17'!AL54:AN54)</f>
        <v>-31986.03902</v>
      </c>
      <c r="X54" s="38"/>
      <c r="Y54" s="38">
        <f>SUM('Quarterly I.S IFRS17'!AP54:AR54)</f>
        <v>-71773.432220000017</v>
      </c>
      <c r="AA54" s="38"/>
      <c r="AB54" s="38">
        <f>R54+W54</f>
        <v>-31986.03902</v>
      </c>
      <c r="AC54" s="38"/>
      <c r="AD54" s="38">
        <f>T54+Y54</f>
        <v>-71773.432220000017</v>
      </c>
      <c r="AE54" s="38"/>
      <c r="AF54" s="132">
        <f>AD54/AB54-1</f>
        <v>1.2438987264137968</v>
      </c>
      <c r="AH54" s="38"/>
      <c r="AI54" s="38">
        <f>SUM('Quarterly I.S IFRS17'!BG54:BI54)</f>
        <v>0</v>
      </c>
      <c r="AJ54" s="38"/>
      <c r="AK54" s="38">
        <f>SUM('Quarterly I.S IFRS17'!BK54:BM54)</f>
        <v>0</v>
      </c>
    </row>
    <row r="55" spans="1:37" x14ac:dyDescent="0.3">
      <c r="C55" s="56" t="s">
        <v>33</v>
      </c>
      <c r="D55" s="116"/>
      <c r="E55" s="57"/>
      <c r="F55" s="57">
        <f>SUM(F53:F54)</f>
        <v>53753.608649999995</v>
      </c>
      <c r="G55" s="57"/>
      <c r="H55" s="57">
        <f>SUM(H53:H54)</f>
        <v>35710.66829999999</v>
      </c>
      <c r="I55" s="176">
        <f>H55/F55-1</f>
        <v>-0.33566007572591139</v>
      </c>
      <c r="K55" s="57"/>
      <c r="L55" s="57">
        <f>SUM(L53:L54)</f>
        <v>0</v>
      </c>
      <c r="M55" s="57"/>
      <c r="N55" s="57">
        <f>SUM(N53:N54)</f>
        <v>0</v>
      </c>
      <c r="O55" s="176"/>
      <c r="P55" s="57"/>
      <c r="Q55" s="57"/>
      <c r="R55" s="57">
        <f>SUM(R53:R54)</f>
        <v>0</v>
      </c>
      <c r="S55" s="57"/>
      <c r="T55" s="57">
        <f>SUM(T53:T54)</f>
        <v>0</v>
      </c>
      <c r="U55" s="57"/>
      <c r="V55" s="57"/>
      <c r="W55" s="57">
        <f>SUM(W53:W54)</f>
        <v>53753.608649999995</v>
      </c>
      <c r="X55" s="57"/>
      <c r="Y55" s="57">
        <f>SUM(Y53:Y54)</f>
        <v>35710.66829999999</v>
      </c>
      <c r="Z55" s="57"/>
      <c r="AA55" s="57"/>
      <c r="AB55" s="57">
        <f>SUM(AB53:AB54)</f>
        <v>53753.608649999995</v>
      </c>
      <c r="AC55" s="57"/>
      <c r="AD55" s="57">
        <f>SUM(AD53:AD54)</f>
        <v>35710.66829999999</v>
      </c>
      <c r="AE55" s="57"/>
      <c r="AF55" s="176">
        <f>AD55/AB55-1</f>
        <v>-0.33566007572591139</v>
      </c>
      <c r="AG55" s="57"/>
      <c r="AH55" s="57"/>
      <c r="AI55" s="57">
        <f>SUM(AI53:AI54)</f>
        <v>0</v>
      </c>
      <c r="AJ55" s="57"/>
      <c r="AK55" s="57">
        <f>SUM(AK53:AK54)</f>
        <v>0</v>
      </c>
    </row>
    <row r="56" spans="1:37" x14ac:dyDescent="0.3">
      <c r="A56" s="39"/>
      <c r="C56" s="39" t="s">
        <v>64</v>
      </c>
      <c r="D56" s="109"/>
      <c r="E56" s="40"/>
      <c r="F56" s="40"/>
      <c r="G56" s="40"/>
      <c r="H56" s="40"/>
      <c r="I56" s="169"/>
      <c r="K56" s="40"/>
      <c r="L56" s="40"/>
      <c r="M56" s="40"/>
      <c r="N56" s="40"/>
      <c r="O56" s="169"/>
      <c r="Q56" s="40"/>
      <c r="R56" s="40"/>
      <c r="S56" s="40"/>
      <c r="T56" s="40"/>
      <c r="V56" s="40"/>
      <c r="W56" s="40">
        <f>W55/W175</f>
        <v>0.13930912056769482</v>
      </c>
      <c r="X56" s="40"/>
      <c r="Y56" s="40">
        <f>Y55/Y175</f>
        <v>6.6124122862399354E-2</v>
      </c>
      <c r="AA56" s="40"/>
      <c r="AB56" s="40"/>
      <c r="AC56" s="40"/>
      <c r="AD56" s="40"/>
      <c r="AE56" s="40"/>
      <c r="AF56" s="169"/>
      <c r="AH56" s="40"/>
      <c r="AI56" s="40"/>
      <c r="AJ56" s="40"/>
      <c r="AK56" s="40"/>
    </row>
    <row r="57" spans="1:37" ht="13.5" thickBot="1" x14ac:dyDescent="0.35">
      <c r="A57" s="45"/>
      <c r="C57" s="50" t="s">
        <v>34</v>
      </c>
      <c r="D57" s="114"/>
      <c r="E57" s="51"/>
      <c r="F57" s="51">
        <f>F49+F51+F55</f>
        <v>352983.50839905295</v>
      </c>
      <c r="G57" s="51"/>
      <c r="H57" s="51">
        <f>H49+H51+H55</f>
        <v>353994.09812112444</v>
      </c>
      <c r="I57" s="174">
        <f>H57/F57-1</f>
        <v>2.8629941570217365E-3</v>
      </c>
      <c r="K57" s="51"/>
      <c r="L57" s="51">
        <f>L49+L51+L55</f>
        <v>0</v>
      </c>
      <c r="M57" s="51"/>
      <c r="N57" s="51">
        <f>N49+N51+N55</f>
        <v>0</v>
      </c>
      <c r="O57" s="174"/>
      <c r="P57" s="52"/>
      <c r="Q57" s="51"/>
      <c r="R57" s="51">
        <f>R49+R51+R55</f>
        <v>295462.68754905288</v>
      </c>
      <c r="S57" s="51"/>
      <c r="T57" s="51">
        <f>T49+T51+T55</f>
        <v>317306.15485112445</v>
      </c>
      <c r="U57" s="52"/>
      <c r="V57" s="51"/>
      <c r="W57" s="51">
        <f>W49+W51+W55</f>
        <v>57520.820849999996</v>
      </c>
      <c r="X57" s="51"/>
      <c r="Y57" s="51">
        <f>Y49+Y51+Y55</f>
        <v>36687.943269999989</v>
      </c>
      <c r="Z57" s="52"/>
      <c r="AA57" s="51"/>
      <c r="AB57" s="51">
        <f>AB49+AB51+AB55</f>
        <v>352983.50839905295</v>
      </c>
      <c r="AC57" s="51"/>
      <c r="AD57" s="51">
        <f>AD49+AD51+AD55</f>
        <v>353994.09812112444</v>
      </c>
      <c r="AE57" s="51"/>
      <c r="AF57" s="174">
        <f>AD57/AB57-1</f>
        <v>2.8629941570217365E-3</v>
      </c>
      <c r="AG57" s="144"/>
      <c r="AH57" s="51"/>
      <c r="AI57" s="51">
        <f>AI49+AI51+AI55</f>
        <v>0</v>
      </c>
      <c r="AJ57" s="51"/>
      <c r="AK57" s="51">
        <f>AK49+AK51+AK55</f>
        <v>0</v>
      </c>
    </row>
    <row r="58" spans="1:37" ht="13.5" thickTop="1" x14ac:dyDescent="0.3">
      <c r="A58" s="39"/>
      <c r="C58" s="39" t="s">
        <v>79</v>
      </c>
      <c r="D58" s="109"/>
      <c r="E58" s="41"/>
      <c r="F58" s="41">
        <f>(F41+F47+F51+F53)/1000</f>
        <v>1531.6426559566021</v>
      </c>
      <c r="G58" s="41"/>
      <c r="H58" s="41">
        <f>(H41+H47+H51+H53)/1000</f>
        <v>2359.7520212644808</v>
      </c>
      <c r="I58" s="169"/>
      <c r="K58" s="41"/>
      <c r="L58" s="41"/>
      <c r="M58" s="41"/>
      <c r="N58" s="41"/>
      <c r="O58" s="169"/>
      <c r="Q58" s="41"/>
      <c r="R58" s="41">
        <f>(R41+R47+R51+R53)/1000</f>
        <v>1442.1357960866019</v>
      </c>
      <c r="S58" s="41"/>
      <c r="T58" s="41">
        <f>(T41+T47+T51+T53)/1000</f>
        <v>2251.2906457744807</v>
      </c>
      <c r="V58" s="41"/>
      <c r="W58" s="41">
        <f>(W41+W47+W51+W53)/1000</f>
        <v>89.506859869999985</v>
      </c>
      <c r="X58" s="41"/>
      <c r="Y58" s="41">
        <f>(Y41+Y47+Y51+Y53)/1000</f>
        <v>108.46137549000001</v>
      </c>
      <c r="AA58" s="41"/>
      <c r="AB58" s="41">
        <f>(AB41+AB47+AB51+AB53)/1000</f>
        <v>1531.6426559566021</v>
      </c>
      <c r="AC58" s="41"/>
      <c r="AD58" s="41">
        <f>(AD41+AD47+AD51+AD53)/1000</f>
        <v>2359.7520212644808</v>
      </c>
      <c r="AE58" s="41"/>
      <c r="AF58" s="169"/>
      <c r="AH58" s="41"/>
      <c r="AI58" s="41">
        <f>(AI41+AI47+AI51+AI53)/1000</f>
        <v>0</v>
      </c>
      <c r="AJ58" s="41"/>
      <c r="AK58" s="41">
        <f>(AK41+AK47+AK51+AK53)/1000</f>
        <v>0</v>
      </c>
    </row>
    <row r="60" spans="1:37" x14ac:dyDescent="0.3">
      <c r="C60" s="36" t="s">
        <v>35</v>
      </c>
      <c r="D60" s="110">
        <v>18</v>
      </c>
      <c r="E60" s="38"/>
      <c r="F60" s="38">
        <f>SUM('Quarterly I.S IFRS17'!F60:H60)</f>
        <v>55456.875972496506</v>
      </c>
      <c r="G60" s="38"/>
      <c r="H60" s="38">
        <f>SUM('Quarterly I.S IFRS17'!J60:L60)</f>
        <v>65186.392812816594</v>
      </c>
      <c r="I60" s="132">
        <f>H60/F60-1</f>
        <v>0.17544293056005134</v>
      </c>
      <c r="K60" s="38"/>
      <c r="L60" s="38">
        <f>SUM('Quarterly I.S IFRS17'!Q60:S60)</f>
        <v>17527.704160000001</v>
      </c>
      <c r="M60" s="38"/>
      <c r="N60" s="38">
        <f>SUM('Quarterly I.S IFRS17'!U60:W60)</f>
        <v>24639.581289999995</v>
      </c>
      <c r="O60" s="132">
        <f>N60/L60-1</f>
        <v>0.40575063711025083</v>
      </c>
      <c r="Q60" s="38"/>
      <c r="R60" s="38">
        <f>SUM('Quarterly I.S IFRS17'!AB60:AD60)</f>
        <v>23963.817462496503</v>
      </c>
      <c r="S60" s="38"/>
      <c r="T60" s="38">
        <f>SUM('Quarterly I.S IFRS17'!AF60:AH60)</f>
        <v>17767.167002816605</v>
      </c>
      <c r="V60" s="38"/>
      <c r="W60" s="38">
        <f>SUM('Quarterly I.S IFRS17'!AL60:AN60)</f>
        <v>0</v>
      </c>
      <c r="X60" s="38"/>
      <c r="Y60" s="38">
        <f>SUM('Quarterly I.S IFRS17'!AP60:AR60)</f>
        <v>0</v>
      </c>
      <c r="AA60" s="38"/>
      <c r="AB60" s="38">
        <f>R60+W60</f>
        <v>23963.817462496503</v>
      </c>
      <c r="AC60" s="38"/>
      <c r="AD60" s="38">
        <f>T60+Y60</f>
        <v>17767.167002816605</v>
      </c>
      <c r="AE60" s="38"/>
      <c r="AF60" s="132">
        <f>AD60/AB60-1</f>
        <v>-0.25858361128721197</v>
      </c>
      <c r="AH60" s="38"/>
      <c r="AI60" s="38">
        <f>SUM('Quarterly I.S IFRS17'!BG60:BI60)</f>
        <v>13965.354350000001</v>
      </c>
      <c r="AJ60" s="38"/>
      <c r="AK60" s="38">
        <f>SUM('Quarterly I.S IFRS17'!BK60:BM60)</f>
        <v>22779.644520000002</v>
      </c>
    </row>
    <row r="61" spans="1:37" x14ac:dyDescent="0.3">
      <c r="C61" s="36" t="s">
        <v>36</v>
      </c>
      <c r="D61" s="110">
        <v>19</v>
      </c>
      <c r="E61" s="38"/>
      <c r="F61" s="38">
        <f>SUM('Quarterly I.S IFRS17'!F61:H61)</f>
        <v>-34404.57516</v>
      </c>
      <c r="G61" s="38"/>
      <c r="H61" s="38">
        <f>SUM('Quarterly I.S IFRS17'!J61:L61)</f>
        <v>-49276.642699999997</v>
      </c>
      <c r="I61" s="132">
        <f>H61/F61-1</f>
        <v>0.4322700533529853</v>
      </c>
      <c r="K61" s="38"/>
      <c r="L61" s="38">
        <f>SUM('Quarterly I.S IFRS17'!Q61:S61)</f>
        <v>-29583.902370000003</v>
      </c>
      <c r="M61" s="38"/>
      <c r="N61" s="38">
        <f>SUM('Quarterly I.S IFRS17'!U61:W61)</f>
        <v>-42453.833399999996</v>
      </c>
      <c r="O61" s="132">
        <f>N61/L61-1</f>
        <v>0.43503155429051632</v>
      </c>
      <c r="Q61" s="38"/>
      <c r="R61" s="38">
        <f>SUM('Quarterly I.S IFRS17'!AB61:AD61)</f>
        <v>-374.73243999999949</v>
      </c>
      <c r="S61" s="38"/>
      <c r="T61" s="38">
        <f>SUM('Quarterly I.S IFRS17'!AF61:AH61)</f>
        <v>-533.65925999999979</v>
      </c>
      <c r="V61" s="38"/>
      <c r="W61" s="38">
        <f>SUM('Quarterly I.S IFRS17'!AL61:AN61)</f>
        <v>0</v>
      </c>
      <c r="X61" s="38"/>
      <c r="Y61" s="38">
        <f>SUM('Quarterly I.S IFRS17'!AP61:AR61)</f>
        <v>0</v>
      </c>
      <c r="AA61" s="38"/>
      <c r="AB61" s="38">
        <f>R61+W61</f>
        <v>-374.73243999999949</v>
      </c>
      <c r="AC61" s="38"/>
      <c r="AD61" s="38">
        <f>T61+Y61</f>
        <v>-533.65925999999979</v>
      </c>
      <c r="AE61" s="38"/>
      <c r="AF61" s="132">
        <f>AD61/AB61-1</f>
        <v>0.42410745117236326</v>
      </c>
      <c r="AH61" s="38"/>
      <c r="AI61" s="38">
        <f>SUM('Quarterly I.S IFRS17'!BG61:BI61)</f>
        <v>-4445.9403500000008</v>
      </c>
      <c r="AJ61" s="38"/>
      <c r="AK61" s="38">
        <f>SUM('Quarterly I.S IFRS17'!BK61:BM61)</f>
        <v>-6289.1500400000004</v>
      </c>
    </row>
    <row r="62" spans="1:37" ht="13.5" thickBot="1" x14ac:dyDescent="0.35">
      <c r="A62" s="45"/>
      <c r="C62" s="50" t="s">
        <v>37</v>
      </c>
      <c r="D62" s="114"/>
      <c r="E62" s="58"/>
      <c r="F62" s="58">
        <f>SUM(F60:F61)</f>
        <v>21052.300812496505</v>
      </c>
      <c r="G62" s="58"/>
      <c r="H62" s="58">
        <f>SUM(H60:H61)</f>
        <v>15909.750112816597</v>
      </c>
      <c r="I62" s="174">
        <f>H62/F62-1</f>
        <v>-0.2442749961385372</v>
      </c>
      <c r="K62" s="58"/>
      <c r="L62" s="58">
        <f>SUM(L60:L61)</f>
        <v>-12056.198210000002</v>
      </c>
      <c r="M62" s="58"/>
      <c r="N62" s="58">
        <f>SUM(N60:N61)</f>
        <v>-17814.252110000001</v>
      </c>
      <c r="O62" s="174">
        <f>N62/L62-1</f>
        <v>0.47760113094557344</v>
      </c>
      <c r="P62" s="58"/>
      <c r="Q62" s="58"/>
      <c r="R62" s="58">
        <f>SUM(R60:R61)</f>
        <v>23589.085022496503</v>
      </c>
      <c r="S62" s="58"/>
      <c r="T62" s="58">
        <f>SUM(T60:T61)</f>
        <v>17233.507742816604</v>
      </c>
      <c r="U62" s="58"/>
      <c r="V62" s="58"/>
      <c r="W62" s="58">
        <f>SUM(W60:W61)</f>
        <v>0</v>
      </c>
      <c r="X62" s="58"/>
      <c r="Y62" s="58">
        <f>SUM(Y60:Y61)</f>
        <v>0</v>
      </c>
      <c r="Z62" s="58"/>
      <c r="AA62" s="58"/>
      <c r="AB62" s="58">
        <f>SUM(AB60:AB61)</f>
        <v>23589.085022496503</v>
      </c>
      <c r="AC62" s="58"/>
      <c r="AD62" s="58">
        <f>SUM(AD60:AD61)</f>
        <v>17233.507742816604</v>
      </c>
      <c r="AE62" s="58"/>
      <c r="AF62" s="174">
        <f>AD62/AB62-1</f>
        <v>-0.26942873255230948</v>
      </c>
      <c r="AG62" s="58"/>
      <c r="AH62" s="58"/>
      <c r="AI62" s="58">
        <f>SUM(AI60:AI61)</f>
        <v>9519.4140000000007</v>
      </c>
      <c r="AJ62" s="58"/>
      <c r="AK62" s="58">
        <f>SUM(AK60:AK61)</f>
        <v>16490.494480000001</v>
      </c>
    </row>
    <row r="63" spans="1:37" ht="13.5" thickTop="1" x14ac:dyDescent="0.3">
      <c r="A63" s="45"/>
      <c r="C63" s="45"/>
      <c r="D63" s="112"/>
      <c r="E63" s="45"/>
      <c r="F63" s="226"/>
      <c r="G63" s="226"/>
      <c r="H63" s="226"/>
      <c r="I63" s="172"/>
      <c r="K63" s="45"/>
      <c r="L63" s="45"/>
      <c r="M63" s="45"/>
      <c r="N63" s="45"/>
      <c r="O63" s="172"/>
      <c r="Q63" s="45"/>
      <c r="R63" s="45"/>
      <c r="S63" s="45"/>
      <c r="T63" s="45"/>
      <c r="V63" s="45"/>
      <c r="W63" s="45"/>
      <c r="X63" s="45"/>
      <c r="Y63" s="45"/>
      <c r="AA63" s="45"/>
      <c r="AB63" s="45"/>
      <c r="AC63" s="45"/>
      <c r="AD63" s="45"/>
      <c r="AE63" s="45"/>
      <c r="AF63" s="172"/>
      <c r="AH63" s="45"/>
      <c r="AI63" s="45"/>
      <c r="AJ63" s="45"/>
      <c r="AK63" s="45"/>
    </row>
    <row r="64" spans="1:37" ht="13.5" thickBot="1" x14ac:dyDescent="0.35">
      <c r="A64" s="45"/>
      <c r="C64" s="50" t="s">
        <v>100</v>
      </c>
      <c r="D64" s="114"/>
      <c r="E64" s="58"/>
      <c r="F64" s="58">
        <f>F35+F57+F62</f>
        <v>1708831.2356013895</v>
      </c>
      <c r="G64" s="58"/>
      <c r="H64" s="58">
        <f>H35+H57+H62</f>
        <v>1992802.7773757763</v>
      </c>
      <c r="I64" s="174">
        <f>H64/F64-1</f>
        <v>0.16617881032262893</v>
      </c>
      <c r="K64" s="58"/>
      <c r="L64" s="58">
        <f>L35+L57+L62</f>
        <v>1327816.8895296827</v>
      </c>
      <c r="M64" s="58"/>
      <c r="N64" s="58">
        <f>N35+N57+N62</f>
        <v>1611902.6117026068</v>
      </c>
      <c r="O64" s="174">
        <f>N64/L64-1</f>
        <v>0.2139494718082311</v>
      </c>
      <c r="P64" s="58"/>
      <c r="Q64" s="58"/>
      <c r="R64" s="58">
        <f>R35+R57+R62</f>
        <v>319051.7725715494</v>
      </c>
      <c r="S64" s="58"/>
      <c r="T64" s="58">
        <f>T35+T57+T62</f>
        <v>334539.66259394103</v>
      </c>
      <c r="U64" s="58"/>
      <c r="V64" s="58"/>
      <c r="W64" s="58">
        <f>W35+W57+W62</f>
        <v>57520.820849999996</v>
      </c>
      <c r="X64" s="58"/>
      <c r="Y64" s="58">
        <f>Y35+Y57+Y62</f>
        <v>36687.943269999989</v>
      </c>
      <c r="Z64" s="58"/>
      <c r="AA64" s="58"/>
      <c r="AB64" s="58">
        <f>AB35+AB57+AB62</f>
        <v>376572.59342154948</v>
      </c>
      <c r="AC64" s="58"/>
      <c r="AD64" s="58">
        <f>AD35+AD57+AD62</f>
        <v>371227.60586394102</v>
      </c>
      <c r="AE64" s="58"/>
      <c r="AF64" s="174">
        <f>AD64/AB64-1</f>
        <v>-1.4193777377805805E-2</v>
      </c>
      <c r="AG64" s="58"/>
      <c r="AH64" s="58"/>
      <c r="AI64" s="58">
        <f>AI35+AI57+AI62</f>
        <v>4441.7526501573266</v>
      </c>
      <c r="AJ64" s="58"/>
      <c r="AK64" s="58">
        <f>AK35+AK57+AK62</f>
        <v>9672.5598092283763</v>
      </c>
    </row>
    <row r="65" spans="1:37" ht="13.5" thickTop="1" x14ac:dyDescent="0.3">
      <c r="C65" s="36" t="s">
        <v>212</v>
      </c>
      <c r="D65" s="112"/>
      <c r="E65" s="38"/>
      <c r="F65" s="38">
        <f>SUM('Quarterly I.S IFRS17'!F65:H65)</f>
        <v>0</v>
      </c>
      <c r="G65" s="38"/>
      <c r="H65" s="38">
        <f>SUM('Quarterly I.S IFRS17'!J65:L65)</f>
        <v>0</v>
      </c>
      <c r="I65" s="132" t="e">
        <f>H65/F65-1</f>
        <v>#DIV/0!</v>
      </c>
      <c r="K65" s="38"/>
      <c r="L65" s="38">
        <f>SUM('Quarterly I.S IFRS17'!Q65:S65)</f>
        <v>0</v>
      </c>
      <c r="M65" s="38"/>
      <c r="N65" s="38">
        <f>SUM('Quarterly I.S IFRS17'!U65:W65)</f>
        <v>0</v>
      </c>
      <c r="O65" s="172" t="e">
        <f>N65/L65-1</f>
        <v>#DIV/0!</v>
      </c>
      <c r="Q65" s="38"/>
      <c r="R65" s="38">
        <f>SUM('Quarterly I.S IFRS17'!AB65:AD65)</f>
        <v>0</v>
      </c>
      <c r="S65" s="38"/>
      <c r="T65" s="38">
        <f>SUM('Quarterly I.S IFRS17'!AF65:AH65)</f>
        <v>0</v>
      </c>
      <c r="V65" s="38"/>
      <c r="W65" s="38">
        <f>SUM('Quarterly I.S IFRS17'!AL65:AN65)</f>
        <v>0</v>
      </c>
      <c r="X65" s="38"/>
      <c r="Y65" s="38">
        <f>SUM('Quarterly I.S IFRS17'!AP65:AR65)</f>
        <v>0</v>
      </c>
      <c r="AA65" s="38"/>
      <c r="AB65" s="38">
        <f>R65+W65</f>
        <v>0</v>
      </c>
      <c r="AC65" s="38"/>
      <c r="AD65" s="38">
        <f>T65+Y65</f>
        <v>0</v>
      </c>
      <c r="AE65" s="38"/>
      <c r="AF65" s="172" t="e">
        <f>AD65/AB65-1</f>
        <v>#DIV/0!</v>
      </c>
      <c r="AH65" s="38"/>
      <c r="AI65" s="38">
        <f>SUM('Quarterly I.S IFRS17'!BG65:BI65)</f>
        <v>0</v>
      </c>
      <c r="AJ65" s="38"/>
      <c r="AK65" s="38">
        <f>SUM('Quarterly I.S IFRS17'!BK65:BM65)</f>
        <v>0</v>
      </c>
    </row>
    <row r="66" spans="1:37" x14ac:dyDescent="0.3">
      <c r="C66" s="36" t="s">
        <v>38</v>
      </c>
      <c r="D66" s="110">
        <v>20</v>
      </c>
      <c r="E66" s="38"/>
      <c r="F66" s="38">
        <f>SUM('Quarterly I.S IFRS17'!F66:H66)</f>
        <v>-96991.408388502517</v>
      </c>
      <c r="G66" s="38"/>
      <c r="H66" s="38">
        <f>SUM('Quarterly I.S IFRS17'!J66:L66)</f>
        <v>-125950.41417</v>
      </c>
      <c r="I66" s="132">
        <f>H66/F66-1</f>
        <v>0.29857289694671896</v>
      </c>
      <c r="K66" s="38"/>
      <c r="L66" s="38">
        <f>SUM('Quarterly I.S IFRS17'!Q66:S66)</f>
        <v>-82472.91287850251</v>
      </c>
      <c r="M66" s="38"/>
      <c r="N66" s="38">
        <f>SUM('Quarterly I.S IFRS17'!U66:W66)</f>
        <v>-101535.18528999999</v>
      </c>
      <c r="O66" s="132">
        <f>N66/L66-1</f>
        <v>0.23113373526141423</v>
      </c>
      <c r="Q66" s="38"/>
      <c r="R66" s="38">
        <f>SUM('Quarterly I.S IFRS17'!AB66:AD66)</f>
        <v>-11118.696</v>
      </c>
      <c r="S66" s="38"/>
      <c r="T66" s="38">
        <f>SUM('Quarterly I.S IFRS17'!AF66:AH66)</f>
        <v>-21052.281999999999</v>
      </c>
      <c r="V66" s="38"/>
      <c r="W66" s="38">
        <f>SUM('Quarterly I.S IFRS17'!AL66:AN66)</f>
        <v>-1578.1094199999998</v>
      </c>
      <c r="X66" s="38"/>
      <c r="Y66" s="38">
        <f>SUM('Quarterly I.S IFRS17'!AP66:AR66)</f>
        <v>-1777.3462600000003</v>
      </c>
      <c r="AA66" s="38"/>
      <c r="AB66" s="38">
        <f>R66+W66</f>
        <v>-12696.805420000001</v>
      </c>
      <c r="AC66" s="38"/>
      <c r="AD66" s="38">
        <f>T66+Y66</f>
        <v>-22829.628259999998</v>
      </c>
      <c r="AE66" s="38"/>
      <c r="AF66" s="132">
        <f>AD66/AB66-1</f>
        <v>0.7980608117407848</v>
      </c>
      <c r="AH66" s="38"/>
      <c r="AI66" s="38">
        <f>SUM('Quarterly I.S IFRS17'!BG66:BI66)</f>
        <v>-1821.6900900000001</v>
      </c>
      <c r="AJ66" s="38"/>
      <c r="AK66" s="38">
        <f>SUM('Quarterly I.S IFRS17'!BK66:BM66)</f>
        <v>-1585.6006200000002</v>
      </c>
    </row>
    <row r="67" spans="1:37" x14ac:dyDescent="0.3">
      <c r="C67" s="36" t="s">
        <v>254</v>
      </c>
      <c r="E67" s="38"/>
      <c r="F67" s="38">
        <f>SUM('Quarterly I.S IFRS17'!F67:H67)</f>
        <v>-615884.12870589807</v>
      </c>
      <c r="G67" s="38"/>
      <c r="H67" s="38">
        <f>SUM('Quarterly I.S IFRS17'!J67:L67)</f>
        <v>-903424.32854706282</v>
      </c>
      <c r="I67" s="132">
        <f>H67/F67-1</f>
        <v>0.4668738589600403</v>
      </c>
      <c r="K67" s="38"/>
      <c r="L67" s="38">
        <f>SUM('Quarterly I.S IFRS17'!Q67:S67)</f>
        <v>-502532.77746389806</v>
      </c>
      <c r="M67" s="38"/>
      <c r="N67" s="38">
        <f>SUM('Quarterly I.S IFRS17'!U67:W67)</f>
        <v>-756826.54886174761</v>
      </c>
      <c r="O67" s="132">
        <f>N67/L67-1</f>
        <v>0.50602424916674815</v>
      </c>
      <c r="P67" s="197"/>
      <c r="Q67" s="38"/>
      <c r="R67" s="38">
        <f>SUM('Quarterly I.S IFRS17'!AB67:AD67)</f>
        <v>-77373.137012000007</v>
      </c>
      <c r="S67" s="38"/>
      <c r="T67" s="38">
        <f>SUM('Quarterly I.S IFRS17'!AF67:AH67)</f>
        <v>-96239.405825315422</v>
      </c>
      <c r="V67" s="38"/>
      <c r="W67" s="38">
        <f>SUM('Quarterly I.S IFRS17'!AL67:AN67)</f>
        <v>-20031.220430000001</v>
      </c>
      <c r="X67" s="38"/>
      <c r="Y67" s="38">
        <f>SUM('Quarterly I.S IFRS17'!AP67:AR67)</f>
        <v>-29750.776800000007</v>
      </c>
      <c r="AA67" s="38"/>
      <c r="AB67" s="38">
        <f>R67+W67</f>
        <v>-97404.357442000008</v>
      </c>
      <c r="AC67" s="38"/>
      <c r="AD67" s="38">
        <f>T67+Y67</f>
        <v>-125990.18262531543</v>
      </c>
      <c r="AE67" s="38"/>
      <c r="AF67" s="132">
        <f>AD67/AB67-1</f>
        <v>0.29347583551728706</v>
      </c>
      <c r="AH67" s="38"/>
      <c r="AI67" s="38">
        <f>SUM('Quarterly I.S IFRS17'!BG67:BI67)</f>
        <v>-15946.9938</v>
      </c>
      <c r="AJ67" s="38"/>
      <c r="AK67" s="38">
        <f>SUM('Quarterly I.S IFRS17'!BK67:BM67)</f>
        <v>-20607.59706</v>
      </c>
    </row>
    <row r="68" spans="1:37" x14ac:dyDescent="0.3">
      <c r="C68" s="36" t="s">
        <v>39</v>
      </c>
      <c r="D68" s="110">
        <v>21</v>
      </c>
      <c r="E68" s="38"/>
      <c r="F68" s="38">
        <f>SUM('Quarterly I.S IFRS17'!F68:H68)</f>
        <v>-155570.53961501486</v>
      </c>
      <c r="G68" s="38"/>
      <c r="H68" s="38">
        <f>SUM('Quarterly I.S IFRS17'!J68:L68)</f>
        <v>-211803.4290906823</v>
      </c>
      <c r="I68" s="132">
        <f>H68/F68-1</f>
        <v>0.36146232837415782</v>
      </c>
      <c r="K68" s="38"/>
      <c r="L68" s="38">
        <f>SUM('Quarterly I.S IFRS17'!Q68:S68)</f>
        <v>-115212.13427501485</v>
      </c>
      <c r="M68" s="38"/>
      <c r="N68" s="38">
        <f>SUM('Quarterly I.S IFRS17'!U68:W68)</f>
        <v>-133477.75337576098</v>
      </c>
      <c r="O68" s="132">
        <f>N68/L68-1</f>
        <v>0.15853902208898885</v>
      </c>
      <c r="Q68" s="38"/>
      <c r="R68" s="38">
        <f>SUM('Quarterly I.S IFRS17'!AB68:AD68)</f>
        <v>-29854.060239999999</v>
      </c>
      <c r="S68" s="38"/>
      <c r="T68" s="38">
        <f>SUM('Quarterly I.S IFRS17'!AF68:AH68)</f>
        <v>-66872.41</v>
      </c>
      <c r="V68" s="38"/>
      <c r="W68" s="38">
        <f>SUM('Quarterly I.S IFRS17'!AL68:AN68)</f>
        <v>-4750.4116300000005</v>
      </c>
      <c r="X68" s="38"/>
      <c r="Y68" s="38">
        <f>SUM('Quarterly I.S IFRS17'!AP68:AR68)</f>
        <v>-5638.1088699999991</v>
      </c>
      <c r="AA68" s="38"/>
      <c r="AB68" s="38">
        <f>R68+W68</f>
        <v>-34604.471870000001</v>
      </c>
      <c r="AC68" s="38"/>
      <c r="AD68" s="38">
        <f>T68+Y68</f>
        <v>-72510.51887</v>
      </c>
      <c r="AE68" s="38"/>
      <c r="AF68" s="132">
        <f>AD68/AB68-1</f>
        <v>1.09540891542582</v>
      </c>
      <c r="AH68" s="38"/>
      <c r="AI68" s="38">
        <f>SUM('Quarterly I.S IFRS17'!BG68:BI68)</f>
        <v>-5753.9334700000009</v>
      </c>
      <c r="AJ68" s="38"/>
      <c r="AK68" s="38">
        <f>SUM('Quarterly I.S IFRS17'!BK68:BM68)</f>
        <v>-5815.1568449213501</v>
      </c>
    </row>
    <row r="69" spans="1:37" x14ac:dyDescent="0.3">
      <c r="C69" s="39" t="s">
        <v>93</v>
      </c>
      <c r="D69" s="109"/>
      <c r="E69" s="40"/>
      <c r="F69" s="40">
        <f>-SUM(F67:F68)/F64</f>
        <v>0.45145164264826571</v>
      </c>
      <c r="G69" s="40"/>
      <c r="H69" s="40">
        <f>-SUM(H67:H68)/H64</f>
        <v>0.55962776161238281</v>
      </c>
      <c r="I69" s="169"/>
      <c r="K69" s="40"/>
      <c r="L69" s="40">
        <f>-SUM(L67:L68)/L64</f>
        <v>0.46523350968801147</v>
      </c>
      <c r="M69" s="40"/>
      <c r="N69" s="40">
        <f>-SUM(N67:N68)/N64</f>
        <v>0.55233132310462951</v>
      </c>
      <c r="O69" s="169"/>
      <c r="Q69" s="40"/>
      <c r="R69" s="40">
        <f>-SUM(R67:R68)/R64</f>
        <v>0.33608086984676955</v>
      </c>
      <c r="S69" s="40"/>
      <c r="T69" s="40">
        <f>-SUM(T67:T68)/T64</f>
        <v>0.48757093422222397</v>
      </c>
      <c r="V69" s="40"/>
      <c r="W69" s="40">
        <f>-SUM(W67:W68)/W64</f>
        <v>0.43082890149680481</v>
      </c>
      <c r="X69" s="40"/>
      <c r="Y69" s="40">
        <f>-SUM(Y67:Y68)/Y64</f>
        <v>0.96459170277167772</v>
      </c>
      <c r="AA69" s="40"/>
      <c r="AB69" s="40">
        <f>-SUM(AB67:AB68)/AB64</f>
        <v>0.35055346995001407</v>
      </c>
      <c r="AC69" s="40"/>
      <c r="AD69" s="40">
        <f>-SUM(AD67:AD68)/AD64</f>
        <v>0.53471427867912413</v>
      </c>
      <c r="AE69" s="40"/>
      <c r="AF69" s="169"/>
      <c r="AH69" s="40"/>
      <c r="AI69" s="40"/>
      <c r="AJ69" s="40"/>
      <c r="AK69" s="40"/>
    </row>
    <row r="70" spans="1:37" x14ac:dyDescent="0.3">
      <c r="C70" s="36" t="s">
        <v>40</v>
      </c>
      <c r="E70" s="38"/>
      <c r="F70" s="38">
        <f>SUM('Quarterly I.S IFRS17'!F70:H70)</f>
        <v>-54508.351470000001</v>
      </c>
      <c r="G70" s="38"/>
      <c r="H70" s="38">
        <f>SUM('Quarterly I.S IFRS17'!J70:L70)</f>
        <v>-70792.098440000002</v>
      </c>
      <c r="I70" s="132">
        <f t="shared" ref="I70:I75" si="0">H70/F70-1</f>
        <v>0.29873856997788972</v>
      </c>
      <c r="K70" s="38"/>
      <c r="L70" s="38">
        <f>SUM('Quarterly I.S IFRS17'!Q70:S70)</f>
        <v>-50230.277300000002</v>
      </c>
      <c r="M70" s="38"/>
      <c r="N70" s="38">
        <f>SUM('Quarterly I.S IFRS17'!U70:W70)</f>
        <v>-66819.695590000018</v>
      </c>
      <c r="O70" s="132">
        <f t="shared" ref="O70:O75" si="1">N70/L70-1</f>
        <v>0.33026730453666064</v>
      </c>
      <c r="Q70" s="38"/>
      <c r="R70" s="38">
        <f>SUM('Quarterly I.S IFRS17'!AB70:AD70)</f>
        <v>-3375.4839999999999</v>
      </c>
      <c r="S70" s="38"/>
      <c r="T70" s="38">
        <f>SUM('Quarterly I.S IFRS17'!AF70:AH70)</f>
        <v>-1018.177</v>
      </c>
      <c r="V70" s="38"/>
      <c r="W70" s="38">
        <f>SUM('Quarterly I.S IFRS17'!AL70:AN70)</f>
        <v>-86.51885</v>
      </c>
      <c r="X70" s="38"/>
      <c r="Y70" s="38">
        <f>SUM('Quarterly I.S IFRS17'!AP70:AR70)</f>
        <v>-1572.0041700000002</v>
      </c>
      <c r="AA70" s="38"/>
      <c r="AB70" s="38">
        <f t="shared" ref="AB70:AB75" si="2">R70+W70</f>
        <v>-3462.0028499999999</v>
      </c>
      <c r="AC70" s="38"/>
      <c r="AD70" s="38">
        <f t="shared" ref="AD70:AD75" si="3">T70+Y70</f>
        <v>-2590.1811700000003</v>
      </c>
      <c r="AE70" s="38"/>
      <c r="AF70" s="132">
        <f t="shared" ref="AF70:AF75" si="4">AD70/AB70-1</f>
        <v>-0.25182581233288115</v>
      </c>
      <c r="AH70" s="38"/>
      <c r="AI70" s="38">
        <f>SUM('Quarterly I.S IFRS17'!BG70:BI70)</f>
        <v>-816.07132000000001</v>
      </c>
      <c r="AJ70" s="38"/>
      <c r="AK70" s="38">
        <f>SUM('Quarterly I.S IFRS17'!BK70:BM70)</f>
        <v>-1382.2216799999999</v>
      </c>
    </row>
    <row r="71" spans="1:37" x14ac:dyDescent="0.3">
      <c r="C71" s="36" t="s">
        <v>41</v>
      </c>
      <c r="E71" s="38"/>
      <c r="F71" s="38">
        <f>SUM('Quarterly I.S IFRS17'!F71:H71)</f>
        <v>14800</v>
      </c>
      <c r="G71" s="38"/>
      <c r="H71" s="38">
        <f>SUM('Quarterly I.S IFRS17'!J71:L71)</f>
        <v>848.30035000000021</v>
      </c>
      <c r="I71" s="132">
        <f t="shared" si="0"/>
        <v>-0.94268240878378373</v>
      </c>
      <c r="K71" s="38"/>
      <c r="L71" s="38">
        <f>SUM('Quarterly I.S IFRS17'!Q71:S71)</f>
        <v>15000</v>
      </c>
      <c r="M71" s="38"/>
      <c r="N71" s="38">
        <f>SUM('Quarterly I.S IFRS17'!U71:W71)</f>
        <v>-271.69965000000002</v>
      </c>
      <c r="O71" s="132">
        <f t="shared" si="1"/>
        <v>-1.0181133099999999</v>
      </c>
      <c r="Q71" s="38"/>
      <c r="R71" s="38">
        <f>SUM('Quarterly I.S IFRS17'!AB71:AD71)</f>
        <v>-200</v>
      </c>
      <c r="S71" s="38"/>
      <c r="T71" s="38">
        <f>SUM('Quarterly I.S IFRS17'!AF71:AH71)</f>
        <v>1120</v>
      </c>
      <c r="V71" s="38"/>
      <c r="W71" s="38">
        <f>SUM('Quarterly I.S IFRS17'!AL71:AN71)</f>
        <v>0</v>
      </c>
      <c r="X71" s="38"/>
      <c r="Y71" s="38">
        <f>SUM('Quarterly I.S IFRS17'!AP71:AR71)</f>
        <v>0</v>
      </c>
      <c r="AA71" s="38"/>
      <c r="AB71" s="38">
        <f t="shared" si="2"/>
        <v>-200</v>
      </c>
      <c r="AC71" s="38"/>
      <c r="AD71" s="38">
        <f t="shared" si="3"/>
        <v>1120</v>
      </c>
      <c r="AE71" s="38"/>
      <c r="AF71" s="132">
        <f t="shared" si="4"/>
        <v>-6.6</v>
      </c>
      <c r="AH71" s="38"/>
      <c r="AI71" s="38">
        <f>SUM('Quarterly I.S IFRS17'!BG71:BI71)</f>
        <v>0</v>
      </c>
      <c r="AJ71" s="38"/>
      <c r="AK71" s="38">
        <f>SUM('Quarterly I.S IFRS17'!BK71:BM71)</f>
        <v>0</v>
      </c>
    </row>
    <row r="72" spans="1:37" x14ac:dyDescent="0.3">
      <c r="C72" s="36" t="s">
        <v>42</v>
      </c>
      <c r="D72" s="110">
        <v>40</v>
      </c>
      <c r="E72" s="38"/>
      <c r="F72" s="38">
        <f>SUM('Quarterly I.S IFRS17'!F72:H72)</f>
        <v>-51144.035900000003</v>
      </c>
      <c r="G72" s="38"/>
      <c r="H72" s="38">
        <f>SUM('Quarterly I.S IFRS17'!J72:L72)</f>
        <v>-71196.502929999988</v>
      </c>
      <c r="I72" s="132">
        <f t="shared" si="0"/>
        <v>0.3920783074141394</v>
      </c>
      <c r="K72" s="38"/>
      <c r="L72" s="38">
        <f>SUM('Quarterly I.S IFRS17'!Q72:S72)</f>
        <v>-34376.235419999997</v>
      </c>
      <c r="M72" s="38"/>
      <c r="N72" s="38">
        <f>SUM('Quarterly I.S IFRS17'!U72:W72)</f>
        <v>-53045.241320000001</v>
      </c>
      <c r="O72" s="132">
        <f t="shared" si="1"/>
        <v>0.54307883547767499</v>
      </c>
      <c r="Q72" s="38"/>
      <c r="R72" s="38">
        <f>SUM('Quarterly I.S IFRS17'!AB72:AD72)</f>
        <v>-13772.10124</v>
      </c>
      <c r="S72" s="38"/>
      <c r="T72" s="38">
        <f>SUM('Quarterly I.S IFRS17'!AF72:AH72)</f>
        <v>-15339.473000000002</v>
      </c>
      <c r="V72" s="38"/>
      <c r="W72" s="38">
        <f>SUM('Quarterly I.S IFRS17'!AL72:AN72)</f>
        <v>-2483.5232000000005</v>
      </c>
      <c r="X72" s="38"/>
      <c r="Y72" s="38">
        <f>SUM('Quarterly I.S IFRS17'!AP72:AR72)</f>
        <v>-2652.3938900000003</v>
      </c>
      <c r="AA72" s="38"/>
      <c r="AB72" s="38">
        <f t="shared" si="2"/>
        <v>-16255.62444</v>
      </c>
      <c r="AC72" s="38"/>
      <c r="AD72" s="38">
        <f t="shared" si="3"/>
        <v>-17991.866890000001</v>
      </c>
      <c r="AE72" s="38"/>
      <c r="AF72" s="132">
        <f t="shared" si="4"/>
        <v>0.10680872066210223</v>
      </c>
      <c r="AH72" s="38"/>
      <c r="AI72" s="38">
        <f>SUM('Quarterly I.S IFRS17'!BG72:BI72)</f>
        <v>-512.17604000000006</v>
      </c>
      <c r="AJ72" s="38"/>
      <c r="AK72" s="38">
        <f>SUM('Quarterly I.S IFRS17'!BK72:BM72)</f>
        <v>-159.39472000000001</v>
      </c>
    </row>
    <row r="73" spans="1:37" x14ac:dyDescent="0.3">
      <c r="C73" s="36" t="s">
        <v>4</v>
      </c>
      <c r="E73" s="38"/>
      <c r="F73" s="38">
        <f>SUM('Quarterly I.S IFRS17'!F73:H73)</f>
        <v>616.02651000000003</v>
      </c>
      <c r="G73" s="38"/>
      <c r="H73" s="38">
        <f>SUM('Quarterly I.S IFRS17'!J73:L73)</f>
        <v>-185.60581209325844</v>
      </c>
      <c r="I73" s="132">
        <f t="shared" si="0"/>
        <v>-1.3012951700621755</v>
      </c>
      <c r="K73" s="38"/>
      <c r="L73" s="38">
        <f>SUM('Quarterly I.S IFRS17'!Q73:S73)</f>
        <v>418.07189</v>
      </c>
      <c r="M73" s="38"/>
      <c r="N73" s="38">
        <f>SUM('Quarterly I.S IFRS17'!U73:W73)</f>
        <v>-44.207760000000007</v>
      </c>
      <c r="O73" s="132">
        <f t="shared" si="1"/>
        <v>-1.1057420052804794</v>
      </c>
      <c r="Q73" s="38"/>
      <c r="R73" s="38">
        <f>SUM('Quarterly I.S IFRS17'!AB73:AD73)</f>
        <v>188.46299999999999</v>
      </c>
      <c r="S73" s="38"/>
      <c r="T73" s="38">
        <f>SUM('Quarterly I.S IFRS17'!AF73:AH73)</f>
        <v>-60.035000000000018</v>
      </c>
      <c r="V73" s="38"/>
      <c r="W73" s="38">
        <f>SUM('Quarterly I.S IFRS17'!AL73:AN73)</f>
        <v>0</v>
      </c>
      <c r="X73" s="38"/>
      <c r="Y73" s="38">
        <f>SUM('Quarterly I.S IFRS17'!AP73:AR73)</f>
        <v>-75.150199999999984</v>
      </c>
      <c r="AA73" s="38"/>
      <c r="AB73" s="38">
        <f t="shared" si="2"/>
        <v>188.46299999999999</v>
      </c>
      <c r="AC73" s="38"/>
      <c r="AD73" s="38">
        <f t="shared" si="3"/>
        <v>-135.18520000000001</v>
      </c>
      <c r="AE73" s="38"/>
      <c r="AF73" s="132">
        <f t="shared" si="4"/>
        <v>-1.717303661726705</v>
      </c>
      <c r="AH73" s="38"/>
      <c r="AI73" s="38">
        <f>SUM('Quarterly I.S IFRS17'!BG73:BI73)</f>
        <v>9.4916200000000011</v>
      </c>
      <c r="AJ73" s="38"/>
      <c r="AK73" s="38">
        <f>SUM('Quarterly I.S IFRS17'!BK73:BM73)</f>
        <v>-6.2128520932584266</v>
      </c>
    </row>
    <row r="74" spans="1:37" x14ac:dyDescent="0.3">
      <c r="C74" s="36" t="s">
        <v>5</v>
      </c>
      <c r="E74" s="38"/>
      <c r="F74" s="38">
        <f>SUM('Quarterly I.S IFRS17'!F74:H74)</f>
        <v>-2503</v>
      </c>
      <c r="G74" s="38"/>
      <c r="H74" s="38">
        <f>SUM('Quarterly I.S IFRS17'!J74:L74)</f>
        <v>-3370</v>
      </c>
      <c r="I74" s="132">
        <f t="shared" si="0"/>
        <v>0.34638433879344777</v>
      </c>
      <c r="K74" s="38"/>
      <c r="L74" s="38">
        <f>SUM('Quarterly I.S IFRS17'!Q74:S74)</f>
        <v>-2503</v>
      </c>
      <c r="M74" s="38"/>
      <c r="N74" s="38">
        <f>SUM('Quarterly I.S IFRS17'!U74:W74)</f>
        <v>-3370</v>
      </c>
      <c r="O74" s="132">
        <f t="shared" si="1"/>
        <v>0.34638433879344777</v>
      </c>
      <c r="Q74" s="38"/>
      <c r="R74" s="38">
        <f>SUM('Quarterly I.S IFRS17'!AB74:AD74)</f>
        <v>0</v>
      </c>
      <c r="S74" s="38"/>
      <c r="T74" s="38">
        <f>SUM('Quarterly I.S IFRS17'!AF74:AH74)</f>
        <v>0</v>
      </c>
      <c r="V74" s="38"/>
      <c r="W74" s="38">
        <f>SUM('Quarterly I.S IFRS17'!AL74:AN74)</f>
        <v>0</v>
      </c>
      <c r="X74" s="38"/>
      <c r="Y74" s="38">
        <f>SUM('Quarterly I.S IFRS17'!AP74:AR74)</f>
        <v>0</v>
      </c>
      <c r="AA74" s="38"/>
      <c r="AB74" s="38">
        <f t="shared" si="2"/>
        <v>0</v>
      </c>
      <c r="AC74" s="38"/>
      <c r="AD74" s="38">
        <f t="shared" si="3"/>
        <v>0</v>
      </c>
      <c r="AE74" s="38"/>
      <c r="AF74" s="132" t="e">
        <f t="shared" si="4"/>
        <v>#DIV/0!</v>
      </c>
      <c r="AH74" s="38"/>
      <c r="AI74" s="38">
        <f>SUM('Quarterly I.S IFRS17'!BG74:BI74)</f>
        <v>0</v>
      </c>
      <c r="AJ74" s="38"/>
      <c r="AK74" s="38">
        <f>SUM('Quarterly I.S IFRS17'!BK74:BM74)</f>
        <v>0</v>
      </c>
    </row>
    <row r="75" spans="1:37" x14ac:dyDescent="0.3">
      <c r="C75" s="36" t="s">
        <v>182</v>
      </c>
      <c r="D75" s="110">
        <v>22</v>
      </c>
      <c r="E75" s="38"/>
      <c r="F75" s="38">
        <f>SUM('Quarterly I.S IFRS17'!F75:H75)</f>
        <v>-81415.691359999983</v>
      </c>
      <c r="G75" s="38"/>
      <c r="H75" s="38">
        <f>SUM('Quarterly I.S IFRS17'!J75:L75)</f>
        <v>-185649.74718000001</v>
      </c>
      <c r="I75" s="132">
        <f t="shared" si="0"/>
        <v>1.2802698605002676</v>
      </c>
      <c r="K75" s="38"/>
      <c r="L75" s="38">
        <f>SUM('Quarterly I.S IFRS17'!Q75:S75)</f>
        <v>-83365.631199999974</v>
      </c>
      <c r="M75" s="38"/>
      <c r="N75" s="38">
        <f>SUM('Quarterly I.S IFRS17'!U75:W75)</f>
        <v>-184927.19828000001</v>
      </c>
      <c r="O75" s="132">
        <f t="shared" si="1"/>
        <v>1.2182666359995133</v>
      </c>
      <c r="Q75" s="38"/>
      <c r="R75" s="38">
        <f>SUM('Quarterly I.S IFRS17'!AB75:AD75)</f>
        <v>28.424659999999999</v>
      </c>
      <c r="S75" s="38"/>
      <c r="T75" s="38">
        <f>SUM('Quarterly I.S IFRS17'!AF75:AH75)</f>
        <v>-117.239</v>
      </c>
      <c r="V75" s="38"/>
      <c r="W75" s="38">
        <f>SUM('Quarterly I.S IFRS17'!AL75:AN75)</f>
        <v>1977.3613700000001</v>
      </c>
      <c r="X75" s="38"/>
      <c r="Y75" s="38">
        <f>SUM('Quarterly I.S IFRS17'!AP75:AR75)</f>
        <v>-562.14395999999977</v>
      </c>
      <c r="AA75" s="38"/>
      <c r="AB75" s="38">
        <f t="shared" si="2"/>
        <v>2005.78603</v>
      </c>
      <c r="AC75" s="38"/>
      <c r="AD75" s="38">
        <f t="shared" si="3"/>
        <v>-679.3829599999998</v>
      </c>
      <c r="AE75" s="38"/>
      <c r="AF75" s="132">
        <f t="shared" si="4"/>
        <v>-1.3387115823116984</v>
      </c>
      <c r="AH75" s="38"/>
      <c r="AI75" s="38">
        <f>SUM('Quarterly I.S IFRS17'!BG75:BI75)</f>
        <v>-55.84619</v>
      </c>
      <c r="AJ75" s="38"/>
      <c r="AK75" s="38">
        <f>SUM('Quarterly I.S IFRS17'!BK75:BM75)</f>
        <v>-43.165939999999978</v>
      </c>
    </row>
    <row r="76" spans="1:37" x14ac:dyDescent="0.3">
      <c r="C76" s="43" t="s">
        <v>11</v>
      </c>
      <c r="D76" s="111"/>
      <c r="E76" s="44"/>
      <c r="F76" s="44">
        <f>F66+F67+F68+F70+F71+F72+F73+F74+F75+F65</f>
        <v>-1042601.1289294155</v>
      </c>
      <c r="G76" s="44"/>
      <c r="H76" s="44">
        <f>H66+H67+H68+H70+H71+H72+H73+H74+H75+H65</f>
        <v>-1571523.8258198383</v>
      </c>
      <c r="I76" s="170">
        <f>H76/F76-1</f>
        <v>0.50731068882837471</v>
      </c>
      <c r="K76" s="44"/>
      <c r="L76" s="44">
        <f>L66+L67+L68+L70+L71+L72+L73+L74+L75+L65</f>
        <v>-855274.89664741536</v>
      </c>
      <c r="M76" s="44"/>
      <c r="N76" s="44">
        <f>N66+N67+N68+N70+N71+N72+N73+N74+N75+N65</f>
        <v>-1300317.5301275086</v>
      </c>
      <c r="O76" s="170">
        <f>N76/L76-1</f>
        <v>0.52035039871345679</v>
      </c>
      <c r="P76" s="44"/>
      <c r="Q76" s="44"/>
      <c r="R76" s="44">
        <f>R66+R67+R68+R70+R71+R72+R73+R74+R75+R65</f>
        <v>-135476.59083200002</v>
      </c>
      <c r="S76" s="44"/>
      <c r="T76" s="44">
        <f>T66+T67+T68+T70+T71+T72+T73+T74+T75+T65</f>
        <v>-199579.02182531543</v>
      </c>
      <c r="U76" s="44"/>
      <c r="V76" s="44"/>
      <c r="W76" s="44">
        <f>W66+W67+W68+W70+W71+W72+W73+W74+W75+W65</f>
        <v>-26952.422160000006</v>
      </c>
      <c r="X76" s="44"/>
      <c r="Y76" s="44">
        <f>Y66+Y67+Y68+Y70+Y71+Y72+Y73+Y74+Y75+Y65</f>
        <v>-42027.924149999999</v>
      </c>
      <c r="Z76" s="44"/>
      <c r="AA76" s="44"/>
      <c r="AB76" s="44">
        <f>AB66+AB67+AB68+AB70+AB71+AB72+AB73+AB74+AB75+AB65</f>
        <v>-162429.012992</v>
      </c>
      <c r="AC76" s="44"/>
      <c r="AD76" s="44">
        <f>AD66+AD67+AD68+AD70+AD71+AD72+AD73+AD74+AD75+AD65</f>
        <v>-241606.94597531541</v>
      </c>
      <c r="AE76" s="44"/>
      <c r="AF76" s="170">
        <f>AD76/AB76-1</f>
        <v>0.48746176267915331</v>
      </c>
      <c r="AG76" s="44"/>
      <c r="AH76" s="44"/>
      <c r="AI76" s="44">
        <f>AI66+AI67+AI68+AI70+AI71+AI72+AI73+AI74+AI75+AI65</f>
        <v>-24897.219289999997</v>
      </c>
      <c r="AJ76" s="44"/>
      <c r="AK76" s="44">
        <f>AK66+AK67+AK68+AK70+AK71+AK72+AK73+AK74+AK75+AK65</f>
        <v>-29599.349717014607</v>
      </c>
    </row>
    <row r="77" spans="1:37" x14ac:dyDescent="0.3">
      <c r="C77" s="88" t="s">
        <v>43</v>
      </c>
      <c r="D77" s="117"/>
      <c r="E77" s="89"/>
      <c r="F77" s="89">
        <f>F35+F57+F76+F62</f>
        <v>666230.10667197395</v>
      </c>
      <c r="G77" s="89"/>
      <c r="H77" s="89">
        <f>H35+H57+H76+H62</f>
        <v>421278.95155593788</v>
      </c>
      <c r="I77" s="177">
        <f>H77/F77-1</f>
        <v>-0.36766749605424331</v>
      </c>
      <c r="J77" s="45"/>
      <c r="K77" s="89"/>
      <c r="L77" s="89">
        <f>L35+L57+L76+L62</f>
        <v>472541.9928822674</v>
      </c>
      <c r="M77" s="89"/>
      <c r="N77" s="89">
        <f>N35+N57+N76+N62</f>
        <v>311585.08157509821</v>
      </c>
      <c r="O77" s="177">
        <f>N77/L77-1</f>
        <v>-0.34061927560218164</v>
      </c>
      <c r="P77" s="90"/>
      <c r="Q77" s="89"/>
      <c r="R77" s="89">
        <f>R35+R57+R76+R62</f>
        <v>183575.18173954936</v>
      </c>
      <c r="S77" s="89"/>
      <c r="T77" s="89">
        <f>T35+T57+T76+T62</f>
        <v>134960.64076862563</v>
      </c>
      <c r="U77" s="90"/>
      <c r="V77" s="89"/>
      <c r="W77" s="89">
        <f>W35+W57+W76+W62</f>
        <v>30568.398689999991</v>
      </c>
      <c r="X77" s="89"/>
      <c r="Y77" s="89">
        <f>Y35+Y57+Y76+Y62</f>
        <v>-5339.9808800000101</v>
      </c>
      <c r="Z77" s="90"/>
      <c r="AA77" s="89"/>
      <c r="AB77" s="89">
        <f>AB35+AB57+AB76+AB62</f>
        <v>214143.58042954945</v>
      </c>
      <c r="AC77" s="89"/>
      <c r="AD77" s="89">
        <f>AD35+AD57+AD76+AD62</f>
        <v>129620.65988862564</v>
      </c>
      <c r="AE77" s="89"/>
      <c r="AF77" s="177">
        <f>AD77/AB77-1</f>
        <v>-0.39470209833691838</v>
      </c>
      <c r="AG77" s="90"/>
      <c r="AH77" s="89"/>
      <c r="AI77" s="89">
        <f>AI35+AI57+AI76+AI62</f>
        <v>-20455.466639842671</v>
      </c>
      <c r="AJ77" s="89"/>
      <c r="AK77" s="89">
        <f>AK35+AK57+AK76+AK62</f>
        <v>-19926.789907786231</v>
      </c>
    </row>
    <row r="78" spans="1:37" s="45" customFormat="1" x14ac:dyDescent="0.3">
      <c r="A78" s="36"/>
      <c r="B78" s="36"/>
      <c r="C78" s="36" t="s">
        <v>6</v>
      </c>
      <c r="D78" s="110">
        <v>23</v>
      </c>
      <c r="E78" s="38"/>
      <c r="F78" s="38">
        <f>SUM('Quarterly I.S IFRS17'!F78:H78)</f>
        <v>-188871.59846000001</v>
      </c>
      <c r="G78" s="38"/>
      <c r="H78" s="38">
        <f>SUM('Quarterly I.S IFRS17'!J78:L78)</f>
        <v>-129948.90303000002</v>
      </c>
      <c r="I78" s="132">
        <f>H78/F78-1</f>
        <v>-0.31197223886723702</v>
      </c>
      <c r="J78" s="36"/>
      <c r="K78" s="38"/>
      <c r="L78" s="38">
        <f>SUM('Quarterly I.S IFRS17'!Q78:S78)</f>
        <v>-145947.54584000001</v>
      </c>
      <c r="M78" s="38"/>
      <c r="N78" s="38">
        <f>SUM('Quarterly I.S IFRS17'!U78:W78)</f>
        <v>-87036.68207000001</v>
      </c>
      <c r="O78" s="132">
        <f>N78/L78-1</f>
        <v>-0.40364408617451542</v>
      </c>
      <c r="P78" s="36"/>
      <c r="Q78" s="38"/>
      <c r="R78" s="38">
        <f>SUM('Quarterly I.S IFRS17'!AB78:AD78)</f>
        <v>-34338.843950000002</v>
      </c>
      <c r="S78" s="38"/>
      <c r="T78" s="38">
        <f>SUM('Quarterly I.S IFRS17'!AF78:AH78)</f>
        <v>-40613.309000000001</v>
      </c>
      <c r="U78" s="36"/>
      <c r="V78" s="38"/>
      <c r="W78" s="38">
        <f>SUM('Quarterly I.S IFRS17'!AL78:AN78)</f>
        <v>-6560.9085699999996</v>
      </c>
      <c r="X78" s="38"/>
      <c r="Y78" s="38">
        <f>SUM('Quarterly I.S IFRS17'!AP78:AR78)</f>
        <v>21.840849999999904</v>
      </c>
      <c r="Z78" s="36"/>
      <c r="AA78" s="38"/>
      <c r="AB78" s="38">
        <f>R78+W78</f>
        <v>-40899.752520000002</v>
      </c>
      <c r="AC78" s="38"/>
      <c r="AD78" s="38">
        <f>T78+Y78</f>
        <v>-40591.468150000001</v>
      </c>
      <c r="AE78" s="38"/>
      <c r="AF78" s="132">
        <f>AD78/AB78-1</f>
        <v>-7.5375607676171352E-3</v>
      </c>
      <c r="AG78" s="36"/>
      <c r="AH78" s="38"/>
      <c r="AI78" s="38">
        <f>SUM('Quarterly I.S IFRS17'!BG78:BI78)</f>
        <v>-2024.3001000000002</v>
      </c>
      <c r="AJ78" s="38"/>
      <c r="AK78" s="38">
        <f>SUM('Quarterly I.S IFRS17'!BK78:BM78)</f>
        <v>-2320.75281</v>
      </c>
    </row>
    <row r="79" spans="1:37" x14ac:dyDescent="0.3">
      <c r="C79" s="39" t="s">
        <v>65</v>
      </c>
      <c r="D79" s="109"/>
      <c r="E79" s="40"/>
      <c r="F79" s="40">
        <f>-F78/F77</f>
        <v>0.2834930402702337</v>
      </c>
      <c r="G79" s="40"/>
      <c r="H79" s="40">
        <f>-H78/H77</f>
        <v>0.30846284285044623</v>
      </c>
      <c r="I79" s="169"/>
      <c r="K79" s="40"/>
      <c r="L79" s="40">
        <f>-L78/L77</f>
        <v>0.30885624566357311</v>
      </c>
      <c r="M79" s="40"/>
      <c r="N79" s="40">
        <f>-N78/N77</f>
        <v>0.27933520318116523</v>
      </c>
      <c r="O79" s="169"/>
      <c r="Q79" s="40"/>
      <c r="R79" s="40">
        <f>-R78/R77</f>
        <v>0.18705602589961678</v>
      </c>
      <c r="S79" s="40"/>
      <c r="T79" s="40">
        <f>-T78/T77</f>
        <v>0.30092706116909157</v>
      </c>
      <c r="V79" s="40"/>
      <c r="W79" s="40">
        <f>-W78/W77</f>
        <v>0.2146304304826509</v>
      </c>
      <c r="X79" s="40"/>
      <c r="Y79" s="40">
        <f>-Y78/Y77</f>
        <v>4.0900614610440067E-3</v>
      </c>
      <c r="AA79" s="40"/>
      <c r="AB79" s="40">
        <f>-AB78/AB77</f>
        <v>0.19099219522695665</v>
      </c>
      <c r="AC79" s="40"/>
      <c r="AD79" s="40">
        <f>-AD78/AD77</f>
        <v>0.31315585173596194</v>
      </c>
      <c r="AE79" s="40"/>
      <c r="AF79" s="169"/>
      <c r="AH79" s="40"/>
      <c r="AI79" s="40">
        <f>-AI78/AI77</f>
        <v>-9.8961325871545588E-2</v>
      </c>
      <c r="AJ79" s="40"/>
      <c r="AK79" s="40">
        <f>-AK78/AK77</f>
        <v>-0.1164639573528692</v>
      </c>
    </row>
    <row r="80" spans="1:37" x14ac:dyDescent="0.3">
      <c r="A80" s="45"/>
      <c r="B80" s="45"/>
      <c r="C80" s="86" t="s">
        <v>7</v>
      </c>
      <c r="D80" s="118"/>
      <c r="E80" s="87"/>
      <c r="F80" s="87">
        <f>SUM(F77:F78)</f>
        <v>477358.50821197394</v>
      </c>
      <c r="G80" s="87"/>
      <c r="H80" s="87">
        <f>SUM(H77:H78)</f>
        <v>291330.04852593783</v>
      </c>
      <c r="I80" s="178">
        <f>H80/F80-1</f>
        <v>-0.38970387347412494</v>
      </c>
      <c r="J80" s="45"/>
      <c r="K80" s="87"/>
      <c r="L80" s="87">
        <f>SUM(L77:L78)</f>
        <v>326594.44704226742</v>
      </c>
      <c r="M80" s="87"/>
      <c r="N80" s="87">
        <f>SUM(N77:N78)</f>
        <v>224548.3995050982</v>
      </c>
      <c r="O80" s="178">
        <f>N80/L80-1</f>
        <v>-0.31245493749611286</v>
      </c>
      <c r="P80" s="49"/>
      <c r="Q80" s="87"/>
      <c r="R80" s="87">
        <f>SUM(R77:R78)</f>
        <v>149236.33778954935</v>
      </c>
      <c r="S80" s="87"/>
      <c r="T80" s="87">
        <f>SUM(T77:T78)</f>
        <v>94347.33176862562</v>
      </c>
      <c r="U80" s="49"/>
      <c r="V80" s="87"/>
      <c r="W80" s="87">
        <f>SUM(W77:W78)</f>
        <v>24007.490119999991</v>
      </c>
      <c r="X80" s="87"/>
      <c r="Y80" s="87">
        <f>SUM(Y77:Y78)</f>
        <v>-5318.1400300000105</v>
      </c>
      <c r="Z80" s="49"/>
      <c r="AA80" s="87"/>
      <c r="AB80" s="87">
        <f>SUM(AB77:AB78)</f>
        <v>173243.82790954944</v>
      </c>
      <c r="AC80" s="87"/>
      <c r="AD80" s="87">
        <f>SUM(AD77:AD78)</f>
        <v>89029.191738625639</v>
      </c>
      <c r="AE80" s="87"/>
      <c r="AF80" s="178">
        <f>AD80/AB80-1</f>
        <v>-0.48610468371140036</v>
      </c>
      <c r="AG80" s="49"/>
      <c r="AH80" s="87"/>
      <c r="AI80" s="87">
        <f>SUM(AI77:AI78)</f>
        <v>-22479.766739842671</v>
      </c>
      <c r="AJ80" s="87"/>
      <c r="AK80" s="87">
        <f>SUM(AK77:AK78)</f>
        <v>-22247.542717786229</v>
      </c>
    </row>
    <row r="81" spans="1:37" s="45" customFormat="1" x14ac:dyDescent="0.3">
      <c r="A81" s="36"/>
      <c r="B81" s="36"/>
      <c r="C81" s="36" t="s">
        <v>8</v>
      </c>
      <c r="D81" s="110"/>
      <c r="E81" s="38"/>
      <c r="F81" s="38">
        <f>SUM('Quarterly I.S IFRS17'!F81:H81)</f>
        <v>-46715.012284149037</v>
      </c>
      <c r="G81" s="38"/>
      <c r="H81" s="38">
        <f>SUM('Quarterly I.S IFRS17'!J81:L81)</f>
        <v>-86906.29621345934</v>
      </c>
      <c r="I81" s="132">
        <f>H81/F81-1</f>
        <v>0.86035049471554315</v>
      </c>
      <c r="J81" s="36"/>
      <c r="K81" s="38"/>
      <c r="L81" s="38">
        <f>SUM('Quarterly I.S IFRS17'!Q81:S81)</f>
        <v>-14065.003094743715</v>
      </c>
      <c r="M81" s="38"/>
      <c r="N81" s="38">
        <f>SUM('Quarterly I.S IFRS17'!U81:W81)</f>
        <v>-71055.825696581538</v>
      </c>
      <c r="O81" s="132">
        <f>N81/L81-1</f>
        <v>4.0519594782838029</v>
      </c>
      <c r="P81" s="36"/>
      <c r="Q81" s="38"/>
      <c r="R81" s="38">
        <f>SUM('Quarterly I.S IFRS17'!AB81:AD81)</f>
        <v>-27840.465758669325</v>
      </c>
      <c r="S81" s="38"/>
      <c r="T81" s="38">
        <f>SUM('Quarterly I.S IFRS17'!AF81:AH81)</f>
        <v>-17269.2623583698</v>
      </c>
      <c r="U81" s="36"/>
      <c r="V81" s="38"/>
      <c r="W81" s="38">
        <f>SUM('Quarterly I.S IFRS17'!AL81:AN81)</f>
        <v>-4806.8590439999953</v>
      </c>
      <c r="X81" s="38"/>
      <c r="Y81" s="38">
        <f>SUM('Quarterly I.S IFRS17'!AP81:AR81)</f>
        <v>1421.3151000000041</v>
      </c>
      <c r="Z81" s="36"/>
      <c r="AA81" s="38"/>
      <c r="AB81" s="38">
        <f>R81+W81</f>
        <v>-32647.324802669318</v>
      </c>
      <c r="AC81" s="38"/>
      <c r="AD81" s="38">
        <f>T81+Y81</f>
        <v>-15847.947258369797</v>
      </c>
      <c r="AE81" s="38"/>
      <c r="AF81" s="132">
        <f>AD81/AB81-1</f>
        <v>-0.51457133611529371</v>
      </c>
      <c r="AG81" s="36"/>
      <c r="AH81" s="38"/>
      <c r="AI81" s="38">
        <f>SUM('Quarterly I.S IFRS17'!BG81:BI81)</f>
        <v>-2.6843867359997038</v>
      </c>
      <c r="AJ81" s="38"/>
      <c r="AK81" s="38">
        <f>SUM('Quarterly I.S IFRS17'!BK81:BM81)</f>
        <v>-2.5232585079997221</v>
      </c>
    </row>
    <row r="82" spans="1:37" x14ac:dyDescent="0.3">
      <c r="C82" s="39" t="s">
        <v>66</v>
      </c>
      <c r="D82" s="109"/>
      <c r="E82" s="40"/>
      <c r="F82" s="40">
        <f>-F81/F80</f>
        <v>9.7861484566658136E-2</v>
      </c>
      <c r="G82" s="40"/>
      <c r="H82" s="40">
        <f>-H81/H80</f>
        <v>0.29830872803263841</v>
      </c>
      <c r="I82" s="169"/>
      <c r="K82" s="40"/>
      <c r="L82" s="40">
        <f>-L81/L80</f>
        <v>4.3065652898021993E-2</v>
      </c>
      <c r="M82" s="40"/>
      <c r="N82" s="40">
        <f>-N81/N80</f>
        <v>0.31643879828663962</v>
      </c>
      <c r="O82" s="169"/>
      <c r="Q82" s="40"/>
      <c r="R82" s="40">
        <f>-R81/R80</f>
        <v>0.1865528608583889</v>
      </c>
      <c r="S82" s="40"/>
      <c r="T82" s="40">
        <f>-T81/T80</f>
        <v>0.18303922362871256</v>
      </c>
      <c r="V82" s="40"/>
      <c r="W82" s="40">
        <f>-W81/W80</f>
        <v>0.2002233061420915</v>
      </c>
      <c r="X82" s="40"/>
      <c r="Y82" s="40">
        <f>-Y81/Y80</f>
        <v>0.26725793077697529</v>
      </c>
      <c r="AA82" s="40"/>
      <c r="AB82" s="40">
        <f>-AB81/AB80</f>
        <v>0.18844726069961049</v>
      </c>
      <c r="AC82" s="40"/>
      <c r="AD82" s="40">
        <f>-AD81/AD80</f>
        <v>0.17800843688322632</v>
      </c>
      <c r="AE82" s="40"/>
      <c r="AF82" s="169"/>
      <c r="AH82" s="40"/>
      <c r="AI82" s="40">
        <f>-AI81/AI80</f>
        <v>-1.1941346042714724E-4</v>
      </c>
      <c r="AJ82" s="40"/>
      <c r="AK82" s="40">
        <f>-AK81/AK80</f>
        <v>-1.1341740254227961E-4</v>
      </c>
    </row>
    <row r="83" spans="1:37" x14ac:dyDescent="0.3">
      <c r="A83" s="45"/>
      <c r="B83" s="45"/>
      <c r="C83" s="86" t="s">
        <v>9</v>
      </c>
      <c r="D83" s="118"/>
      <c r="E83" s="87"/>
      <c r="F83" s="87">
        <f>SUM(F80:F81)</f>
        <v>430643.49592782487</v>
      </c>
      <c r="G83" s="87"/>
      <c r="H83" s="87">
        <f>SUM(H80:H81)</f>
        <v>204423.75231247849</v>
      </c>
      <c r="I83" s="178">
        <f>H83/F83-1</f>
        <v>-0.52530630499354025</v>
      </c>
      <c r="J83" s="45"/>
      <c r="K83" s="87"/>
      <c r="L83" s="87">
        <f>SUM(L80:L81)</f>
        <v>312529.44394752372</v>
      </c>
      <c r="M83" s="87"/>
      <c r="N83" s="87">
        <f>SUM(N80:N81)</f>
        <v>153492.57380851667</v>
      </c>
      <c r="O83" s="178">
        <f>N83/L83-1</f>
        <v>-0.50887003838816114</v>
      </c>
      <c r="P83" s="145"/>
      <c r="Q83" s="87"/>
      <c r="R83" s="87">
        <f>SUM(R80:R81)</f>
        <v>121395.87203088003</v>
      </c>
      <c r="S83" s="87"/>
      <c r="T83" s="87">
        <f>SUM(T80:T81)</f>
        <v>77078.069410255819</v>
      </c>
      <c r="U83" s="49"/>
      <c r="V83" s="87"/>
      <c r="W83" s="87">
        <f>SUM(W80:W81)</f>
        <v>19200.631075999998</v>
      </c>
      <c r="X83" s="87"/>
      <c r="Y83" s="87">
        <f>SUM(Y80:Y81)</f>
        <v>-3896.8249300000061</v>
      </c>
      <c r="Z83" s="49"/>
      <c r="AA83" s="87"/>
      <c r="AB83" s="87">
        <f>SUM(AB80:AB81)</f>
        <v>140596.50310688012</v>
      </c>
      <c r="AC83" s="87"/>
      <c r="AD83" s="87">
        <f>SUM(AD80:AD81)</f>
        <v>73181.244480255846</v>
      </c>
      <c r="AE83" s="87"/>
      <c r="AF83" s="178">
        <f>AD83/AB83-1</f>
        <v>-0.47949456164906068</v>
      </c>
      <c r="AG83" s="49"/>
      <c r="AH83" s="87"/>
      <c r="AI83" s="87">
        <f>SUM(AI80:AI81)</f>
        <v>-22482.451126578671</v>
      </c>
      <c r="AJ83" s="87"/>
      <c r="AK83" s="87">
        <f>SUM(AK80:AK81)</f>
        <v>-22250.06597629423</v>
      </c>
    </row>
    <row r="84" spans="1:37" s="45" customFormat="1" x14ac:dyDescent="0.3">
      <c r="A84" s="36"/>
      <c r="B84" s="36"/>
      <c r="C84" s="59" t="s">
        <v>51</v>
      </c>
      <c r="D84" s="119"/>
      <c r="E84" s="60"/>
      <c r="F84" s="60">
        <f>F83-SUM('Quarterly I.S IFRS17'!F83:H83)</f>
        <v>0</v>
      </c>
      <c r="G84" s="60"/>
      <c r="H84" s="60">
        <f>H83-SUM('Quarterly I.S IFRS17'!J83:L83)</f>
        <v>-5.8207660913467407E-10</v>
      </c>
      <c r="I84" s="179"/>
      <c r="J84" s="59"/>
      <c r="K84" s="60"/>
      <c r="L84" s="60">
        <f>L83-SUM('Quarterly I.S IFRS17'!Q83:S83)</f>
        <v>0</v>
      </c>
      <c r="M84" s="60"/>
      <c r="N84" s="60">
        <f>N83-SUM('Quarterly I.S IFRS17'!U83:W83)</f>
        <v>-4.6566128730773926E-10</v>
      </c>
      <c r="O84" s="179"/>
      <c r="P84" s="59"/>
      <c r="Q84" s="60"/>
      <c r="R84" s="60">
        <f>R83-SUM('Quarterly I.S IFRS17'!AB83:AD83)</f>
        <v>2.1827872842550278E-10</v>
      </c>
      <c r="S84" s="60"/>
      <c r="T84" s="60">
        <f>T83-SUM('Quarterly I.S IFRS17'!AF83:AH83)</f>
        <v>-3.0559021979570389E-10</v>
      </c>
      <c r="U84" s="59"/>
      <c r="V84" s="60"/>
      <c r="W84" s="60">
        <f>W83-SUM('Quarterly I.S IFRS17'!AL83:AN83)</f>
        <v>0</v>
      </c>
      <c r="X84" s="60"/>
      <c r="Y84" s="60">
        <f>Y83-SUM('Quarterly I.S IFRS17'!AP83:AR83)</f>
        <v>1.0004441719502211E-11</v>
      </c>
      <c r="Z84" s="59"/>
      <c r="AA84" s="60"/>
      <c r="AB84" s="60">
        <f>AB83-R83-W83</f>
        <v>9.4587448984384537E-11</v>
      </c>
      <c r="AC84" s="60"/>
      <c r="AD84" s="60">
        <f>AD83-T83-Y83</f>
        <v>3.2741809263825417E-11</v>
      </c>
      <c r="AE84" s="60"/>
      <c r="AF84" s="179"/>
      <c r="AG84" s="59"/>
      <c r="AH84" s="60"/>
      <c r="AI84" s="60">
        <f>AI83-SUM('Quarterly I.S IFRS17'!BG83:BI83)</f>
        <v>0</v>
      </c>
      <c r="AJ84" s="60"/>
      <c r="AK84" s="60">
        <f>AK83-SUM('Quarterly I.S IFRS17'!BK83:BM83)</f>
        <v>0</v>
      </c>
    </row>
    <row r="85" spans="1:37" x14ac:dyDescent="0.3">
      <c r="C85" s="39" t="s">
        <v>83</v>
      </c>
      <c r="D85" s="109"/>
      <c r="E85" s="40"/>
      <c r="F85" s="40">
        <f>F83/AVERAGE(E100:F100)*12/9</f>
        <v>0.18689975381014776</v>
      </c>
      <c r="G85" s="40"/>
      <c r="H85" s="40">
        <f>H83/AVERAGE(G100:H100)*12/9</f>
        <v>7.6275986838792262E-2</v>
      </c>
      <c r="I85" s="169"/>
      <c r="K85" s="40"/>
      <c r="L85" s="40">
        <f>L83/AVERAGE(K101:L101)*12/9</f>
        <v>0.1518087098429915</v>
      </c>
      <c r="M85" s="40"/>
      <c r="N85" s="40">
        <f>N83/AVERAGE(M101:N101)*12/9</f>
        <v>6.5821730263013536E-2</v>
      </c>
      <c r="O85" s="169"/>
      <c r="Q85" s="40"/>
      <c r="R85" s="40">
        <f>R83/AVERAGE(Q102:R102)*12/9</f>
        <v>0.53040251619660395</v>
      </c>
      <c r="S85" s="40"/>
      <c r="T85" s="40">
        <f>T83/AVERAGE(S102:T102)*12/9</f>
        <v>0.22785949101406736</v>
      </c>
      <c r="V85" s="40"/>
      <c r="W85" s="40">
        <f>W83/AVERAGE(V103:W103)*12/9</f>
        <v>1.1593898933419351</v>
      </c>
      <c r="X85" s="40"/>
      <c r="Y85" s="40">
        <f>Y83/AVERAGE(X103:Y103)*12/9</f>
        <v>-0.396022460287625</v>
      </c>
      <c r="AA85" s="40"/>
      <c r="AB85" s="40">
        <f>(AB83/AVERAGE(SUM(AA102:AA103),SUM(AB102:AB103)))*12/9</f>
        <v>0.57284391697245862</v>
      </c>
      <c r="AC85" s="40"/>
      <c r="AD85" s="40">
        <f>(AD83/AVERAGE(SUM(AC102:AC103),SUM(AD102:AD103)))*12/9</f>
        <v>0.21022443278213729</v>
      </c>
      <c r="AE85" s="40"/>
      <c r="AF85" s="169"/>
      <c r="AH85" s="40"/>
      <c r="AI85" s="40"/>
      <c r="AJ85" s="40"/>
      <c r="AK85" s="40"/>
    </row>
    <row r="86" spans="1:37" x14ac:dyDescent="0.3">
      <c r="A86" s="45"/>
      <c r="B86" s="45"/>
      <c r="C86" s="39" t="s">
        <v>132</v>
      </c>
      <c r="D86" s="109"/>
      <c r="E86" s="40"/>
      <c r="F86" s="40">
        <f>F83/F105*12/9</f>
        <v>0.18223056039856361</v>
      </c>
      <c r="G86" s="40"/>
      <c r="H86" s="40">
        <f>H83/H105*12/9</f>
        <v>7.4524339592260375E-2</v>
      </c>
      <c r="I86" s="169"/>
      <c r="K86" s="40"/>
      <c r="L86" s="40">
        <f>L83/L106*12/9</f>
        <v>0.14914812823372914</v>
      </c>
      <c r="M86" s="40"/>
      <c r="N86" s="40">
        <f>N83/N106*12/9</f>
        <v>6.5645108026742865E-2</v>
      </c>
      <c r="O86" s="169"/>
      <c r="Q86" s="40"/>
      <c r="R86" s="40">
        <f>R83/R107*12/9</f>
        <v>0.47630883230381965</v>
      </c>
      <c r="S86" s="40"/>
      <c r="T86" s="40">
        <f>T83/T107*12/9</f>
        <v>0.189953057492802</v>
      </c>
      <c r="V86" s="40"/>
      <c r="W86" s="40">
        <f>W83/W108*12/9</f>
        <v>1.4905607667758975</v>
      </c>
      <c r="X86" s="40"/>
      <c r="Y86" s="40">
        <f>Y83/Y108*12/9</f>
        <v>4.1214550359123301</v>
      </c>
      <c r="AA86" s="40"/>
      <c r="AB86" s="40">
        <f>AB83/SUM(AB107:AB108)*12/9</f>
        <v>0.52510470038995216</v>
      </c>
      <c r="AC86" s="40"/>
      <c r="AD86" s="40">
        <f>AD83/SUM(AD107:AD108)*12/9</f>
        <v>0.18077084326979007</v>
      </c>
      <c r="AE86" s="40"/>
      <c r="AF86" s="169"/>
      <c r="AH86" s="40"/>
      <c r="AI86" s="40"/>
      <c r="AJ86" s="40"/>
      <c r="AK86" s="40"/>
    </row>
    <row r="87" spans="1:37" x14ac:dyDescent="0.3">
      <c r="C87" s="39" t="s">
        <v>84</v>
      </c>
      <c r="D87" s="109"/>
      <c r="E87" s="40"/>
      <c r="F87" s="40"/>
      <c r="G87" s="40"/>
      <c r="H87" s="40"/>
      <c r="I87" s="169"/>
      <c r="K87" s="40"/>
      <c r="L87" s="40">
        <f>L80/AVERAGE(K123:L123)*12/9</f>
        <v>2.0748802147938918E-2</v>
      </c>
      <c r="M87" s="40"/>
      <c r="N87" s="40">
        <f>N80/AVERAGE(M123:N123)*12/9</f>
        <v>1.458986855881534E-2</v>
      </c>
      <c r="O87" s="169"/>
      <c r="Q87" s="40"/>
      <c r="R87" s="40"/>
      <c r="S87" s="40"/>
      <c r="T87" s="40"/>
      <c r="V87" s="40"/>
      <c r="W87" s="40"/>
      <c r="X87" s="40"/>
      <c r="Y87" s="40"/>
      <c r="AA87" s="40"/>
      <c r="AB87" s="40"/>
      <c r="AC87" s="40"/>
      <c r="AD87" s="40"/>
      <c r="AE87" s="40"/>
      <c r="AF87" s="169"/>
      <c r="AH87" s="40"/>
      <c r="AI87" s="40"/>
      <c r="AJ87" s="40"/>
      <c r="AK87" s="40"/>
    </row>
    <row r="88" spans="1:37" x14ac:dyDescent="0.3">
      <c r="C88" s="45"/>
      <c r="D88" s="112"/>
      <c r="E88" s="62"/>
      <c r="F88" s="62"/>
      <c r="G88" s="62"/>
      <c r="H88" s="62"/>
      <c r="I88" s="131"/>
      <c r="K88" s="62"/>
      <c r="L88" s="130"/>
      <c r="M88" s="130"/>
      <c r="N88" s="130"/>
      <c r="O88" s="131"/>
      <c r="Q88" s="62"/>
      <c r="R88" s="62"/>
      <c r="S88" s="62"/>
      <c r="T88" s="62"/>
      <c r="V88" s="62"/>
      <c r="W88" s="62"/>
      <c r="X88" s="62"/>
      <c r="Y88" s="62"/>
      <c r="AA88" s="62"/>
      <c r="AB88" s="62"/>
      <c r="AC88" s="62"/>
      <c r="AD88" s="62"/>
      <c r="AE88" s="62"/>
      <c r="AF88" s="131"/>
      <c r="AH88" s="62"/>
      <c r="AI88" s="62"/>
      <c r="AJ88" s="62"/>
      <c r="AK88" s="62"/>
    </row>
    <row r="89" spans="1:37" x14ac:dyDescent="0.3">
      <c r="C89" s="30" t="s">
        <v>171</v>
      </c>
      <c r="D89" s="30"/>
      <c r="E89" s="31"/>
      <c r="F89" s="31"/>
      <c r="G89" s="31"/>
      <c r="H89" s="31"/>
      <c r="I89" s="180"/>
      <c r="J89" s="32"/>
      <c r="K89" s="31"/>
      <c r="L89" s="31"/>
      <c r="M89" s="31"/>
      <c r="N89" s="31"/>
      <c r="O89" s="180"/>
      <c r="P89" s="32"/>
      <c r="Q89" s="31"/>
      <c r="R89" s="31"/>
      <c r="S89" s="31"/>
      <c r="T89" s="31"/>
      <c r="U89" s="32"/>
      <c r="V89" s="31"/>
      <c r="W89" s="31"/>
      <c r="X89" s="31"/>
      <c r="Y89" s="31"/>
      <c r="Z89" s="32"/>
      <c r="AA89" s="31"/>
      <c r="AB89" s="31"/>
      <c r="AC89" s="31"/>
      <c r="AD89" s="31"/>
      <c r="AE89" s="31"/>
      <c r="AF89" s="180"/>
      <c r="AG89" s="32"/>
      <c r="AH89" s="31"/>
      <c r="AI89" s="31"/>
      <c r="AJ89" s="31"/>
      <c r="AK89" s="31"/>
    </row>
    <row r="90" spans="1:37" s="32" customFormat="1" x14ac:dyDescent="0.3">
      <c r="A90" s="36"/>
      <c r="B90" s="36"/>
      <c r="C90" s="63" t="s">
        <v>172</v>
      </c>
      <c r="D90" s="63"/>
      <c r="E90" s="150">
        <f>E83</f>
        <v>0</v>
      </c>
      <c r="F90" s="150">
        <f>F83</f>
        <v>430643.49592782487</v>
      </c>
      <c r="G90" s="150"/>
      <c r="H90" s="150">
        <f>H83</f>
        <v>204423.75231247849</v>
      </c>
      <c r="I90" s="168"/>
      <c r="J90" s="35"/>
      <c r="K90" s="34"/>
      <c r="L90" s="34"/>
      <c r="M90" s="34"/>
      <c r="N90" s="34"/>
      <c r="O90" s="168"/>
      <c r="P90" s="35"/>
      <c r="Q90" s="34"/>
      <c r="R90" s="34"/>
      <c r="S90" s="34"/>
      <c r="T90" s="34"/>
      <c r="U90" s="35"/>
      <c r="V90" s="34"/>
      <c r="W90" s="34"/>
      <c r="X90" s="34"/>
      <c r="Y90" s="34"/>
      <c r="Z90" s="35"/>
      <c r="AA90" s="34"/>
      <c r="AB90" s="34"/>
      <c r="AC90" s="34"/>
      <c r="AD90" s="34"/>
      <c r="AE90" s="34"/>
      <c r="AF90" s="168"/>
      <c r="AG90" s="35"/>
      <c r="AH90" s="34"/>
      <c r="AI90" s="34"/>
      <c r="AJ90" s="34"/>
      <c r="AK90" s="34"/>
    </row>
    <row r="91" spans="1:37" s="35" customFormat="1" x14ac:dyDescent="0.3">
      <c r="A91" s="36"/>
      <c r="B91" s="36"/>
      <c r="C91" s="65" t="str">
        <f>'Quarterly I.S'!C96</f>
        <v>Net effect of new Rent standard</v>
      </c>
      <c r="D91" s="77"/>
      <c r="E91" s="70"/>
      <c r="F91" s="70">
        <f>SUM('Quarterly I.S IFRS17'!F91:H91)</f>
        <v>18568</v>
      </c>
      <c r="G91" s="70"/>
      <c r="H91" s="70">
        <f>SUM('Quarterly I.S IFRS17'!J91:L91)</f>
        <v>26162</v>
      </c>
      <c r="I91" s="181"/>
      <c r="J91" s="64"/>
      <c r="K91" s="67"/>
      <c r="L91" s="67"/>
      <c r="M91" s="67"/>
      <c r="N91" s="67"/>
      <c r="O91" s="181"/>
      <c r="P91" s="64"/>
      <c r="Q91" s="67"/>
      <c r="R91" s="67"/>
      <c r="S91" s="67"/>
      <c r="T91" s="67"/>
      <c r="U91" s="64"/>
      <c r="V91" s="67"/>
      <c r="W91" s="67"/>
      <c r="X91" s="67"/>
      <c r="Y91" s="67"/>
      <c r="Z91" s="64"/>
      <c r="AA91" s="67"/>
      <c r="AB91" s="67"/>
      <c r="AC91" s="67"/>
      <c r="AD91" s="67"/>
      <c r="AE91" s="67"/>
      <c r="AF91" s="181"/>
      <c r="AG91" s="64"/>
      <c r="AH91" s="67"/>
      <c r="AI91" s="67"/>
      <c r="AJ91" s="67"/>
      <c r="AK91" s="67"/>
    </row>
    <row r="92" spans="1:37" s="64" customFormat="1" x14ac:dyDescent="0.3">
      <c r="A92" s="35"/>
      <c r="B92" s="33"/>
      <c r="C92" s="65" t="str">
        <f>'Quarterly I.S'!C98</f>
        <v>Tech Investments</v>
      </c>
      <c r="D92" s="77"/>
      <c r="E92" s="70"/>
      <c r="F92" s="70">
        <f>SUM('Quarterly I.S IFRS17'!F92:H92)</f>
        <v>28987</v>
      </c>
      <c r="G92" s="70"/>
      <c r="H92" s="70">
        <f>SUM('Quarterly I.S IFRS17'!J92:L92)</f>
        <v>28445</v>
      </c>
      <c r="I92" s="181"/>
      <c r="K92" s="67"/>
      <c r="L92" s="67"/>
      <c r="M92" s="67"/>
      <c r="N92" s="67"/>
      <c r="O92" s="181"/>
      <c r="Q92" s="67"/>
      <c r="R92" s="67"/>
      <c r="S92" s="67"/>
      <c r="T92" s="67"/>
      <c r="V92" s="67"/>
      <c r="W92" s="67"/>
      <c r="X92" s="67"/>
      <c r="Y92" s="67"/>
      <c r="AA92" s="67"/>
      <c r="AB92" s="67"/>
      <c r="AC92" s="67"/>
      <c r="AD92" s="67"/>
      <c r="AE92" s="67"/>
      <c r="AF92" s="181"/>
      <c r="AH92" s="67"/>
      <c r="AI92" s="67"/>
      <c r="AJ92" s="67"/>
      <c r="AK92" s="67"/>
    </row>
    <row r="93" spans="1:37" s="64" customFormat="1" x14ac:dyDescent="0.3">
      <c r="C93" s="65" t="str">
        <f>'Quarterly I.S'!C100</f>
        <v>ESOP</v>
      </c>
      <c r="D93" s="77"/>
      <c r="E93" s="70"/>
      <c r="F93" s="70">
        <f>SUM('Quarterly I.S IFRS17'!F93:H93)</f>
        <v>2411</v>
      </c>
      <c r="G93" s="70"/>
      <c r="H93" s="70">
        <f>SUM('Quarterly I.S IFRS17'!J93:L93)</f>
        <v>2034</v>
      </c>
      <c r="I93" s="181"/>
      <c r="K93" s="67"/>
      <c r="L93" s="67"/>
      <c r="M93" s="67"/>
      <c r="N93" s="67"/>
      <c r="O93" s="181"/>
      <c r="Q93" s="67"/>
      <c r="R93" s="67"/>
      <c r="S93" s="67"/>
      <c r="T93" s="67"/>
      <c r="V93" s="67"/>
      <c r="W93" s="67"/>
      <c r="X93" s="67"/>
      <c r="Y93" s="67"/>
      <c r="AA93" s="67"/>
      <c r="AB93" s="67"/>
      <c r="AC93" s="67"/>
      <c r="AD93" s="67"/>
      <c r="AE93" s="67"/>
      <c r="AF93" s="181"/>
      <c r="AH93" s="67"/>
      <c r="AI93" s="67"/>
      <c r="AJ93" s="67"/>
      <c r="AK93" s="67"/>
    </row>
    <row r="94" spans="1:37" s="64" customFormat="1" x14ac:dyDescent="0.3">
      <c r="C94" s="65" t="str">
        <f>'Quarterly I.S'!C101</f>
        <v>Tax adjustments</v>
      </c>
      <c r="D94" s="77"/>
      <c r="E94" s="70"/>
      <c r="F94" s="70">
        <f>SUM('Quarterly I.S IFRS17'!F94:H94)</f>
        <v>31881.7678910879</v>
      </c>
      <c r="G94" s="70"/>
      <c r="H94" s="70">
        <f>SUM('Quarterly I.S IFRS17'!J94:L94)</f>
        <v>12462.000000000002</v>
      </c>
      <c r="I94" s="181"/>
      <c r="K94" s="67"/>
      <c r="L94" s="67"/>
      <c r="M94" s="67"/>
      <c r="N94" s="67"/>
      <c r="O94" s="181"/>
      <c r="Q94" s="67"/>
      <c r="R94" s="67"/>
      <c r="S94" s="67"/>
      <c r="T94" s="67"/>
      <c r="V94" s="67"/>
      <c r="W94" s="67"/>
      <c r="X94" s="67"/>
      <c r="Y94" s="67"/>
      <c r="AA94" s="67"/>
      <c r="AB94" s="67"/>
      <c r="AC94" s="67"/>
      <c r="AD94" s="67"/>
      <c r="AE94" s="67"/>
      <c r="AF94" s="181"/>
      <c r="AH94" s="67"/>
      <c r="AI94" s="67"/>
      <c r="AJ94" s="67"/>
      <c r="AK94" s="67"/>
    </row>
    <row r="95" spans="1:37" s="64" customFormat="1" x14ac:dyDescent="0.3">
      <c r="C95" s="65" t="str">
        <f>'Quarterly I.S'!C102</f>
        <v>Special provision</v>
      </c>
      <c r="D95" s="77"/>
      <c r="E95" s="70"/>
      <c r="F95" s="70">
        <f>SUM('Quarterly I.S IFRS17'!F95:H95)</f>
        <v>-14800</v>
      </c>
      <c r="G95" s="70"/>
      <c r="H95" s="70">
        <f>SUM('Quarterly I.S IFRS17'!J95:L95)</f>
        <v>6000</v>
      </c>
      <c r="I95" s="181"/>
      <c r="K95" s="67"/>
      <c r="L95" s="67"/>
      <c r="M95" s="67"/>
      <c r="N95" s="67"/>
      <c r="O95" s="181"/>
      <c r="Q95" s="67"/>
      <c r="R95" s="67"/>
      <c r="S95" s="67"/>
      <c r="T95" s="67"/>
      <c r="V95" s="67"/>
      <c r="W95" s="67"/>
      <c r="X95" s="67"/>
      <c r="Y95" s="67"/>
      <c r="AA95" s="67"/>
      <c r="AB95" s="67"/>
      <c r="AC95" s="67"/>
      <c r="AD95" s="67"/>
      <c r="AE95" s="67"/>
      <c r="AF95" s="181"/>
      <c r="AH95" s="67"/>
      <c r="AI95" s="67"/>
      <c r="AJ95" s="67"/>
      <c r="AK95" s="67"/>
    </row>
    <row r="96" spans="1:37" s="64" customFormat="1" ht="13.5" thickBot="1" x14ac:dyDescent="0.35">
      <c r="C96" s="151" t="s">
        <v>171</v>
      </c>
      <c r="D96" s="152"/>
      <c r="E96" s="154">
        <f>SUM(E90:E95)</f>
        <v>0</v>
      </c>
      <c r="F96" s="154">
        <f>SUM(F90:F95)</f>
        <v>497691.26381891279</v>
      </c>
      <c r="G96" s="154">
        <f>SUM(G90:G95)</f>
        <v>0</v>
      </c>
      <c r="H96" s="154">
        <f>SUM(H90:H95)</f>
        <v>279526.75231247849</v>
      </c>
      <c r="I96" s="175">
        <f>H96/F96-1</f>
        <v>-0.43835310636638869</v>
      </c>
      <c r="K96" s="67"/>
      <c r="L96" s="67"/>
      <c r="M96" s="67"/>
      <c r="N96" s="67"/>
      <c r="O96" s="204"/>
      <c r="Q96" s="67"/>
      <c r="R96" s="67"/>
      <c r="S96" s="67"/>
      <c r="T96" s="67"/>
      <c r="V96" s="67"/>
      <c r="W96" s="67"/>
      <c r="X96" s="67"/>
      <c r="Y96" s="67"/>
      <c r="AA96" s="67"/>
      <c r="AB96" s="67"/>
      <c r="AC96" s="67"/>
      <c r="AD96" s="67"/>
      <c r="AE96" s="67"/>
      <c r="AF96" s="175"/>
      <c r="AH96" s="67"/>
      <c r="AI96" s="67"/>
      <c r="AJ96" s="67"/>
      <c r="AK96" s="67"/>
    </row>
    <row r="97" spans="1:37" s="64" customFormat="1" ht="13.5" thickTop="1" x14ac:dyDescent="0.3">
      <c r="B97" s="65"/>
      <c r="C97" s="45"/>
      <c r="D97" s="112"/>
      <c r="E97" s="62"/>
      <c r="F97" s="62"/>
      <c r="G97" s="62"/>
      <c r="H97" s="62"/>
      <c r="I97" s="131"/>
      <c r="J97" s="36"/>
      <c r="K97" s="62"/>
      <c r="L97" s="62"/>
      <c r="M97" s="62"/>
      <c r="N97" s="62"/>
      <c r="O97" s="131"/>
      <c r="P97" s="36"/>
      <c r="Q97" s="62"/>
      <c r="R97" s="62"/>
      <c r="S97" s="62"/>
      <c r="T97" s="62"/>
      <c r="U97" s="36"/>
      <c r="V97" s="62"/>
      <c r="W97" s="62"/>
      <c r="X97" s="62"/>
      <c r="Y97" s="62"/>
      <c r="Z97" s="36"/>
      <c r="AA97" s="62"/>
      <c r="AB97" s="62"/>
      <c r="AC97" s="62"/>
      <c r="AD97" s="62"/>
      <c r="AE97" s="62"/>
      <c r="AF97" s="131"/>
      <c r="AG97" s="36"/>
      <c r="AH97" s="62"/>
      <c r="AI97" s="62"/>
      <c r="AJ97" s="62"/>
      <c r="AK97" s="62"/>
    </row>
    <row r="98" spans="1:37" x14ac:dyDescent="0.3">
      <c r="A98" s="64"/>
      <c r="B98" s="64"/>
      <c r="C98" s="30" t="s">
        <v>102</v>
      </c>
      <c r="D98" s="30"/>
      <c r="E98" s="31"/>
      <c r="F98" s="31"/>
      <c r="G98" s="31"/>
      <c r="H98" s="31"/>
      <c r="I98" s="180"/>
      <c r="J98" s="32"/>
      <c r="K98" s="31"/>
      <c r="L98" s="31"/>
      <c r="M98" s="31"/>
      <c r="N98" s="31"/>
      <c r="O98" s="180"/>
      <c r="P98" s="32"/>
      <c r="Q98" s="31"/>
      <c r="R98" s="31"/>
      <c r="S98" s="31"/>
      <c r="T98" s="31"/>
      <c r="U98" s="32"/>
      <c r="V98" s="31"/>
      <c r="W98" s="31"/>
      <c r="X98" s="31"/>
      <c r="Y98" s="31"/>
      <c r="Z98" s="32"/>
      <c r="AA98" s="31"/>
      <c r="AB98" s="31"/>
      <c r="AC98" s="31"/>
      <c r="AD98" s="31"/>
      <c r="AE98" s="31"/>
      <c r="AF98" s="180"/>
      <c r="AG98" s="32"/>
      <c r="AH98" s="31"/>
      <c r="AI98" s="31"/>
      <c r="AJ98" s="31"/>
      <c r="AK98" s="31"/>
    </row>
    <row r="99" spans="1:37" s="32" customFormat="1" x14ac:dyDescent="0.3">
      <c r="A99" s="64"/>
      <c r="B99" s="64"/>
      <c r="C99" s="63" t="s">
        <v>103</v>
      </c>
      <c r="D99" s="63"/>
      <c r="E99" s="34"/>
      <c r="F99" s="34"/>
      <c r="G99" s="34"/>
      <c r="H99" s="34"/>
      <c r="I99" s="168"/>
      <c r="J99" s="35"/>
      <c r="K99" s="34"/>
      <c r="L99" s="34"/>
      <c r="M99" s="34"/>
      <c r="N99" s="34"/>
      <c r="O99" s="168"/>
      <c r="P99" s="35"/>
      <c r="Q99" s="34"/>
      <c r="R99" s="34"/>
      <c r="S99" s="34"/>
      <c r="T99" s="34"/>
      <c r="U99" s="35"/>
      <c r="V99" s="34"/>
      <c r="W99" s="34"/>
      <c r="X99" s="34"/>
      <c r="Y99" s="34"/>
      <c r="Z99" s="35"/>
      <c r="AA99" s="34"/>
      <c r="AB99" s="34"/>
      <c r="AC99" s="34"/>
      <c r="AD99" s="34"/>
      <c r="AE99" s="34"/>
      <c r="AF99" s="168"/>
      <c r="AG99" s="35"/>
      <c r="AH99" s="34"/>
      <c r="AI99" s="34"/>
      <c r="AJ99" s="34"/>
      <c r="AK99" s="34"/>
    </row>
    <row r="100" spans="1:37" s="35" customFormat="1" x14ac:dyDescent="0.3">
      <c r="A100" s="36"/>
      <c r="B100" s="36"/>
      <c r="C100" s="65" t="s">
        <v>81</v>
      </c>
      <c r="D100" s="77"/>
      <c r="E100" s="69">
        <f>'Quarterly I.S IFRS17'!E100</f>
        <v>2904358.2520794603</v>
      </c>
      <c r="F100" s="69">
        <f>'Quarterly I.S IFRS17'!H100</f>
        <v>3240019.3214408178</v>
      </c>
      <c r="G100" s="69">
        <f>'Quarterly I.S IFRS17'!I100</f>
        <v>3477593.3382173507</v>
      </c>
      <c r="H100" s="69">
        <f>'Quarterly I.S IFRS17'!L100</f>
        <v>3669216.9327363432</v>
      </c>
      <c r="I100" s="182">
        <f>H100/F100-1</f>
        <v>0.1324676085896499</v>
      </c>
      <c r="J100" s="64"/>
      <c r="K100" s="67">
        <f>$E100</f>
        <v>2904358.2520794603</v>
      </c>
      <c r="L100" s="67">
        <f>$F100</f>
        <v>3240019.3214408178</v>
      </c>
      <c r="M100" s="67">
        <f>$G100</f>
        <v>3477593.3382173507</v>
      </c>
      <c r="N100" s="67">
        <f>$H100</f>
        <v>3669216.9327363432</v>
      </c>
      <c r="O100" s="182">
        <f>N100/L100-1</f>
        <v>0.1324676085896499</v>
      </c>
      <c r="P100" s="64"/>
      <c r="Q100" s="67">
        <f>$E100</f>
        <v>2904358.2520794603</v>
      </c>
      <c r="R100" s="67">
        <f>$F100</f>
        <v>3240019.3214408178</v>
      </c>
      <c r="S100" s="67">
        <f>$G100</f>
        <v>3477593.3382173507</v>
      </c>
      <c r="T100" s="67">
        <f>$H100</f>
        <v>3669216.9327363432</v>
      </c>
      <c r="U100" s="64"/>
      <c r="V100" s="67">
        <f>$E100</f>
        <v>2904358.2520794603</v>
      </c>
      <c r="W100" s="67">
        <f>$F100</f>
        <v>3240019.3214408178</v>
      </c>
      <c r="X100" s="67">
        <f>$G100</f>
        <v>3477593.3382173507</v>
      </c>
      <c r="Y100" s="67">
        <f>$H100</f>
        <v>3669216.9327363432</v>
      </c>
      <c r="Z100" s="64"/>
      <c r="AA100" s="67">
        <f>$E100</f>
        <v>2904358.2520794603</v>
      </c>
      <c r="AB100" s="67">
        <f>$F100</f>
        <v>3240019.3214408178</v>
      </c>
      <c r="AC100" s="67">
        <f>$G100</f>
        <v>3477593.3382173507</v>
      </c>
      <c r="AD100" s="67">
        <f>$H100</f>
        <v>3669216.9327363432</v>
      </c>
      <c r="AE100" s="67"/>
      <c r="AF100" s="182">
        <f>AD100/AB100-1</f>
        <v>0.1324676085896499</v>
      </c>
      <c r="AG100" s="64"/>
      <c r="AH100" s="67">
        <f>$E100</f>
        <v>2904358.2520794603</v>
      </c>
      <c r="AI100" s="67">
        <f>$F100</f>
        <v>3240019.3214408178</v>
      </c>
      <c r="AJ100" s="67">
        <f>$G100</f>
        <v>3477593.3382173507</v>
      </c>
      <c r="AK100" s="67">
        <f>$H100</f>
        <v>3669216.9327363432</v>
      </c>
    </row>
    <row r="101" spans="1:37" s="64" customFormat="1" x14ac:dyDescent="0.3">
      <c r="A101" s="32"/>
      <c r="B101" s="29"/>
      <c r="C101" s="65" t="s">
        <v>82</v>
      </c>
      <c r="D101" s="77"/>
      <c r="E101" s="67">
        <f>E100-E102-E103</f>
        <v>2617152.4164260603</v>
      </c>
      <c r="F101" s="67">
        <f>F100-F102-F103</f>
        <v>2872729.2339001177</v>
      </c>
      <c r="G101" s="67">
        <f>G100-G102-G103</f>
        <v>3089561.8947073505</v>
      </c>
      <c r="H101" s="67">
        <f>H100-H102-H103</f>
        <v>3128954.8249305324</v>
      </c>
      <c r="I101" s="183">
        <f>H101/F101-1</f>
        <v>8.9192391683414529E-2</v>
      </c>
      <c r="K101" s="67">
        <f>$E101</f>
        <v>2617152.4164260603</v>
      </c>
      <c r="L101" s="67">
        <f>$F101</f>
        <v>2872729.2339001177</v>
      </c>
      <c r="M101" s="67">
        <f>$G101</f>
        <v>3089561.8947073505</v>
      </c>
      <c r="N101" s="67">
        <f>$H101</f>
        <v>3128954.8249305324</v>
      </c>
      <c r="O101" s="183">
        <f>N101/L101-1</f>
        <v>8.9192391683414529E-2</v>
      </c>
      <c r="Q101" s="67">
        <f>$E101</f>
        <v>2617152.4164260603</v>
      </c>
      <c r="R101" s="67">
        <f>$F101</f>
        <v>2872729.2339001177</v>
      </c>
      <c r="S101" s="67">
        <f>$G101</f>
        <v>3089561.8947073505</v>
      </c>
      <c r="T101" s="67">
        <f>$H101</f>
        <v>3128954.8249305324</v>
      </c>
      <c r="V101" s="67">
        <f>$E101</f>
        <v>2617152.4164260603</v>
      </c>
      <c r="W101" s="67">
        <f>$F101</f>
        <v>2872729.2339001177</v>
      </c>
      <c r="X101" s="67">
        <f>$G101</f>
        <v>3089561.8947073505</v>
      </c>
      <c r="Y101" s="67">
        <f>$H101</f>
        <v>3128954.8249305324</v>
      </c>
      <c r="AA101" s="67">
        <f>$E101</f>
        <v>2617152.4164260603</v>
      </c>
      <c r="AB101" s="67">
        <f>$F101</f>
        <v>2872729.2339001177</v>
      </c>
      <c r="AC101" s="67">
        <f>$G101</f>
        <v>3089561.8947073505</v>
      </c>
      <c r="AD101" s="67">
        <f>$H101</f>
        <v>3128954.8249305324</v>
      </c>
      <c r="AE101" s="67"/>
      <c r="AF101" s="183">
        <f>AD101/AB101-1</f>
        <v>8.9192391683414529E-2</v>
      </c>
      <c r="AH101" s="67">
        <f>$E101</f>
        <v>2617152.4164260603</v>
      </c>
      <c r="AI101" s="67">
        <f>$F101</f>
        <v>2872729.2339001177</v>
      </c>
      <c r="AJ101" s="67">
        <f>$G101</f>
        <v>3089561.8947073505</v>
      </c>
      <c r="AK101" s="67">
        <f>$H101</f>
        <v>3128954.8249305324</v>
      </c>
    </row>
    <row r="102" spans="1:37" s="64" customFormat="1" x14ac:dyDescent="0.3">
      <c r="A102" s="35"/>
      <c r="B102" s="33"/>
      <c r="C102" s="65" t="s">
        <v>80</v>
      </c>
      <c r="D102" s="77"/>
      <c r="E102" s="69">
        <f>'Quarterly I.S IFRS17'!E102</f>
        <v>264738.25029579998</v>
      </c>
      <c r="F102" s="69">
        <f>'Quarterly I.S IFRS17'!H102</f>
        <v>345595.06361269997</v>
      </c>
      <c r="G102" s="69">
        <f>'Quarterly I.S IFRS17'!I102</f>
        <v>360908.93478200003</v>
      </c>
      <c r="H102" s="69">
        <f>'Quarterly I.S IFRS17'!L102</f>
        <v>541144.85947781126</v>
      </c>
      <c r="I102" s="182">
        <f>H102/F102-1</f>
        <v>0.56583503774885857</v>
      </c>
      <c r="K102" s="67">
        <f>$E102</f>
        <v>264738.25029579998</v>
      </c>
      <c r="L102" s="67">
        <f>$F102</f>
        <v>345595.06361269997</v>
      </c>
      <c r="M102" s="67">
        <f>$G102</f>
        <v>360908.93478200003</v>
      </c>
      <c r="N102" s="67">
        <f>$H102</f>
        <v>541144.85947781126</v>
      </c>
      <c r="O102" s="182">
        <f>N102/L102-1</f>
        <v>0.56583503774885857</v>
      </c>
      <c r="Q102" s="67">
        <f>$E102</f>
        <v>264738.25029579998</v>
      </c>
      <c r="R102" s="67">
        <f>$F102</f>
        <v>345595.06361269997</v>
      </c>
      <c r="S102" s="67">
        <f>$G102</f>
        <v>360908.93478200003</v>
      </c>
      <c r="T102" s="67">
        <f>$H102</f>
        <v>541144.85947781126</v>
      </c>
      <c r="V102" s="67">
        <f>$E102</f>
        <v>264738.25029579998</v>
      </c>
      <c r="W102" s="67">
        <f>$F102</f>
        <v>345595.06361269997</v>
      </c>
      <c r="X102" s="67">
        <f>$G102</f>
        <v>360908.93478200003</v>
      </c>
      <c r="Y102" s="67">
        <f>$H102</f>
        <v>541144.85947781126</v>
      </c>
      <c r="AA102" s="67">
        <f>$E102</f>
        <v>264738.25029579998</v>
      </c>
      <c r="AB102" s="67">
        <f>$F102</f>
        <v>345595.06361269997</v>
      </c>
      <c r="AC102" s="67">
        <f>$G102</f>
        <v>360908.93478200003</v>
      </c>
      <c r="AD102" s="67">
        <f>$H102</f>
        <v>541144.85947781126</v>
      </c>
      <c r="AE102" s="67"/>
      <c r="AF102" s="182">
        <f>AD102/AB102-1</f>
        <v>0.56583503774885857</v>
      </c>
      <c r="AH102" s="67">
        <f>$E102</f>
        <v>264738.25029579998</v>
      </c>
      <c r="AI102" s="67">
        <f>$F102</f>
        <v>345595.06361269997</v>
      </c>
      <c r="AJ102" s="67">
        <f>$G102</f>
        <v>360908.93478200003</v>
      </c>
      <c r="AK102" s="67">
        <f>$H102</f>
        <v>541144.85947781126</v>
      </c>
    </row>
    <row r="103" spans="1:37" s="64" customFormat="1" x14ac:dyDescent="0.3">
      <c r="C103" s="105" t="s">
        <v>190</v>
      </c>
      <c r="D103" s="128"/>
      <c r="E103" s="210">
        <f>'Quarterly I.S IFRS17'!E103</f>
        <v>22467.585357600008</v>
      </c>
      <c r="F103" s="210">
        <f>'Quarterly I.S IFRS17'!H103</f>
        <v>21695.023927999988</v>
      </c>
      <c r="G103" s="210">
        <f>'Quarterly I.S IFRS17'!I103</f>
        <v>27122.508728000004</v>
      </c>
      <c r="H103" s="210">
        <f>'Quarterly I.S IFRS17'!L103</f>
        <v>-882.75167200001852</v>
      </c>
      <c r="I103" s="211"/>
      <c r="K103" s="67">
        <f>$E103</f>
        <v>22467.585357600008</v>
      </c>
      <c r="L103" s="67">
        <f>$F103</f>
        <v>21695.023927999988</v>
      </c>
      <c r="M103" s="67">
        <f>$G103</f>
        <v>27122.508728000004</v>
      </c>
      <c r="N103" s="67">
        <f>$H103</f>
        <v>-882.75167200001852</v>
      </c>
      <c r="O103" s="182">
        <f>N103/L103-1</f>
        <v>-1.0406891310620185</v>
      </c>
      <c r="Q103" s="67">
        <f>$E103</f>
        <v>22467.585357600008</v>
      </c>
      <c r="R103" s="67">
        <f>$F103</f>
        <v>21695.023927999988</v>
      </c>
      <c r="S103" s="67">
        <f>$G103</f>
        <v>27122.508728000004</v>
      </c>
      <c r="T103" s="67">
        <f>$H103</f>
        <v>-882.75167200001852</v>
      </c>
      <c r="V103" s="67">
        <f>$E103</f>
        <v>22467.585357600008</v>
      </c>
      <c r="W103" s="67">
        <f>$F103</f>
        <v>21695.023927999988</v>
      </c>
      <c r="X103" s="67">
        <f>$G103</f>
        <v>27122.508728000004</v>
      </c>
      <c r="Y103" s="67">
        <f>$H103</f>
        <v>-882.75167200001852</v>
      </c>
      <c r="AA103" s="67">
        <f>$E103</f>
        <v>22467.585357600008</v>
      </c>
      <c r="AB103" s="67">
        <f>$F103</f>
        <v>21695.023927999988</v>
      </c>
      <c r="AC103" s="67">
        <f>$G103</f>
        <v>27122.508728000004</v>
      </c>
      <c r="AD103" s="67">
        <f>$H103</f>
        <v>-882.75167200001852</v>
      </c>
      <c r="AE103" s="67"/>
      <c r="AF103" s="211"/>
      <c r="AH103" s="67">
        <f>$E103</f>
        <v>22467.585357600008</v>
      </c>
      <c r="AI103" s="67">
        <f>$F103</f>
        <v>21695.023927999988</v>
      </c>
      <c r="AJ103" s="67">
        <f>$G103</f>
        <v>27122.508728000004</v>
      </c>
      <c r="AK103" s="67">
        <f>$H103</f>
        <v>-882.75167200001852</v>
      </c>
    </row>
    <row r="104" spans="1:37" s="64" customFormat="1" x14ac:dyDescent="0.3">
      <c r="C104" s="71"/>
      <c r="D104" s="120"/>
      <c r="E104" s="68"/>
      <c r="F104" s="68"/>
      <c r="G104" s="68"/>
      <c r="H104" s="68"/>
      <c r="I104" s="209"/>
      <c r="J104" s="36"/>
      <c r="K104" s="70"/>
      <c r="L104" s="70"/>
      <c r="M104" s="70"/>
      <c r="N104" s="70"/>
      <c r="O104" s="209"/>
      <c r="P104" s="36"/>
      <c r="Q104" s="70"/>
      <c r="R104" s="70"/>
      <c r="S104" s="70"/>
      <c r="T104" s="70"/>
      <c r="U104" s="36"/>
      <c r="V104" s="70"/>
      <c r="W104" s="70"/>
      <c r="X104" s="70"/>
      <c r="Y104" s="70"/>
      <c r="Z104" s="36"/>
      <c r="AA104" s="70"/>
      <c r="AB104" s="70"/>
      <c r="AC104" s="70"/>
      <c r="AD104" s="70"/>
      <c r="AE104" s="70"/>
      <c r="AF104" s="209"/>
      <c r="AG104" s="36"/>
      <c r="AH104" s="70"/>
      <c r="AI104" s="70"/>
      <c r="AJ104" s="70"/>
      <c r="AK104" s="70"/>
    </row>
    <row r="105" spans="1:37" x14ac:dyDescent="0.3">
      <c r="A105" s="64"/>
      <c r="B105" s="64"/>
      <c r="C105" s="65" t="s">
        <v>129</v>
      </c>
      <c r="D105" s="77"/>
      <c r="E105" s="69">
        <f>'Quarterly I.S IFRS17'!E105</f>
        <v>2729428.4309264366</v>
      </c>
      <c r="F105" s="69">
        <f>'Quarterly I.S IFRS17'!H105</f>
        <v>3150905.7901590713</v>
      </c>
      <c r="G105" s="69">
        <f>'Quarterly I.S IFRS17'!I105</f>
        <v>3376566.2494364046</v>
      </c>
      <c r="H105" s="69">
        <f>'Quarterly I.S IFRS17'!L105</f>
        <v>3657395.7525094468</v>
      </c>
      <c r="I105" s="182"/>
      <c r="J105" s="64"/>
      <c r="K105" s="67">
        <f>$E105</f>
        <v>2729428.4309264366</v>
      </c>
      <c r="L105" s="67">
        <f>$F105</f>
        <v>3150905.7901590713</v>
      </c>
      <c r="M105" s="67">
        <f>$G105</f>
        <v>3376566.2494364046</v>
      </c>
      <c r="N105" s="67">
        <f>$H105</f>
        <v>3657395.7525094468</v>
      </c>
      <c r="O105" s="182"/>
      <c r="P105" s="64"/>
      <c r="Q105" s="67">
        <f>$E105</f>
        <v>2729428.4309264366</v>
      </c>
      <c r="R105" s="67">
        <f>$F105</f>
        <v>3150905.7901590713</v>
      </c>
      <c r="S105" s="67">
        <f>$G105</f>
        <v>3376566.2494364046</v>
      </c>
      <c r="T105" s="67">
        <f>$H105</f>
        <v>3657395.7525094468</v>
      </c>
      <c r="U105" s="64"/>
      <c r="V105" s="67">
        <f>$E105</f>
        <v>2729428.4309264366</v>
      </c>
      <c r="W105" s="67">
        <f>$F105</f>
        <v>3150905.7901590713</v>
      </c>
      <c r="X105" s="67">
        <f>$G105</f>
        <v>3376566.2494364046</v>
      </c>
      <c r="Y105" s="67">
        <f>$H105</f>
        <v>3657395.7525094468</v>
      </c>
      <c r="Z105" s="64"/>
      <c r="AA105" s="67">
        <f>$E105</f>
        <v>2729428.4309264366</v>
      </c>
      <c r="AB105" s="67">
        <f>$F105</f>
        <v>3150905.7901590713</v>
      </c>
      <c r="AC105" s="67">
        <f>$G105</f>
        <v>3376566.2494364046</v>
      </c>
      <c r="AD105" s="67">
        <f>$H105</f>
        <v>3657395.7525094468</v>
      </c>
      <c r="AE105" s="67"/>
      <c r="AF105" s="182"/>
      <c r="AG105" s="64"/>
      <c r="AH105" s="67">
        <f>$E105</f>
        <v>2729428.4309264366</v>
      </c>
      <c r="AI105" s="67">
        <f>$F105</f>
        <v>3150905.7901590713</v>
      </c>
      <c r="AJ105" s="67">
        <f>$G105</f>
        <v>3376566.2494364046</v>
      </c>
      <c r="AK105" s="67">
        <f>$H105</f>
        <v>3657395.7525094468</v>
      </c>
    </row>
    <row r="106" spans="1:37" s="64" customFormat="1" x14ac:dyDescent="0.3">
      <c r="C106" s="65" t="s">
        <v>130</v>
      </c>
      <c r="D106" s="77"/>
      <c r="E106" s="70">
        <f>E105-E107-E108</f>
        <v>2458233.5001276033</v>
      </c>
      <c r="F106" s="70">
        <f>F105-F107-F108</f>
        <v>2793906.5022012717</v>
      </c>
      <c r="G106" s="70">
        <f>G105-G107-G108</f>
        <v>2996409.7466547713</v>
      </c>
      <c r="H106" s="70">
        <f>H105-H107-H108</f>
        <v>3117624.01235821</v>
      </c>
      <c r="I106" s="181"/>
      <c r="K106" s="67">
        <f>$E106</f>
        <v>2458233.5001276033</v>
      </c>
      <c r="L106" s="67">
        <f>$F106</f>
        <v>2793906.5022012717</v>
      </c>
      <c r="M106" s="67">
        <f>$G106</f>
        <v>2996409.7466547713</v>
      </c>
      <c r="N106" s="67">
        <f>$H106</f>
        <v>3117624.01235821</v>
      </c>
      <c r="O106" s="181"/>
      <c r="Q106" s="67">
        <f>$E106</f>
        <v>2458233.5001276033</v>
      </c>
      <c r="R106" s="67">
        <f>$F106</f>
        <v>2793906.5022012717</v>
      </c>
      <c r="S106" s="67">
        <f>$G106</f>
        <v>2996409.7466547713</v>
      </c>
      <c r="T106" s="67">
        <f>$H106</f>
        <v>3117624.01235821</v>
      </c>
      <c r="V106" s="67">
        <f>$E106</f>
        <v>2458233.5001276033</v>
      </c>
      <c r="W106" s="67">
        <f>$F106</f>
        <v>2793906.5022012717</v>
      </c>
      <c r="X106" s="67">
        <f>$G106</f>
        <v>2996409.7466547713</v>
      </c>
      <c r="Y106" s="67">
        <f>$H106</f>
        <v>3117624.01235821</v>
      </c>
      <c r="AA106" s="67">
        <f>$E106</f>
        <v>2458233.5001276033</v>
      </c>
      <c r="AB106" s="67">
        <f>$F106</f>
        <v>2793906.5022012717</v>
      </c>
      <c r="AC106" s="67">
        <f>$G106</f>
        <v>2996409.7466547713</v>
      </c>
      <c r="AD106" s="67">
        <f>$H106</f>
        <v>3117624.01235821</v>
      </c>
      <c r="AE106" s="67"/>
      <c r="AF106" s="181"/>
      <c r="AH106" s="67">
        <f>$E106</f>
        <v>2458233.5001276033</v>
      </c>
      <c r="AI106" s="67">
        <f>$F106</f>
        <v>2793906.5022012717</v>
      </c>
      <c r="AJ106" s="67">
        <f>$G106</f>
        <v>2996409.7466547713</v>
      </c>
      <c r="AK106" s="67">
        <f>$H106</f>
        <v>3117624.01235821</v>
      </c>
    </row>
    <row r="107" spans="1:37" s="64" customFormat="1" x14ac:dyDescent="0.3">
      <c r="A107" s="36"/>
      <c r="B107" s="36"/>
      <c r="C107" s="65" t="s">
        <v>131</v>
      </c>
      <c r="D107" s="77"/>
      <c r="E107" s="69">
        <f>'Quarterly I.S IFRS17'!E107</f>
        <v>259687.12407856667</v>
      </c>
      <c r="F107" s="69">
        <f>'Quarterly I.S IFRS17'!H107</f>
        <v>339823.97917113337</v>
      </c>
      <c r="G107" s="69">
        <f>'Quarterly I.S IFRS17'!I107</f>
        <v>353878.40350963332</v>
      </c>
      <c r="H107" s="69">
        <f>'Quarterly I.S IFRS17'!L107</f>
        <v>541032.40332190378</v>
      </c>
      <c r="I107" s="182"/>
      <c r="K107" s="67">
        <f>$E107</f>
        <v>259687.12407856667</v>
      </c>
      <c r="L107" s="67">
        <f>$F107</f>
        <v>339823.97917113337</v>
      </c>
      <c r="M107" s="67">
        <f>$G107</f>
        <v>353878.40350963332</v>
      </c>
      <c r="N107" s="67">
        <f>$H107</f>
        <v>541032.40332190378</v>
      </c>
      <c r="O107" s="182"/>
      <c r="Q107" s="67">
        <f>$E107</f>
        <v>259687.12407856667</v>
      </c>
      <c r="R107" s="67">
        <f>$F107</f>
        <v>339823.97917113337</v>
      </c>
      <c r="S107" s="67">
        <f>$G107</f>
        <v>353878.40350963332</v>
      </c>
      <c r="T107" s="67">
        <f>$H107</f>
        <v>541032.40332190378</v>
      </c>
      <c r="V107" s="67">
        <f>$E107</f>
        <v>259687.12407856667</v>
      </c>
      <c r="W107" s="67">
        <f>$F107</f>
        <v>339823.97917113337</v>
      </c>
      <c r="X107" s="67">
        <f>$G107</f>
        <v>353878.40350963332</v>
      </c>
      <c r="Y107" s="67">
        <f>$H107</f>
        <v>541032.40332190378</v>
      </c>
      <c r="AA107" s="67">
        <f>$E107</f>
        <v>259687.12407856667</v>
      </c>
      <c r="AB107" s="67">
        <f>$F107</f>
        <v>339823.97917113337</v>
      </c>
      <c r="AC107" s="67">
        <f>$G107</f>
        <v>353878.40350963332</v>
      </c>
      <c r="AD107" s="67">
        <f>$H107</f>
        <v>541032.40332190378</v>
      </c>
      <c r="AE107" s="67"/>
      <c r="AF107" s="182"/>
      <c r="AH107" s="67">
        <f>$E107</f>
        <v>259687.12407856667</v>
      </c>
      <c r="AI107" s="67">
        <f>$F107</f>
        <v>339823.97917113337</v>
      </c>
      <c r="AJ107" s="67">
        <f>$G107</f>
        <v>353878.40350963332</v>
      </c>
      <c r="AK107" s="67">
        <f>$H107</f>
        <v>541032.40332190378</v>
      </c>
    </row>
    <row r="108" spans="1:37" s="64" customFormat="1" x14ac:dyDescent="0.3">
      <c r="C108" s="65" t="s">
        <v>191</v>
      </c>
      <c r="D108" s="77"/>
      <c r="E108" s="69">
        <f>'Quarterly I.S IFRS17'!E108</f>
        <v>11507.806720266666</v>
      </c>
      <c r="F108" s="69">
        <f>'Quarterly I.S IFRS17'!H108</f>
        <v>17175.308786666657</v>
      </c>
      <c r="G108" s="69">
        <f>'Quarterly I.S IFRS17'!I108</f>
        <v>26278.099271999996</v>
      </c>
      <c r="H108" s="69">
        <f>'Quarterly I.S IFRS17'!L108</f>
        <v>-1260.6631706666676</v>
      </c>
      <c r="I108" s="182"/>
      <c r="K108" s="67">
        <f>$E108</f>
        <v>11507.806720266666</v>
      </c>
      <c r="L108" s="67">
        <f>$F108</f>
        <v>17175.308786666657</v>
      </c>
      <c r="M108" s="67">
        <f>$G108</f>
        <v>26278.099271999996</v>
      </c>
      <c r="N108" s="67">
        <f>$H108</f>
        <v>-1260.6631706666676</v>
      </c>
      <c r="O108" s="182"/>
      <c r="Q108" s="67">
        <f>$E108</f>
        <v>11507.806720266666</v>
      </c>
      <c r="R108" s="67">
        <f>$F108</f>
        <v>17175.308786666657</v>
      </c>
      <c r="S108" s="67">
        <f>$G108</f>
        <v>26278.099271999996</v>
      </c>
      <c r="T108" s="67">
        <f>$H108</f>
        <v>-1260.6631706666676</v>
      </c>
      <c r="V108" s="67">
        <f>$E108</f>
        <v>11507.806720266666</v>
      </c>
      <c r="W108" s="67">
        <f>$F108</f>
        <v>17175.308786666657</v>
      </c>
      <c r="X108" s="67">
        <f>$G108</f>
        <v>26278.099271999996</v>
      </c>
      <c r="Y108" s="67">
        <f>$H108</f>
        <v>-1260.6631706666676</v>
      </c>
      <c r="AA108" s="67">
        <f>$E108</f>
        <v>11507.806720266666</v>
      </c>
      <c r="AB108" s="67">
        <f>$F108</f>
        <v>17175.308786666657</v>
      </c>
      <c r="AC108" s="67">
        <f>$G108</f>
        <v>26278.099271999996</v>
      </c>
      <c r="AD108" s="67">
        <f>$H108</f>
        <v>-1260.6631706666676</v>
      </c>
      <c r="AE108" s="67"/>
      <c r="AF108" s="182"/>
      <c r="AH108" s="67">
        <f>$E108</f>
        <v>11507.806720266666</v>
      </c>
      <c r="AI108" s="67">
        <f>$F108</f>
        <v>17175.308786666657</v>
      </c>
      <c r="AJ108" s="67">
        <f>$G108</f>
        <v>26278.099271999996</v>
      </c>
      <c r="AK108" s="67">
        <f>$H108</f>
        <v>-1260.6631706666676</v>
      </c>
    </row>
    <row r="109" spans="1:37" s="64" customFormat="1" x14ac:dyDescent="0.3">
      <c r="C109" s="39" t="s">
        <v>104</v>
      </c>
      <c r="D109" s="109"/>
      <c r="E109" s="40"/>
      <c r="F109" s="40">
        <f t="shared" ref="F109:H110" si="5">F85</f>
        <v>0.18689975381014776</v>
      </c>
      <c r="G109" s="40">
        <f t="shared" si="5"/>
        <v>0</v>
      </c>
      <c r="H109" s="40">
        <f t="shared" si="5"/>
        <v>7.6275986838792262E-2</v>
      </c>
      <c r="I109" s="169"/>
      <c r="J109" s="36"/>
      <c r="K109" s="40">
        <f t="shared" ref="K109:N110" si="6">K85</f>
        <v>0</v>
      </c>
      <c r="L109" s="40">
        <f t="shared" si="6"/>
        <v>0.1518087098429915</v>
      </c>
      <c r="M109" s="40">
        <f t="shared" si="6"/>
        <v>0</v>
      </c>
      <c r="N109" s="40">
        <f t="shared" si="6"/>
        <v>6.5821730263013536E-2</v>
      </c>
      <c r="O109" s="169"/>
      <c r="P109" s="36"/>
      <c r="Q109" s="40">
        <f t="shared" ref="Q109:T110" si="7">Q85</f>
        <v>0</v>
      </c>
      <c r="R109" s="40">
        <f t="shared" si="7"/>
        <v>0.53040251619660395</v>
      </c>
      <c r="S109" s="40">
        <f t="shared" si="7"/>
        <v>0</v>
      </c>
      <c r="T109" s="40">
        <f t="shared" si="7"/>
        <v>0.22785949101406736</v>
      </c>
      <c r="U109" s="36"/>
      <c r="V109" s="40">
        <f t="shared" ref="V109:Y110" si="8">V85</f>
        <v>0</v>
      </c>
      <c r="W109" s="40">
        <f t="shared" si="8"/>
        <v>1.1593898933419351</v>
      </c>
      <c r="X109" s="40">
        <f t="shared" si="8"/>
        <v>0</v>
      </c>
      <c r="Y109" s="40">
        <f t="shared" si="8"/>
        <v>-0.396022460287625</v>
      </c>
      <c r="Z109" s="36"/>
      <c r="AA109" s="40">
        <f t="shared" ref="AA109:AD110" si="9">AA85</f>
        <v>0</v>
      </c>
      <c r="AB109" s="40">
        <f t="shared" si="9"/>
        <v>0.57284391697245862</v>
      </c>
      <c r="AC109" s="40">
        <f t="shared" si="9"/>
        <v>0</v>
      </c>
      <c r="AD109" s="40">
        <f t="shared" si="9"/>
        <v>0.21022443278213729</v>
      </c>
      <c r="AE109" s="40"/>
      <c r="AF109" s="169"/>
      <c r="AG109" s="36"/>
      <c r="AH109" s="40">
        <f t="shared" ref="AH109:AK110" si="10">AH85</f>
        <v>0</v>
      </c>
      <c r="AI109" s="40">
        <f t="shared" si="10"/>
        <v>0</v>
      </c>
      <c r="AJ109" s="40">
        <f t="shared" si="10"/>
        <v>0</v>
      </c>
      <c r="AK109" s="40">
        <f t="shared" si="10"/>
        <v>0</v>
      </c>
    </row>
    <row r="110" spans="1:37" x14ac:dyDescent="0.3">
      <c r="A110" s="64"/>
      <c r="B110" s="64"/>
      <c r="C110" s="39" t="s">
        <v>132</v>
      </c>
      <c r="D110" s="109"/>
      <c r="E110" s="40"/>
      <c r="F110" s="40">
        <f t="shared" si="5"/>
        <v>0.18223056039856361</v>
      </c>
      <c r="G110" s="40">
        <f t="shared" si="5"/>
        <v>0</v>
      </c>
      <c r="H110" s="40">
        <f t="shared" si="5"/>
        <v>7.4524339592260375E-2</v>
      </c>
      <c r="I110" s="169"/>
      <c r="K110" s="40">
        <f t="shared" si="6"/>
        <v>0</v>
      </c>
      <c r="L110" s="40">
        <f t="shared" si="6"/>
        <v>0.14914812823372914</v>
      </c>
      <c r="M110" s="40">
        <f t="shared" si="6"/>
        <v>0</v>
      </c>
      <c r="N110" s="40">
        <f t="shared" si="6"/>
        <v>6.5645108026742865E-2</v>
      </c>
      <c r="O110" s="169"/>
      <c r="Q110" s="40">
        <f t="shared" si="7"/>
        <v>0</v>
      </c>
      <c r="R110" s="40">
        <f t="shared" si="7"/>
        <v>0.47630883230381965</v>
      </c>
      <c r="S110" s="40">
        <f t="shared" si="7"/>
        <v>0</v>
      </c>
      <c r="T110" s="40">
        <f t="shared" si="7"/>
        <v>0.189953057492802</v>
      </c>
      <c r="V110" s="40">
        <f t="shared" si="8"/>
        <v>0</v>
      </c>
      <c r="W110" s="40">
        <f t="shared" si="8"/>
        <v>1.4905607667758975</v>
      </c>
      <c r="X110" s="40">
        <f t="shared" si="8"/>
        <v>0</v>
      </c>
      <c r="Y110" s="40">
        <f t="shared" si="8"/>
        <v>4.1214550359123301</v>
      </c>
      <c r="AA110" s="40">
        <f t="shared" si="9"/>
        <v>0</v>
      </c>
      <c r="AB110" s="40">
        <f t="shared" si="9"/>
        <v>0.52510470038995216</v>
      </c>
      <c r="AC110" s="40">
        <f t="shared" si="9"/>
        <v>0</v>
      </c>
      <c r="AD110" s="40">
        <f t="shared" si="9"/>
        <v>0.18077084326979007</v>
      </c>
      <c r="AE110" s="40"/>
      <c r="AF110" s="169"/>
      <c r="AH110" s="40">
        <f t="shared" si="10"/>
        <v>0</v>
      </c>
      <c r="AI110" s="40">
        <f t="shared" si="10"/>
        <v>0</v>
      </c>
      <c r="AJ110" s="40">
        <f t="shared" si="10"/>
        <v>0</v>
      </c>
      <c r="AK110" s="40">
        <f t="shared" si="10"/>
        <v>0</v>
      </c>
    </row>
    <row r="111" spans="1:37" x14ac:dyDescent="0.3">
      <c r="A111" s="64"/>
      <c r="B111" s="64"/>
      <c r="C111" s="65"/>
      <c r="D111" s="77"/>
      <c r="E111" s="66"/>
      <c r="F111" s="66"/>
      <c r="G111" s="66"/>
      <c r="H111" s="66"/>
      <c r="I111" s="184"/>
      <c r="J111" s="64"/>
      <c r="K111" s="67"/>
      <c r="L111" s="67"/>
      <c r="M111" s="67"/>
      <c r="N111" s="67"/>
      <c r="O111" s="184"/>
      <c r="P111" s="64"/>
      <c r="Q111" s="67"/>
      <c r="R111" s="67"/>
      <c r="S111" s="67"/>
      <c r="T111" s="67"/>
      <c r="U111" s="64"/>
      <c r="V111" s="67"/>
      <c r="W111" s="67"/>
      <c r="X111" s="67"/>
      <c r="Y111" s="67"/>
      <c r="Z111" s="64"/>
      <c r="AA111" s="67"/>
      <c r="AB111" s="67"/>
      <c r="AC111" s="67"/>
      <c r="AD111" s="67"/>
      <c r="AE111" s="67"/>
      <c r="AF111" s="184"/>
      <c r="AG111" s="64"/>
      <c r="AH111" s="67"/>
      <c r="AI111" s="67"/>
      <c r="AJ111" s="67"/>
      <c r="AK111" s="67"/>
    </row>
    <row r="112" spans="1:37" s="64" customFormat="1" x14ac:dyDescent="0.3">
      <c r="A112" s="36"/>
      <c r="B112" s="36"/>
      <c r="C112" s="30" t="s">
        <v>116</v>
      </c>
      <c r="D112" s="30"/>
      <c r="E112" s="30"/>
      <c r="F112" s="30"/>
      <c r="G112" s="30"/>
      <c r="H112" s="30"/>
      <c r="I112" s="185"/>
      <c r="J112" s="82"/>
      <c r="K112" s="30"/>
      <c r="L112" s="30"/>
      <c r="M112" s="30"/>
      <c r="N112" s="30"/>
      <c r="O112" s="185"/>
      <c r="P112" s="82"/>
      <c r="Q112" s="30"/>
      <c r="R112" s="30"/>
      <c r="S112" s="30"/>
      <c r="T112" s="30"/>
      <c r="U112" s="82"/>
      <c r="V112" s="30"/>
      <c r="W112" s="30"/>
      <c r="X112" s="30"/>
      <c r="Y112" s="30"/>
      <c r="Z112" s="82"/>
      <c r="AA112" s="30"/>
      <c r="AB112" s="30"/>
      <c r="AC112" s="30"/>
      <c r="AD112" s="30"/>
      <c r="AE112" s="30"/>
      <c r="AF112" s="185"/>
      <c r="AG112" s="82"/>
      <c r="AH112" s="30"/>
      <c r="AI112" s="30"/>
      <c r="AJ112" s="30"/>
      <c r="AK112" s="30"/>
    </row>
    <row r="113" spans="1:37" s="82" customFormat="1" x14ac:dyDescent="0.3">
      <c r="A113" s="36"/>
      <c r="B113" s="36"/>
      <c r="C113" s="63" t="s">
        <v>105</v>
      </c>
      <c r="D113" s="63"/>
      <c r="E113" s="63"/>
      <c r="F113" s="63"/>
      <c r="G113" s="63"/>
      <c r="H113" s="63"/>
      <c r="I113" s="186"/>
      <c r="J113" s="85"/>
      <c r="K113" s="63"/>
      <c r="L113" s="63"/>
      <c r="M113" s="63"/>
      <c r="N113" s="63"/>
      <c r="O113" s="186"/>
      <c r="P113" s="85"/>
      <c r="Q113" s="63"/>
      <c r="R113" s="63"/>
      <c r="S113" s="63"/>
      <c r="T113" s="63"/>
      <c r="U113" s="85"/>
      <c r="V113" s="63"/>
      <c r="W113" s="63"/>
      <c r="X113" s="63"/>
      <c r="Y113" s="63"/>
      <c r="Z113" s="85"/>
      <c r="AA113" s="63"/>
      <c r="AB113" s="63"/>
      <c r="AC113" s="63"/>
      <c r="AD113" s="63"/>
      <c r="AE113" s="63"/>
      <c r="AF113" s="186"/>
      <c r="AG113" s="85"/>
      <c r="AH113" s="63"/>
      <c r="AI113" s="63"/>
      <c r="AJ113" s="63"/>
      <c r="AK113" s="63"/>
    </row>
    <row r="114" spans="1:37" s="85" customFormat="1" x14ac:dyDescent="0.3">
      <c r="A114" s="64"/>
      <c r="B114" s="64"/>
      <c r="C114" s="71"/>
      <c r="D114" s="120"/>
      <c r="E114" s="36"/>
      <c r="F114" s="132"/>
      <c r="G114" s="132"/>
      <c r="H114" s="132"/>
      <c r="I114" s="132"/>
      <c r="J114" s="36"/>
      <c r="K114" s="36"/>
      <c r="L114" s="36"/>
      <c r="M114" s="36"/>
      <c r="N114" s="36"/>
      <c r="O114" s="132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132"/>
      <c r="AG114" s="36"/>
      <c r="AH114" s="36"/>
      <c r="AI114" s="36"/>
      <c r="AJ114" s="36"/>
      <c r="AK114" s="36"/>
    </row>
    <row r="115" spans="1:37" x14ac:dyDescent="0.3">
      <c r="A115" s="82"/>
      <c r="B115" s="81"/>
      <c r="C115" s="79" t="s">
        <v>110</v>
      </c>
      <c r="D115" s="121"/>
      <c r="E115" s="100">
        <f>E116</f>
        <v>8354568.9297779948</v>
      </c>
      <c r="F115" s="100">
        <f>F116</f>
        <v>8897723.1690299939</v>
      </c>
      <c r="G115" s="100">
        <f>G116</f>
        <v>8725704.3984800037</v>
      </c>
      <c r="H115" s="100">
        <f>H116</f>
        <v>8401417.4849700034</v>
      </c>
      <c r="I115" s="187">
        <f>H115/F115-1</f>
        <v>-5.5778953180681712E-2</v>
      </c>
      <c r="K115" s="100">
        <f t="shared" ref="K115:AK115" si="11">K116</f>
        <v>8354568.9297779948</v>
      </c>
      <c r="L115" s="100">
        <f t="shared" si="11"/>
        <v>8897723.1690299939</v>
      </c>
      <c r="M115" s="100">
        <f t="shared" si="11"/>
        <v>8725704.3984800037</v>
      </c>
      <c r="N115" s="100">
        <f t="shared" si="11"/>
        <v>8401417.4849700034</v>
      </c>
      <c r="O115" s="187">
        <f>N115/L115-1</f>
        <v>-5.5778953180681712E-2</v>
      </c>
      <c r="Q115" s="100">
        <f t="shared" si="11"/>
        <v>8354568.9297779948</v>
      </c>
      <c r="R115" s="100">
        <f t="shared" si="11"/>
        <v>8897723.1690299939</v>
      </c>
      <c r="S115" s="100">
        <f t="shared" si="11"/>
        <v>8725704.3984800037</v>
      </c>
      <c r="T115" s="100">
        <f t="shared" si="11"/>
        <v>8401417.4849700034</v>
      </c>
      <c r="V115" s="100">
        <f t="shared" si="11"/>
        <v>8354568.9297779948</v>
      </c>
      <c r="W115" s="100">
        <f t="shared" si="11"/>
        <v>8897723.1690299939</v>
      </c>
      <c r="X115" s="100">
        <f t="shared" si="11"/>
        <v>8725704.3984800037</v>
      </c>
      <c r="Y115" s="100">
        <f t="shared" si="11"/>
        <v>8401417.4849700034</v>
      </c>
      <c r="AA115" s="100">
        <f t="shared" si="11"/>
        <v>8354568.9297779948</v>
      </c>
      <c r="AB115" s="100">
        <f t="shared" si="11"/>
        <v>8897723.1690299939</v>
      </c>
      <c r="AC115" s="100">
        <f t="shared" si="11"/>
        <v>8725704.3984800037</v>
      </c>
      <c r="AD115" s="100">
        <f t="shared" si="11"/>
        <v>8401417.4849700034</v>
      </c>
      <c r="AE115" s="100"/>
      <c r="AF115" s="187">
        <f>AD115/AB115-1</f>
        <v>-5.5778953180681712E-2</v>
      </c>
      <c r="AH115" s="100">
        <f t="shared" si="11"/>
        <v>8354568.9297779948</v>
      </c>
      <c r="AI115" s="100">
        <f t="shared" si="11"/>
        <v>8897723.1690299939</v>
      </c>
      <c r="AJ115" s="100">
        <f t="shared" si="11"/>
        <v>8725704.3984800037</v>
      </c>
      <c r="AK115" s="100">
        <f t="shared" si="11"/>
        <v>8401417.4849700034</v>
      </c>
    </row>
    <row r="116" spans="1:37" x14ac:dyDescent="0.3">
      <c r="A116" s="85"/>
      <c r="B116" s="84"/>
      <c r="C116" s="65" t="s">
        <v>106</v>
      </c>
      <c r="D116" s="77">
        <v>26</v>
      </c>
      <c r="E116" s="69">
        <f>'Quarterly I.S IFRS17'!E116</f>
        <v>8354568.9297779948</v>
      </c>
      <c r="F116" s="69">
        <f>'Quarterly I.S IFRS17'!H116</f>
        <v>8897723.1690299939</v>
      </c>
      <c r="G116" s="69">
        <f>'Quarterly I.S IFRS17'!I116</f>
        <v>8725704.3984800037</v>
      </c>
      <c r="H116" s="69">
        <f>'Quarterly I.S IFRS17'!L116</f>
        <v>8401417.4849700034</v>
      </c>
      <c r="I116" s="182"/>
      <c r="J116" s="132"/>
      <c r="K116" s="67">
        <f>$E116</f>
        <v>8354568.9297779948</v>
      </c>
      <c r="L116" s="67">
        <f>$F116</f>
        <v>8897723.1690299939</v>
      </c>
      <c r="M116" s="67">
        <f>$G116</f>
        <v>8725704.3984800037</v>
      </c>
      <c r="N116" s="67">
        <f>$H116</f>
        <v>8401417.4849700034</v>
      </c>
      <c r="O116" s="182"/>
      <c r="P116" s="64"/>
      <c r="Q116" s="67">
        <f>$E116</f>
        <v>8354568.9297779948</v>
      </c>
      <c r="R116" s="67">
        <f>$F116</f>
        <v>8897723.1690299939</v>
      </c>
      <c r="S116" s="67">
        <f>$G116</f>
        <v>8725704.3984800037</v>
      </c>
      <c r="T116" s="67">
        <f>$H116</f>
        <v>8401417.4849700034</v>
      </c>
      <c r="U116" s="64"/>
      <c r="V116" s="67">
        <f>$E116</f>
        <v>8354568.9297779948</v>
      </c>
      <c r="W116" s="67">
        <f>$F116</f>
        <v>8897723.1690299939</v>
      </c>
      <c r="X116" s="67">
        <f>$G116</f>
        <v>8725704.3984800037</v>
      </c>
      <c r="Y116" s="67">
        <f>$H116</f>
        <v>8401417.4849700034</v>
      </c>
      <c r="Z116" s="64"/>
      <c r="AA116" s="67">
        <f>$E116</f>
        <v>8354568.9297779948</v>
      </c>
      <c r="AB116" s="67">
        <f>$F116</f>
        <v>8897723.1690299939</v>
      </c>
      <c r="AC116" s="67">
        <f>$G116</f>
        <v>8725704.3984800037</v>
      </c>
      <c r="AD116" s="67">
        <f>$H116</f>
        <v>8401417.4849700034</v>
      </c>
      <c r="AE116" s="67"/>
      <c r="AF116" s="182"/>
      <c r="AG116" s="64"/>
      <c r="AH116" s="67">
        <f>$E116</f>
        <v>8354568.9297779948</v>
      </c>
      <c r="AI116" s="67">
        <f>$F116</f>
        <v>8897723.1690299939</v>
      </c>
      <c r="AJ116" s="67">
        <f>$G116</f>
        <v>8725704.3984800037</v>
      </c>
      <c r="AK116" s="67">
        <f>$H116</f>
        <v>8401417.4849700034</v>
      </c>
    </row>
    <row r="117" spans="1:37" x14ac:dyDescent="0.3">
      <c r="C117" s="71"/>
      <c r="D117" s="120"/>
    </row>
    <row r="118" spans="1:37" x14ac:dyDescent="0.3">
      <c r="C118" s="80" t="s">
        <v>140</v>
      </c>
      <c r="D118" s="122"/>
      <c r="E118" s="100">
        <f>SUM(E119:E121)</f>
        <v>12798075.542949991</v>
      </c>
      <c r="F118" s="100">
        <f>SUM(F119:F121)</f>
        <v>11924032.578379994</v>
      </c>
      <c r="G118" s="100">
        <f>SUM(G119:G121)</f>
        <v>12391804.69226999</v>
      </c>
      <c r="H118" s="100">
        <f>SUM(H119:H121)</f>
        <v>11522960.100619998</v>
      </c>
      <c r="I118" s="187">
        <f>H118/F118-1</f>
        <v>-3.3635640889408402E-2</v>
      </c>
      <c r="K118" s="100">
        <f>SUM(K119:K121)</f>
        <v>12798075.542949991</v>
      </c>
      <c r="L118" s="100">
        <f>SUM(L119:L121)</f>
        <v>11924032.578379994</v>
      </c>
      <c r="M118" s="100">
        <f>SUM(M119:M121)</f>
        <v>12391804.69226999</v>
      </c>
      <c r="N118" s="100">
        <f>SUM(N119:N121)</f>
        <v>11522960.100619998</v>
      </c>
      <c r="O118" s="187">
        <f>N118/L118-1</f>
        <v>-3.3635640889408402E-2</v>
      </c>
      <c r="Q118" s="100">
        <f>SUM(Q119:Q121)</f>
        <v>12798075.542949991</v>
      </c>
      <c r="R118" s="100">
        <f>SUM(R119:R121)</f>
        <v>11924032.578379994</v>
      </c>
      <c r="S118" s="100">
        <f>SUM(S119:S121)</f>
        <v>12391804.69226999</v>
      </c>
      <c r="T118" s="100">
        <f>SUM(T119:T121)</f>
        <v>11522960.100619998</v>
      </c>
      <c r="U118" s="100"/>
      <c r="V118" s="100">
        <f>SUM(V119:V121)</f>
        <v>12798075.542949991</v>
      </c>
      <c r="W118" s="100">
        <f>SUM(W119:W121)</f>
        <v>11924032.578379994</v>
      </c>
      <c r="X118" s="100">
        <f>SUM(X119:X121)</f>
        <v>12391804.69226999</v>
      </c>
      <c r="Y118" s="100">
        <f>SUM(Y119:Y121)</f>
        <v>11522960.100619998</v>
      </c>
      <c r="Z118" s="100"/>
      <c r="AA118" s="100">
        <f>SUM(AA119:AA121)</f>
        <v>12798075.542949991</v>
      </c>
      <c r="AB118" s="100">
        <f>SUM(AB119:AB121)</f>
        <v>11924032.578379994</v>
      </c>
      <c r="AC118" s="100">
        <f>SUM(AC119:AC121)</f>
        <v>12391804.69226999</v>
      </c>
      <c r="AD118" s="100">
        <f>SUM(AD119:AD121)</f>
        <v>11522960.100619998</v>
      </c>
      <c r="AE118" s="100"/>
      <c r="AF118" s="187">
        <f>AD118/AB118-1</f>
        <v>-3.3635640889408402E-2</v>
      </c>
      <c r="AG118" s="100"/>
      <c r="AH118" s="100">
        <f>SUM(AH119:AH121)</f>
        <v>12798075.542949991</v>
      </c>
      <c r="AI118" s="100">
        <f>SUM(AI119:AI121)</f>
        <v>11924032.578379994</v>
      </c>
      <c r="AJ118" s="100">
        <f>SUM(AJ119:AJ121)</f>
        <v>12391804.69226999</v>
      </c>
      <c r="AK118" s="100">
        <f>SUM(AK119:AK121)</f>
        <v>11522960.100619998</v>
      </c>
    </row>
    <row r="119" spans="1:37" x14ac:dyDescent="0.3">
      <c r="C119" s="71" t="s">
        <v>49</v>
      </c>
      <c r="D119" s="120">
        <v>29</v>
      </c>
      <c r="E119" s="69">
        <f>'Quarterly I.S IFRS17'!E119</f>
        <v>5998726.2465499686</v>
      </c>
      <c r="F119" s="69">
        <f>'Quarterly I.S IFRS17'!H119</f>
        <v>4967071.055399972</v>
      </c>
      <c r="G119" s="69">
        <f>'Quarterly I.S IFRS17'!I119</f>
        <v>5413218.825049961</v>
      </c>
      <c r="H119" s="69">
        <f>'Quarterly I.S IFRS17'!L119</f>
        <v>4662955.4037599852</v>
      </c>
      <c r="I119" s="182">
        <f>H119/F119-1</f>
        <v>-6.1226354172921771E-2</v>
      </c>
      <c r="K119" s="67">
        <f>$E119</f>
        <v>5998726.2465499686</v>
      </c>
      <c r="L119" s="67">
        <f>$F119</f>
        <v>4967071.055399972</v>
      </c>
      <c r="M119" s="67">
        <f>$G119</f>
        <v>5413218.825049961</v>
      </c>
      <c r="N119" s="67">
        <f>$H119</f>
        <v>4662955.4037599852</v>
      </c>
      <c r="O119" s="182">
        <f>N119/L119-1</f>
        <v>-6.1226354172921771E-2</v>
      </c>
      <c r="P119" s="64"/>
      <c r="Q119" s="67">
        <f>$E119</f>
        <v>5998726.2465499686</v>
      </c>
      <c r="R119" s="67">
        <f>$F119</f>
        <v>4967071.055399972</v>
      </c>
      <c r="S119" s="67">
        <f>$G119</f>
        <v>5413218.825049961</v>
      </c>
      <c r="T119" s="67">
        <f>$H119</f>
        <v>4662955.4037599852</v>
      </c>
      <c r="U119" s="64"/>
      <c r="V119" s="67">
        <f>$E119</f>
        <v>5998726.2465499686</v>
      </c>
      <c r="W119" s="67">
        <f>$F119</f>
        <v>4967071.055399972</v>
      </c>
      <c r="X119" s="67">
        <f>$G119</f>
        <v>5413218.825049961</v>
      </c>
      <c r="Y119" s="67">
        <f>$H119</f>
        <v>4662955.4037599852</v>
      </c>
      <c r="Z119" s="64"/>
      <c r="AA119" s="67">
        <f>$E119</f>
        <v>5998726.2465499686</v>
      </c>
      <c r="AB119" s="67">
        <f>$F119</f>
        <v>4967071.055399972</v>
      </c>
      <c r="AC119" s="67">
        <f>$G119</f>
        <v>5413218.825049961</v>
      </c>
      <c r="AD119" s="67">
        <f>$H119</f>
        <v>4662955.4037599852</v>
      </c>
      <c r="AE119" s="67"/>
      <c r="AF119" s="182">
        <f>AD119/AB119-1</f>
        <v>-6.1226354172921771E-2</v>
      </c>
      <c r="AG119" s="64"/>
      <c r="AH119" s="67">
        <f>$E119</f>
        <v>5998726.2465499686</v>
      </c>
      <c r="AI119" s="67">
        <f>$F119</f>
        <v>4967071.055399972</v>
      </c>
      <c r="AJ119" s="67">
        <f>$G119</f>
        <v>5413218.825049961</v>
      </c>
      <c r="AK119" s="67">
        <f>$H119</f>
        <v>4662955.4037599852</v>
      </c>
    </row>
    <row r="120" spans="1:37" x14ac:dyDescent="0.3">
      <c r="C120" s="71" t="s">
        <v>50</v>
      </c>
      <c r="D120" s="120" t="s">
        <v>151</v>
      </c>
      <c r="E120" s="69">
        <f>'Quarterly I.S IFRS17'!E120</f>
        <v>6745142.9991400242</v>
      </c>
      <c r="F120" s="69">
        <f>'Quarterly I.S IFRS17'!H120</f>
        <v>6838789.4973500241</v>
      </c>
      <c r="G120" s="69">
        <f>'Quarterly I.S IFRS17'!I120</f>
        <v>6908075.0035100309</v>
      </c>
      <c r="H120" s="69">
        <f>'Quarterly I.S IFRS17'!L120</f>
        <v>6811331.560350013</v>
      </c>
      <c r="I120" s="182">
        <f>H120/F120-1</f>
        <v>-4.0150288308553606E-3</v>
      </c>
      <c r="K120" s="67">
        <f>$E120</f>
        <v>6745142.9991400242</v>
      </c>
      <c r="L120" s="67">
        <f>$F120</f>
        <v>6838789.4973500241</v>
      </c>
      <c r="M120" s="67">
        <f>$G120</f>
        <v>6908075.0035100309</v>
      </c>
      <c r="N120" s="67">
        <f>$H120</f>
        <v>6811331.560350013</v>
      </c>
      <c r="O120" s="182">
        <f>N120/L120-1</f>
        <v>-4.0150288308553606E-3</v>
      </c>
      <c r="P120" s="64"/>
      <c r="Q120" s="67">
        <f>$E120</f>
        <v>6745142.9991400242</v>
      </c>
      <c r="R120" s="67">
        <f>$F120</f>
        <v>6838789.4973500241</v>
      </c>
      <c r="S120" s="67">
        <f>$G120</f>
        <v>6908075.0035100309</v>
      </c>
      <c r="T120" s="67">
        <f>$H120</f>
        <v>6811331.560350013</v>
      </c>
      <c r="U120" s="64"/>
      <c r="V120" s="67">
        <f>$E120</f>
        <v>6745142.9991400242</v>
      </c>
      <c r="W120" s="67">
        <f>$F120</f>
        <v>6838789.4973500241</v>
      </c>
      <c r="X120" s="67">
        <f>$G120</f>
        <v>6908075.0035100309</v>
      </c>
      <c r="Y120" s="67">
        <f>$H120</f>
        <v>6811331.560350013</v>
      </c>
      <c r="Z120" s="64"/>
      <c r="AA120" s="67">
        <f>$E120</f>
        <v>6745142.9991400242</v>
      </c>
      <c r="AB120" s="67">
        <f>$F120</f>
        <v>6838789.4973500241</v>
      </c>
      <c r="AC120" s="67">
        <f>$G120</f>
        <v>6908075.0035100309</v>
      </c>
      <c r="AD120" s="67">
        <f>$H120</f>
        <v>6811331.560350013</v>
      </c>
      <c r="AE120" s="67"/>
      <c r="AF120" s="182">
        <f>AD120/AB120-1</f>
        <v>-4.0150288308553606E-3</v>
      </c>
      <c r="AG120" s="64"/>
      <c r="AH120" s="67">
        <f>$E120</f>
        <v>6745142.9991400242</v>
      </c>
      <c r="AI120" s="67">
        <f>$F120</f>
        <v>6838789.4973500241</v>
      </c>
      <c r="AJ120" s="67">
        <f>$G120</f>
        <v>6908075.0035100309</v>
      </c>
      <c r="AK120" s="67">
        <f>$H120</f>
        <v>6811331.560350013</v>
      </c>
    </row>
    <row r="121" spans="1:37" x14ac:dyDescent="0.3">
      <c r="C121" s="71" t="s">
        <v>94</v>
      </c>
      <c r="D121" s="120">
        <v>14</v>
      </c>
      <c r="E121" s="69">
        <f>'Quarterly I.S IFRS17'!E121</f>
        <v>54206.297259999999</v>
      </c>
      <c r="F121" s="69">
        <f>'Quarterly I.S IFRS17'!H121</f>
        <v>118172.02563</v>
      </c>
      <c r="G121" s="69">
        <f>'Quarterly I.S IFRS17'!I121</f>
        <v>70510.863709999991</v>
      </c>
      <c r="H121" s="69">
        <f>'Quarterly I.S IFRS17'!L121</f>
        <v>48673.136510000004</v>
      </c>
      <c r="I121" s="182">
        <f>H121/F121-1</f>
        <v>-0.58811625466760642</v>
      </c>
      <c r="K121" s="67">
        <f>$E121</f>
        <v>54206.297259999999</v>
      </c>
      <c r="L121" s="67">
        <f>$F121</f>
        <v>118172.02563</v>
      </c>
      <c r="M121" s="67">
        <f>$G121</f>
        <v>70510.863709999991</v>
      </c>
      <c r="N121" s="67">
        <f>$H121</f>
        <v>48673.136510000004</v>
      </c>
      <c r="O121" s="182">
        <f>N121/L121-1</f>
        <v>-0.58811625466760642</v>
      </c>
      <c r="P121" s="64"/>
      <c r="Q121" s="67">
        <f>$E121</f>
        <v>54206.297259999999</v>
      </c>
      <c r="R121" s="67">
        <f>$F121</f>
        <v>118172.02563</v>
      </c>
      <c r="S121" s="67">
        <f>$G121</f>
        <v>70510.863709999991</v>
      </c>
      <c r="T121" s="67">
        <f>$H121</f>
        <v>48673.136510000004</v>
      </c>
      <c r="U121" s="64"/>
      <c r="V121" s="67">
        <f>$E121</f>
        <v>54206.297259999999</v>
      </c>
      <c r="W121" s="67">
        <f>$F121</f>
        <v>118172.02563</v>
      </c>
      <c r="X121" s="67">
        <f>$G121</f>
        <v>70510.863709999991</v>
      </c>
      <c r="Y121" s="67">
        <f>$H121</f>
        <v>48673.136510000004</v>
      </c>
      <c r="Z121" s="64"/>
      <c r="AA121" s="67">
        <f>$E121</f>
        <v>54206.297259999999</v>
      </c>
      <c r="AB121" s="67">
        <f>$F121</f>
        <v>118172.02563</v>
      </c>
      <c r="AC121" s="67">
        <f>$G121</f>
        <v>70510.863709999991</v>
      </c>
      <c r="AD121" s="67">
        <f>$H121</f>
        <v>48673.136510000004</v>
      </c>
      <c r="AE121" s="67"/>
      <c r="AF121" s="182">
        <f>AD121/AB121-1</f>
        <v>-0.58811625466760642</v>
      </c>
      <c r="AG121" s="64"/>
      <c r="AH121" s="67">
        <f>$E121</f>
        <v>54206.297259999999</v>
      </c>
      <c r="AI121" s="67">
        <f>$F121</f>
        <v>118172.02563</v>
      </c>
      <c r="AJ121" s="67">
        <f>$G121</f>
        <v>70510.863709999991</v>
      </c>
      <c r="AK121" s="67">
        <f>$H121</f>
        <v>48673.136510000004</v>
      </c>
    </row>
    <row r="122" spans="1:37" x14ac:dyDescent="0.3">
      <c r="C122" s="101"/>
      <c r="D122" s="123"/>
    </row>
    <row r="123" spans="1:37" ht="13.5" thickBot="1" x14ac:dyDescent="0.35">
      <c r="C123" s="78" t="s">
        <v>141</v>
      </c>
      <c r="D123" s="124"/>
      <c r="E123" s="72">
        <f>E115+E118</f>
        <v>21152644.472727984</v>
      </c>
      <c r="F123" s="72">
        <f>F115+F118</f>
        <v>20821755.747409988</v>
      </c>
      <c r="G123" s="72">
        <f>G115+G118</f>
        <v>21117509.090749994</v>
      </c>
      <c r="H123" s="72">
        <f>H115+H118</f>
        <v>19924377.585590001</v>
      </c>
      <c r="I123" s="188">
        <f>H123/F123-1</f>
        <v>-4.3098102422588047E-2</v>
      </c>
      <c r="K123" s="72">
        <f>K118+K115</f>
        <v>21152644.472727984</v>
      </c>
      <c r="L123" s="72">
        <f>L118+L115</f>
        <v>20821755.747409988</v>
      </c>
      <c r="M123" s="72">
        <f>M118+M115</f>
        <v>21117509.090749994</v>
      </c>
      <c r="N123" s="72">
        <f>N118+N115</f>
        <v>19924377.585590001</v>
      </c>
      <c r="O123" s="188">
        <f>N123/L123-1</f>
        <v>-4.3098102422588047E-2</v>
      </c>
      <c r="Q123" s="72">
        <f>Q118+Q115</f>
        <v>21152644.472727984</v>
      </c>
      <c r="R123" s="72">
        <f>R118+R115</f>
        <v>20821755.747409988</v>
      </c>
      <c r="S123" s="72">
        <f>S118+S115</f>
        <v>21117509.090749994</v>
      </c>
      <c r="T123" s="72">
        <f>T118+T115</f>
        <v>19924377.585590001</v>
      </c>
      <c r="V123" s="72">
        <f>V118+V115</f>
        <v>21152644.472727984</v>
      </c>
      <c r="W123" s="72">
        <f>W118+W115</f>
        <v>20821755.747409988</v>
      </c>
      <c r="X123" s="72">
        <f>X118+X115</f>
        <v>21117509.090749994</v>
      </c>
      <c r="Y123" s="72">
        <f>Y118+Y115</f>
        <v>19924377.585590001</v>
      </c>
      <c r="AA123" s="72">
        <f>AA118+AA115</f>
        <v>21152644.472727984</v>
      </c>
      <c r="AB123" s="72">
        <f>AB118+AB115</f>
        <v>20821755.747409988</v>
      </c>
      <c r="AC123" s="72">
        <f>AC118+AC115</f>
        <v>21117509.090749994</v>
      </c>
      <c r="AD123" s="72">
        <f>AD118+AD115</f>
        <v>19924377.585590001</v>
      </c>
      <c r="AE123" s="72"/>
      <c r="AF123" s="188">
        <f>AD123/AB123-1</f>
        <v>-4.3098102422588047E-2</v>
      </c>
      <c r="AH123" s="72">
        <f>AH118+AH115</f>
        <v>21152644.472727984</v>
      </c>
      <c r="AI123" s="72">
        <f>AI118+AI115</f>
        <v>20821755.747409988</v>
      </c>
      <c r="AJ123" s="72">
        <f>AJ118+AJ115</f>
        <v>21117509.090749994</v>
      </c>
      <c r="AK123" s="72">
        <f>AK118+AK115</f>
        <v>19924377.585590001</v>
      </c>
    </row>
    <row r="124" spans="1:37" x14ac:dyDescent="0.3">
      <c r="C124" s="164" t="s">
        <v>51</v>
      </c>
      <c r="D124" s="109"/>
      <c r="E124" s="165">
        <f>E123-'Quarterly I.S IFRS17'!E123</f>
        <v>0</v>
      </c>
      <c r="F124" s="165">
        <f>F123-'Quarterly I.S IFRS17'!H123</f>
        <v>0</v>
      </c>
      <c r="G124" s="165">
        <f>G123-'Quarterly I.S IFRS17'!I123</f>
        <v>0</v>
      </c>
      <c r="H124" s="165">
        <f>H123-'Quarterly I.S IFRS17'!L123</f>
        <v>0</v>
      </c>
      <c r="I124" s="189"/>
      <c r="K124" s="40"/>
      <c r="L124" s="40"/>
      <c r="M124" s="40"/>
      <c r="N124" s="40"/>
      <c r="O124" s="189"/>
      <c r="Q124" s="40"/>
      <c r="R124" s="40"/>
      <c r="S124" s="40"/>
      <c r="T124" s="40"/>
      <c r="V124" s="40"/>
      <c r="W124" s="40"/>
      <c r="X124" s="40"/>
      <c r="Y124" s="40"/>
      <c r="AA124" s="40"/>
      <c r="AB124" s="40"/>
      <c r="AC124" s="40"/>
      <c r="AD124" s="40"/>
      <c r="AE124" s="40"/>
      <c r="AF124" s="189"/>
      <c r="AH124" s="40"/>
      <c r="AI124" s="40"/>
      <c r="AJ124" s="40"/>
      <c r="AK124" s="40"/>
    </row>
    <row r="125" spans="1:37" x14ac:dyDescent="0.3">
      <c r="C125" s="39"/>
      <c r="D125" s="109"/>
      <c r="E125" s="40"/>
      <c r="F125" s="40"/>
      <c r="G125" s="40"/>
      <c r="H125" s="40"/>
      <c r="I125" s="169"/>
      <c r="K125" s="40"/>
      <c r="L125" s="40"/>
      <c r="M125" s="40"/>
      <c r="N125" s="40"/>
      <c r="O125" s="169"/>
      <c r="Q125" s="40"/>
      <c r="R125" s="40"/>
      <c r="S125" s="40"/>
      <c r="T125" s="40"/>
      <c r="V125" s="40"/>
      <c r="W125" s="40"/>
      <c r="X125" s="40"/>
      <c r="Y125" s="40"/>
      <c r="AA125" s="40"/>
      <c r="AB125" s="40"/>
      <c r="AC125" s="40"/>
      <c r="AD125" s="40"/>
      <c r="AE125" s="40"/>
      <c r="AF125" s="169"/>
      <c r="AH125" s="40"/>
      <c r="AI125" s="40"/>
      <c r="AJ125" s="40"/>
      <c r="AK125" s="40"/>
    </row>
    <row r="126" spans="1:37" x14ac:dyDescent="0.3">
      <c r="C126" s="39"/>
      <c r="D126" s="109"/>
      <c r="E126" s="130"/>
      <c r="F126" s="130"/>
      <c r="G126" s="130"/>
      <c r="H126" s="130"/>
      <c r="I126" s="131"/>
      <c r="K126" s="40"/>
      <c r="L126" s="40"/>
      <c r="M126" s="40"/>
      <c r="N126" s="40"/>
      <c r="O126" s="131"/>
      <c r="Q126" s="40"/>
      <c r="R126" s="40"/>
      <c r="S126" s="40"/>
      <c r="T126" s="40"/>
      <c r="V126" s="40"/>
      <c r="W126" s="40"/>
      <c r="X126" s="40"/>
      <c r="Y126" s="40"/>
      <c r="AA126" s="40"/>
      <c r="AB126" s="40"/>
      <c r="AC126" s="40"/>
      <c r="AD126" s="40"/>
      <c r="AE126" s="40"/>
      <c r="AF126" s="131"/>
      <c r="AH126" s="40"/>
      <c r="AI126" s="40"/>
      <c r="AJ126" s="40"/>
      <c r="AK126" s="40"/>
    </row>
    <row r="127" spans="1:37" x14ac:dyDescent="0.3">
      <c r="C127" s="63" t="s">
        <v>125</v>
      </c>
      <c r="D127" s="63"/>
      <c r="E127" s="63"/>
      <c r="F127" s="63"/>
      <c r="G127" s="63"/>
      <c r="H127" s="63"/>
      <c r="I127" s="186"/>
      <c r="J127" s="85"/>
      <c r="K127" s="63"/>
      <c r="L127" s="63"/>
      <c r="M127" s="63"/>
      <c r="N127" s="63"/>
      <c r="O127" s="186"/>
      <c r="P127" s="85"/>
      <c r="Q127" s="63"/>
      <c r="R127" s="63"/>
      <c r="S127" s="63"/>
      <c r="T127" s="63"/>
      <c r="U127" s="85"/>
      <c r="V127" s="63"/>
      <c r="W127" s="63"/>
      <c r="X127" s="63"/>
      <c r="Y127" s="63"/>
      <c r="Z127" s="85"/>
      <c r="AA127" s="63"/>
      <c r="AB127" s="63"/>
      <c r="AC127" s="63"/>
      <c r="AD127" s="63"/>
      <c r="AE127" s="63"/>
      <c r="AF127" s="186"/>
      <c r="AG127" s="85"/>
      <c r="AH127" s="63"/>
      <c r="AI127" s="63"/>
      <c r="AJ127" s="63"/>
      <c r="AK127" s="63"/>
    </row>
    <row r="128" spans="1:37" s="85" customFormat="1" x14ac:dyDescent="0.3">
      <c r="A128" s="36"/>
      <c r="B128" s="36"/>
      <c r="C128" s="99" t="s">
        <v>124</v>
      </c>
      <c r="D128" s="125"/>
      <c r="E128" s="47">
        <f>SUM(E129:E134)</f>
        <v>0</v>
      </c>
      <c r="F128" s="47">
        <f>SUM(F129:F134)</f>
        <v>8209061.8572588004</v>
      </c>
      <c r="G128" s="47"/>
      <c r="H128" s="47">
        <f>SUM(H129:H134)</f>
        <v>8344067.23711426</v>
      </c>
      <c r="I128" s="173">
        <f t="shared" ref="I128:I134" si="12">H128/F128-1</f>
        <v>1.6445896279375871E-2</v>
      </c>
      <c r="J128" s="36"/>
      <c r="K128" s="47">
        <f>SUM(K129:K134)</f>
        <v>0</v>
      </c>
      <c r="L128" s="47">
        <f>SUM(L129:L134)</f>
        <v>8209061.8572588004</v>
      </c>
      <c r="M128" s="47">
        <f>SUM(M129:M134)</f>
        <v>0</v>
      </c>
      <c r="N128" s="47">
        <f>SUM(N129:N134)</f>
        <v>8344067.23711426</v>
      </c>
      <c r="O128" s="173">
        <f t="shared" ref="O128:O134" si="13">N128/L128-1</f>
        <v>1.6445896279375871E-2</v>
      </c>
      <c r="P128" s="36"/>
      <c r="Q128" s="47">
        <f>SUM(Q129:Q134)</f>
        <v>0</v>
      </c>
      <c r="R128" s="47">
        <f>SUM(R129:R134)</f>
        <v>8209061.8572588004</v>
      </c>
      <c r="S128" s="47">
        <f>SUM(S129:S134)</f>
        <v>0</v>
      </c>
      <c r="T128" s="47">
        <f>SUM(T129:T134)</f>
        <v>8344067.23711426</v>
      </c>
      <c r="U128" s="36"/>
      <c r="V128" s="47">
        <f>SUM(V129:V134)</f>
        <v>0</v>
      </c>
      <c r="W128" s="47">
        <f>SUM(W129:W134)</f>
        <v>8209061.8572588004</v>
      </c>
      <c r="X128" s="47">
        <f>SUM(X129:X134)</f>
        <v>0</v>
      </c>
      <c r="Y128" s="47">
        <f>SUM(Y129:Y134)</f>
        <v>8344067.23711426</v>
      </c>
      <c r="Z128" s="36"/>
      <c r="AA128" s="47">
        <f>SUM(AA129:AA134)</f>
        <v>0</v>
      </c>
      <c r="AB128" s="47">
        <f>SUM(AB129:AB134)</f>
        <v>8209061.8572588004</v>
      </c>
      <c r="AC128" s="47">
        <f>SUM(AC129:AC134)</f>
        <v>0</v>
      </c>
      <c r="AD128" s="47">
        <f>SUM(AD129:AD134)</f>
        <v>8344067.23711426</v>
      </c>
      <c r="AE128" s="47"/>
      <c r="AF128" s="173">
        <f t="shared" ref="AF128:AF134" si="14">AD128/AB128-1</f>
        <v>1.6445896279375871E-2</v>
      </c>
      <c r="AG128" s="36"/>
      <c r="AH128" s="47">
        <f>SUM(AH129:AH134)</f>
        <v>0</v>
      </c>
      <c r="AI128" s="47">
        <f>SUM(AI129:AI134)</f>
        <v>8209061.8572588004</v>
      </c>
      <c r="AJ128" s="47">
        <f>SUM(AJ129:AJ134)</f>
        <v>0</v>
      </c>
      <c r="AK128" s="47">
        <f>SUM(AK129:AK134)</f>
        <v>8344067.23711426</v>
      </c>
    </row>
    <row r="129" spans="1:37" x14ac:dyDescent="0.3">
      <c r="C129" s="65" t="s">
        <v>117</v>
      </c>
      <c r="D129" s="77"/>
      <c r="E129" s="97"/>
      <c r="F129" s="97">
        <f>SUM('Quarterly I.S IFRS17'!F129:H129)</f>
        <v>4440055.4253700003</v>
      </c>
      <c r="G129" s="97"/>
      <c r="H129" s="97">
        <f>SUM('Quarterly I.S IFRS17'!J129:L129)</f>
        <v>3915791.1101100002</v>
      </c>
      <c r="I129" s="190">
        <f t="shared" si="12"/>
        <v>-0.1180760745157392</v>
      </c>
      <c r="J129" s="132"/>
      <c r="K129" s="67">
        <f t="shared" ref="K129:K134" si="15">$E129</f>
        <v>0</v>
      </c>
      <c r="L129" s="67">
        <f t="shared" ref="L129:L134" si="16">$F129</f>
        <v>4440055.4253700003</v>
      </c>
      <c r="M129" s="67">
        <f t="shared" ref="M129:M134" si="17">$G129</f>
        <v>0</v>
      </c>
      <c r="N129" s="67">
        <f t="shared" ref="N129:N134" si="18">$H129</f>
        <v>3915791.1101100002</v>
      </c>
      <c r="O129" s="190">
        <f t="shared" si="13"/>
        <v>-0.1180760745157392</v>
      </c>
      <c r="P129" s="64"/>
      <c r="Q129" s="67">
        <f t="shared" ref="Q129:Q134" si="19">$E129</f>
        <v>0</v>
      </c>
      <c r="R129" s="67">
        <f t="shared" ref="R129:R134" si="20">$F129</f>
        <v>4440055.4253700003</v>
      </c>
      <c r="S129" s="67">
        <f t="shared" ref="S129:S134" si="21">$G129</f>
        <v>0</v>
      </c>
      <c r="T129" s="67">
        <f t="shared" ref="T129:T134" si="22">$H129</f>
        <v>3915791.1101100002</v>
      </c>
      <c r="U129" s="64"/>
      <c r="V129" s="67">
        <f t="shared" ref="V129:V134" si="23">$E129</f>
        <v>0</v>
      </c>
      <c r="W129" s="67">
        <f t="shared" ref="W129:W134" si="24">$F129</f>
        <v>4440055.4253700003</v>
      </c>
      <c r="X129" s="67">
        <f t="shared" ref="X129:X134" si="25">$G129</f>
        <v>0</v>
      </c>
      <c r="Y129" s="67">
        <f t="shared" ref="Y129:Y134" si="26">$H129</f>
        <v>3915791.1101100002</v>
      </c>
      <c r="Z129" s="64"/>
      <c r="AA129" s="67">
        <f t="shared" ref="AA129:AA134" si="27">$E129</f>
        <v>0</v>
      </c>
      <c r="AB129" s="67">
        <f t="shared" ref="AB129:AB134" si="28">$F129</f>
        <v>4440055.4253700003</v>
      </c>
      <c r="AC129" s="67">
        <f t="shared" ref="AC129:AC134" si="29">$G129</f>
        <v>0</v>
      </c>
      <c r="AD129" s="67">
        <f t="shared" ref="AD129:AD134" si="30">$H129</f>
        <v>3915791.1101100002</v>
      </c>
      <c r="AE129" s="67"/>
      <c r="AF129" s="190">
        <f t="shared" si="14"/>
        <v>-0.1180760745157392</v>
      </c>
      <c r="AG129" s="64"/>
      <c r="AH129" s="67">
        <f t="shared" ref="AH129:AH134" si="31">$E129</f>
        <v>0</v>
      </c>
      <c r="AI129" s="67">
        <f t="shared" ref="AI129:AI134" si="32">$F129</f>
        <v>4440055.4253700003</v>
      </c>
      <c r="AJ129" s="67">
        <f t="shared" ref="AJ129:AJ134" si="33">$G129</f>
        <v>0</v>
      </c>
      <c r="AK129" s="67">
        <f t="shared" ref="AK129:AK134" si="34">$H129</f>
        <v>3915791.1101100002</v>
      </c>
    </row>
    <row r="130" spans="1:37" x14ac:dyDescent="0.3">
      <c r="A130" s="85"/>
      <c r="B130" s="84"/>
      <c r="C130" s="65" t="s">
        <v>119</v>
      </c>
      <c r="D130" s="77"/>
      <c r="E130" s="97"/>
      <c r="F130" s="97">
        <f>SUM('Quarterly I.S IFRS17'!F130:H130)</f>
        <v>490032.82299999997</v>
      </c>
      <c r="G130" s="97"/>
      <c r="H130" s="97">
        <f>SUM('Quarterly I.S IFRS17'!J130:L130)</f>
        <v>376046.39</v>
      </c>
      <c r="I130" s="190">
        <f t="shared" si="12"/>
        <v>-0.23260979193632503</v>
      </c>
      <c r="J130" s="132"/>
      <c r="K130" s="67">
        <f t="shared" si="15"/>
        <v>0</v>
      </c>
      <c r="L130" s="67">
        <f t="shared" si="16"/>
        <v>490032.82299999997</v>
      </c>
      <c r="M130" s="67">
        <f t="shared" si="17"/>
        <v>0</v>
      </c>
      <c r="N130" s="67">
        <f t="shared" si="18"/>
        <v>376046.39</v>
      </c>
      <c r="O130" s="190">
        <f t="shared" si="13"/>
        <v>-0.23260979193632503</v>
      </c>
      <c r="P130" s="64"/>
      <c r="Q130" s="67">
        <f t="shared" si="19"/>
        <v>0</v>
      </c>
      <c r="R130" s="67">
        <f t="shared" si="20"/>
        <v>490032.82299999997</v>
      </c>
      <c r="S130" s="67">
        <f t="shared" si="21"/>
        <v>0</v>
      </c>
      <c r="T130" s="67">
        <f t="shared" si="22"/>
        <v>376046.39</v>
      </c>
      <c r="U130" s="64"/>
      <c r="V130" s="67">
        <f t="shared" si="23"/>
        <v>0</v>
      </c>
      <c r="W130" s="67">
        <f t="shared" si="24"/>
        <v>490032.82299999997</v>
      </c>
      <c r="X130" s="67">
        <f t="shared" si="25"/>
        <v>0</v>
      </c>
      <c r="Y130" s="67">
        <f t="shared" si="26"/>
        <v>376046.39</v>
      </c>
      <c r="Z130" s="64"/>
      <c r="AA130" s="67">
        <f t="shared" si="27"/>
        <v>0</v>
      </c>
      <c r="AB130" s="67">
        <f t="shared" si="28"/>
        <v>490032.82299999997</v>
      </c>
      <c r="AC130" s="67">
        <f t="shared" si="29"/>
        <v>0</v>
      </c>
      <c r="AD130" s="67">
        <f t="shared" si="30"/>
        <v>376046.39</v>
      </c>
      <c r="AE130" s="67"/>
      <c r="AF130" s="190">
        <f t="shared" si="14"/>
        <v>-0.23260979193632503</v>
      </c>
      <c r="AG130" s="64"/>
      <c r="AH130" s="67">
        <f t="shared" si="31"/>
        <v>0</v>
      </c>
      <c r="AI130" s="67">
        <f t="shared" si="32"/>
        <v>490032.82299999997</v>
      </c>
      <c r="AJ130" s="67">
        <f t="shared" si="33"/>
        <v>0</v>
      </c>
      <c r="AK130" s="67">
        <f t="shared" si="34"/>
        <v>376046.39</v>
      </c>
    </row>
    <row r="131" spans="1:37" x14ac:dyDescent="0.3">
      <c r="C131" s="65" t="s">
        <v>118</v>
      </c>
      <c r="D131" s="77"/>
      <c r="E131" s="97"/>
      <c r="F131" s="97">
        <f>SUM('Quarterly I.S IFRS17'!F131:H131)</f>
        <v>1244555.7621499998</v>
      </c>
      <c r="G131" s="97"/>
      <c r="H131" s="97">
        <f>SUM('Quarterly I.S IFRS17'!J131:L131)</f>
        <v>1541813.2684400002</v>
      </c>
      <c r="I131" s="190">
        <f t="shared" si="12"/>
        <v>0.2388462737711976</v>
      </c>
      <c r="J131" s="132"/>
      <c r="K131" s="67">
        <f t="shared" si="15"/>
        <v>0</v>
      </c>
      <c r="L131" s="67">
        <f t="shared" si="16"/>
        <v>1244555.7621499998</v>
      </c>
      <c r="M131" s="67">
        <f t="shared" si="17"/>
        <v>0</v>
      </c>
      <c r="N131" s="67">
        <f t="shared" si="18"/>
        <v>1541813.2684400002</v>
      </c>
      <c r="O131" s="190">
        <f t="shared" si="13"/>
        <v>0.2388462737711976</v>
      </c>
      <c r="P131" s="64"/>
      <c r="Q131" s="67">
        <f t="shared" si="19"/>
        <v>0</v>
      </c>
      <c r="R131" s="67">
        <f t="shared" si="20"/>
        <v>1244555.7621499998</v>
      </c>
      <c r="S131" s="67">
        <f t="shared" si="21"/>
        <v>0</v>
      </c>
      <c r="T131" s="67">
        <f t="shared" si="22"/>
        <v>1541813.2684400002</v>
      </c>
      <c r="U131" s="64"/>
      <c r="V131" s="67">
        <f t="shared" si="23"/>
        <v>0</v>
      </c>
      <c r="W131" s="67">
        <f t="shared" si="24"/>
        <v>1244555.7621499998</v>
      </c>
      <c r="X131" s="67">
        <f t="shared" si="25"/>
        <v>0</v>
      </c>
      <c r="Y131" s="67">
        <f t="shared" si="26"/>
        <v>1541813.2684400002</v>
      </c>
      <c r="Z131" s="64"/>
      <c r="AA131" s="67">
        <f t="shared" si="27"/>
        <v>0</v>
      </c>
      <c r="AB131" s="67">
        <f t="shared" si="28"/>
        <v>1244555.7621499998</v>
      </c>
      <c r="AC131" s="67">
        <f t="shared" si="29"/>
        <v>0</v>
      </c>
      <c r="AD131" s="67">
        <f t="shared" si="30"/>
        <v>1541813.2684400002</v>
      </c>
      <c r="AE131" s="67"/>
      <c r="AF131" s="190">
        <f t="shared" si="14"/>
        <v>0.2388462737711976</v>
      </c>
      <c r="AG131" s="64"/>
      <c r="AH131" s="67">
        <f t="shared" si="31"/>
        <v>0</v>
      </c>
      <c r="AI131" s="67">
        <f t="shared" si="32"/>
        <v>1244555.7621499998</v>
      </c>
      <c r="AJ131" s="67">
        <f t="shared" si="33"/>
        <v>0</v>
      </c>
      <c r="AK131" s="67">
        <f t="shared" si="34"/>
        <v>1541813.2684400002</v>
      </c>
    </row>
    <row r="132" spans="1:37" x14ac:dyDescent="0.3">
      <c r="C132" s="65" t="s">
        <v>120</v>
      </c>
      <c r="D132" s="77"/>
      <c r="E132" s="97"/>
      <c r="F132" s="97">
        <f>SUM('Quarterly I.S IFRS17'!F132:H132)</f>
        <v>268282.70156880002</v>
      </c>
      <c r="G132" s="97"/>
      <c r="H132" s="97">
        <f>SUM('Quarterly I.S IFRS17'!J132:L132)</f>
        <v>344382.55172425997</v>
      </c>
      <c r="I132" s="190">
        <f t="shared" si="12"/>
        <v>0.28365544893674199</v>
      </c>
      <c r="J132" s="132"/>
      <c r="K132" s="67">
        <f t="shared" si="15"/>
        <v>0</v>
      </c>
      <c r="L132" s="67">
        <f>$F132</f>
        <v>268282.70156880002</v>
      </c>
      <c r="M132" s="67">
        <f t="shared" si="17"/>
        <v>0</v>
      </c>
      <c r="N132" s="67">
        <f t="shared" si="18"/>
        <v>344382.55172425997</v>
      </c>
      <c r="O132" s="190">
        <f t="shared" si="13"/>
        <v>0.28365544893674199</v>
      </c>
      <c r="P132" s="64"/>
      <c r="Q132" s="67">
        <f t="shared" si="19"/>
        <v>0</v>
      </c>
      <c r="R132" s="67">
        <f>$F132</f>
        <v>268282.70156880002</v>
      </c>
      <c r="S132" s="67">
        <f t="shared" si="21"/>
        <v>0</v>
      </c>
      <c r="T132" s="67">
        <f t="shared" si="22"/>
        <v>344382.55172425997</v>
      </c>
      <c r="U132" s="64"/>
      <c r="V132" s="67">
        <f t="shared" si="23"/>
        <v>0</v>
      </c>
      <c r="W132" s="67">
        <f>$F132</f>
        <v>268282.70156880002</v>
      </c>
      <c r="X132" s="67">
        <f t="shared" si="25"/>
        <v>0</v>
      </c>
      <c r="Y132" s="67">
        <f t="shared" si="26"/>
        <v>344382.55172425997</v>
      </c>
      <c r="Z132" s="64"/>
      <c r="AA132" s="67">
        <f t="shared" si="27"/>
        <v>0</v>
      </c>
      <c r="AB132" s="67">
        <f>$F132</f>
        <v>268282.70156880002</v>
      </c>
      <c r="AC132" s="67">
        <f t="shared" si="29"/>
        <v>0</v>
      </c>
      <c r="AD132" s="67">
        <f t="shared" si="30"/>
        <v>344382.55172425997</v>
      </c>
      <c r="AE132" s="67"/>
      <c r="AF132" s="190">
        <f t="shared" si="14"/>
        <v>0.28365544893674199</v>
      </c>
      <c r="AG132" s="64"/>
      <c r="AH132" s="67">
        <f t="shared" si="31"/>
        <v>0</v>
      </c>
      <c r="AI132" s="67">
        <f>$F132</f>
        <v>268282.70156880002</v>
      </c>
      <c r="AJ132" s="67">
        <f t="shared" si="33"/>
        <v>0</v>
      </c>
      <c r="AK132" s="67">
        <f t="shared" si="34"/>
        <v>344382.55172425997</v>
      </c>
    </row>
    <row r="133" spans="1:37" x14ac:dyDescent="0.3">
      <c r="C133" s="65" t="s">
        <v>248</v>
      </c>
      <c r="D133" s="77"/>
      <c r="E133" s="97"/>
      <c r="F133" s="97">
        <f>SUM('Quarterly I.S IFRS17'!F133:H133)</f>
        <v>412713.04599999997</v>
      </c>
      <c r="G133" s="97"/>
      <c r="H133" s="97">
        <f>SUM('Quarterly I.S IFRS17'!J133:L133)</f>
        <v>301343.63500000001</v>
      </c>
      <c r="I133" s="190">
        <f t="shared" si="12"/>
        <v>-0.2698470815967372</v>
      </c>
      <c r="J133" s="132"/>
      <c r="K133" s="67">
        <f t="shared" si="15"/>
        <v>0</v>
      </c>
      <c r="L133" s="67">
        <f t="shared" si="16"/>
        <v>412713.04599999997</v>
      </c>
      <c r="M133" s="67">
        <f t="shared" si="17"/>
        <v>0</v>
      </c>
      <c r="N133" s="67">
        <f t="shared" si="18"/>
        <v>301343.63500000001</v>
      </c>
      <c r="O133" s="190">
        <f t="shared" si="13"/>
        <v>-0.2698470815967372</v>
      </c>
      <c r="P133" s="64"/>
      <c r="Q133" s="67">
        <f t="shared" si="19"/>
        <v>0</v>
      </c>
      <c r="R133" s="67">
        <f t="shared" si="20"/>
        <v>412713.04599999997</v>
      </c>
      <c r="S133" s="67">
        <f t="shared" si="21"/>
        <v>0</v>
      </c>
      <c r="T133" s="67">
        <f t="shared" si="22"/>
        <v>301343.63500000001</v>
      </c>
      <c r="U133" s="64"/>
      <c r="V133" s="67">
        <f t="shared" si="23"/>
        <v>0</v>
      </c>
      <c r="W133" s="67">
        <f t="shared" si="24"/>
        <v>412713.04599999997</v>
      </c>
      <c r="X133" s="67">
        <f t="shared" si="25"/>
        <v>0</v>
      </c>
      <c r="Y133" s="67">
        <f t="shared" si="26"/>
        <v>301343.63500000001</v>
      </c>
      <c r="Z133" s="64"/>
      <c r="AA133" s="67">
        <f t="shared" si="27"/>
        <v>0</v>
      </c>
      <c r="AB133" s="67">
        <f t="shared" si="28"/>
        <v>412713.04599999997</v>
      </c>
      <c r="AC133" s="67">
        <f t="shared" si="29"/>
        <v>0</v>
      </c>
      <c r="AD133" s="67">
        <f t="shared" si="30"/>
        <v>301343.63500000001</v>
      </c>
      <c r="AE133" s="67"/>
      <c r="AF133" s="190">
        <f t="shared" si="14"/>
        <v>-0.2698470815967372</v>
      </c>
      <c r="AG133" s="64"/>
      <c r="AH133" s="67">
        <f t="shared" si="31"/>
        <v>0</v>
      </c>
      <c r="AI133" s="67">
        <f t="shared" si="32"/>
        <v>412713.04599999997</v>
      </c>
      <c r="AJ133" s="67">
        <f t="shared" si="33"/>
        <v>0</v>
      </c>
      <c r="AK133" s="67">
        <f t="shared" si="34"/>
        <v>301343.63500000001</v>
      </c>
    </row>
    <row r="134" spans="1:37" x14ac:dyDescent="0.3">
      <c r="C134" s="65" t="s">
        <v>168</v>
      </c>
      <c r="D134" s="77"/>
      <c r="E134" s="97"/>
      <c r="F134" s="97">
        <f>SUM('Quarterly I.S IFRS17'!F134:H134)</f>
        <v>1353422.0991700001</v>
      </c>
      <c r="G134" s="97"/>
      <c r="H134" s="97">
        <f>SUM('Quarterly I.S IFRS17'!J134:L134)</f>
        <v>1864690.2818399998</v>
      </c>
      <c r="I134" s="190">
        <f t="shared" si="12"/>
        <v>0.37775959398294168</v>
      </c>
      <c r="J134" s="132"/>
      <c r="K134" s="67">
        <f t="shared" si="15"/>
        <v>0</v>
      </c>
      <c r="L134" s="67">
        <f t="shared" si="16"/>
        <v>1353422.0991700001</v>
      </c>
      <c r="M134" s="67">
        <f t="shared" si="17"/>
        <v>0</v>
      </c>
      <c r="N134" s="67">
        <f t="shared" si="18"/>
        <v>1864690.2818399998</v>
      </c>
      <c r="O134" s="190">
        <f t="shared" si="13"/>
        <v>0.37775959398294168</v>
      </c>
      <c r="P134" s="64"/>
      <c r="Q134" s="67">
        <f t="shared" si="19"/>
        <v>0</v>
      </c>
      <c r="R134" s="67">
        <f t="shared" si="20"/>
        <v>1353422.0991700001</v>
      </c>
      <c r="S134" s="67">
        <f t="shared" si="21"/>
        <v>0</v>
      </c>
      <c r="T134" s="67">
        <f t="shared" si="22"/>
        <v>1864690.2818399998</v>
      </c>
      <c r="U134" s="64"/>
      <c r="V134" s="67">
        <f t="shared" si="23"/>
        <v>0</v>
      </c>
      <c r="W134" s="67">
        <f t="shared" si="24"/>
        <v>1353422.0991700001</v>
      </c>
      <c r="X134" s="67">
        <f t="shared" si="25"/>
        <v>0</v>
      </c>
      <c r="Y134" s="67">
        <f t="shared" si="26"/>
        <v>1864690.2818399998</v>
      </c>
      <c r="Z134" s="64"/>
      <c r="AA134" s="67">
        <f t="shared" si="27"/>
        <v>0</v>
      </c>
      <c r="AB134" s="67">
        <f t="shared" si="28"/>
        <v>1353422.0991700001</v>
      </c>
      <c r="AC134" s="67">
        <f t="shared" si="29"/>
        <v>0</v>
      </c>
      <c r="AD134" s="67">
        <f t="shared" si="30"/>
        <v>1864690.2818399998</v>
      </c>
      <c r="AE134" s="67"/>
      <c r="AF134" s="190">
        <f t="shared" si="14"/>
        <v>0.37775959398294168</v>
      </c>
      <c r="AG134" s="64"/>
      <c r="AH134" s="67">
        <f t="shared" si="31"/>
        <v>0</v>
      </c>
      <c r="AI134" s="67">
        <f t="shared" si="32"/>
        <v>1353422.0991700001</v>
      </c>
      <c r="AJ134" s="67">
        <f t="shared" si="33"/>
        <v>0</v>
      </c>
      <c r="AK134" s="67">
        <f t="shared" si="34"/>
        <v>1864690.2818399998</v>
      </c>
    </row>
    <row r="135" spans="1:37" x14ac:dyDescent="0.3">
      <c r="C135" s="65"/>
      <c r="D135" s="77"/>
      <c r="E135" s="62"/>
      <c r="F135" s="62"/>
      <c r="G135" s="62"/>
      <c r="H135" s="62"/>
      <c r="I135" s="131"/>
      <c r="K135" s="62"/>
      <c r="L135" s="62"/>
      <c r="M135" s="62"/>
      <c r="N135" s="62"/>
      <c r="O135" s="131"/>
      <c r="Q135" s="62"/>
      <c r="R135" s="62"/>
      <c r="S135" s="62"/>
      <c r="T135" s="62"/>
      <c r="V135" s="62"/>
      <c r="W135" s="62"/>
      <c r="X135" s="62"/>
      <c r="Y135" s="62"/>
      <c r="AA135" s="62"/>
      <c r="AB135" s="62"/>
      <c r="AC135" s="62"/>
      <c r="AD135" s="62"/>
      <c r="AE135" s="62"/>
      <c r="AF135" s="131"/>
      <c r="AH135" s="62"/>
      <c r="AI135" s="62"/>
      <c r="AJ135" s="62"/>
      <c r="AK135" s="62"/>
    </row>
    <row r="136" spans="1:37" x14ac:dyDescent="0.3">
      <c r="C136" s="99" t="s">
        <v>123</v>
      </c>
      <c r="D136" s="125"/>
      <c r="E136" s="48">
        <f>E137</f>
        <v>0</v>
      </c>
      <c r="F136" s="48">
        <f>F137</f>
        <v>113531.5</v>
      </c>
      <c r="G136" s="48"/>
      <c r="H136" s="48">
        <f>H137</f>
        <v>168829.71503999998</v>
      </c>
      <c r="I136" s="173">
        <f>H136/F136-1</f>
        <v>0.48707376402143887</v>
      </c>
      <c r="K136" s="48">
        <f t="shared" ref="K136:AK136" si="35">K137</f>
        <v>0</v>
      </c>
      <c r="L136" s="48">
        <f t="shared" si="35"/>
        <v>113531.5</v>
      </c>
      <c r="M136" s="48">
        <f t="shared" si="35"/>
        <v>0</v>
      </c>
      <c r="N136" s="48">
        <f t="shared" si="35"/>
        <v>168829.71503999998</v>
      </c>
      <c r="O136" s="173">
        <f>N136/L136-1</f>
        <v>0.48707376402143887</v>
      </c>
      <c r="Q136" s="48">
        <f t="shared" si="35"/>
        <v>0</v>
      </c>
      <c r="R136" s="48">
        <f t="shared" si="35"/>
        <v>113531.5</v>
      </c>
      <c r="S136" s="48">
        <f t="shared" si="35"/>
        <v>0</v>
      </c>
      <c r="T136" s="48">
        <f t="shared" si="35"/>
        <v>168829.71503999998</v>
      </c>
      <c r="V136" s="48">
        <f t="shared" si="35"/>
        <v>0</v>
      </c>
      <c r="W136" s="48">
        <f t="shared" si="35"/>
        <v>113531.5</v>
      </c>
      <c r="X136" s="48">
        <f t="shared" si="35"/>
        <v>0</v>
      </c>
      <c r="Y136" s="48">
        <f t="shared" si="35"/>
        <v>168829.71503999998</v>
      </c>
      <c r="AA136" s="48">
        <f t="shared" si="35"/>
        <v>0</v>
      </c>
      <c r="AB136" s="48">
        <f t="shared" si="35"/>
        <v>113531.5</v>
      </c>
      <c r="AC136" s="48">
        <f t="shared" si="35"/>
        <v>0</v>
      </c>
      <c r="AD136" s="48">
        <f t="shared" si="35"/>
        <v>168829.71503999998</v>
      </c>
      <c r="AE136" s="48"/>
      <c r="AF136" s="173">
        <f>AD136/AB136-1</f>
        <v>0.48707376402143887</v>
      </c>
      <c r="AH136" s="48">
        <f t="shared" si="35"/>
        <v>0</v>
      </c>
      <c r="AI136" s="48">
        <f t="shared" si="35"/>
        <v>113531.5</v>
      </c>
      <c r="AJ136" s="48">
        <f t="shared" si="35"/>
        <v>0</v>
      </c>
      <c r="AK136" s="48">
        <f t="shared" si="35"/>
        <v>168829.71503999998</v>
      </c>
    </row>
    <row r="137" spans="1:37" x14ac:dyDescent="0.3">
      <c r="C137" s="65" t="s">
        <v>117</v>
      </c>
      <c r="D137" s="77"/>
      <c r="E137" s="97"/>
      <c r="F137" s="97">
        <f>SUM('Quarterly I.S IFRS17'!F137:H137)</f>
        <v>113531.5</v>
      </c>
      <c r="G137" s="97"/>
      <c r="H137" s="97">
        <f>SUM('Quarterly I.S IFRS17'!J137:L137)</f>
        <v>168829.71503999998</v>
      </c>
      <c r="I137" s="190"/>
      <c r="J137" s="132"/>
      <c r="K137" s="67">
        <f>$E137</f>
        <v>0</v>
      </c>
      <c r="L137" s="67">
        <f>$F137</f>
        <v>113531.5</v>
      </c>
      <c r="M137" s="67">
        <f>$G137</f>
        <v>0</v>
      </c>
      <c r="N137" s="67">
        <f>$H137</f>
        <v>168829.71503999998</v>
      </c>
      <c r="O137" s="190"/>
      <c r="P137" s="64"/>
      <c r="Q137" s="67">
        <f>$E137</f>
        <v>0</v>
      </c>
      <c r="R137" s="67">
        <f>$F137</f>
        <v>113531.5</v>
      </c>
      <c r="S137" s="67">
        <f>$G137</f>
        <v>0</v>
      </c>
      <c r="T137" s="67">
        <f>$H137</f>
        <v>168829.71503999998</v>
      </c>
      <c r="U137" s="64"/>
      <c r="V137" s="67">
        <f>$E137</f>
        <v>0</v>
      </c>
      <c r="W137" s="67">
        <f>$F137</f>
        <v>113531.5</v>
      </c>
      <c r="X137" s="67">
        <f>$G137</f>
        <v>0</v>
      </c>
      <c r="Y137" s="67">
        <f>$H137</f>
        <v>168829.71503999998</v>
      </c>
      <c r="Z137" s="64"/>
      <c r="AA137" s="67">
        <f>$E137</f>
        <v>0</v>
      </c>
      <c r="AB137" s="67">
        <f>$F137</f>
        <v>113531.5</v>
      </c>
      <c r="AC137" s="67">
        <f>$G137</f>
        <v>0</v>
      </c>
      <c r="AD137" s="67">
        <f>$H137</f>
        <v>168829.71503999998</v>
      </c>
      <c r="AE137" s="67"/>
      <c r="AF137" s="190"/>
      <c r="AG137" s="64"/>
      <c r="AH137" s="67">
        <f>$E137</f>
        <v>0</v>
      </c>
      <c r="AI137" s="67">
        <f>$F137</f>
        <v>113531.5</v>
      </c>
      <c r="AJ137" s="67">
        <f>$G137</f>
        <v>0</v>
      </c>
      <c r="AK137" s="67">
        <f>$H137</f>
        <v>168829.71503999998</v>
      </c>
    </row>
    <row r="138" spans="1:37" x14ac:dyDescent="0.3">
      <c r="C138" s="65"/>
      <c r="D138" s="77"/>
      <c r="E138" s="62"/>
      <c r="F138" s="62"/>
      <c r="G138" s="62"/>
      <c r="H138" s="62"/>
      <c r="I138" s="131"/>
      <c r="K138" s="62"/>
      <c r="L138" s="62"/>
      <c r="M138" s="62"/>
      <c r="N138" s="62"/>
      <c r="O138" s="131"/>
      <c r="Q138" s="62"/>
      <c r="R138" s="62"/>
      <c r="S138" s="62"/>
      <c r="T138" s="62"/>
      <c r="V138" s="62"/>
      <c r="W138" s="62"/>
      <c r="X138" s="62"/>
      <c r="Y138" s="62"/>
      <c r="AA138" s="62"/>
      <c r="AB138" s="62"/>
      <c r="AC138" s="62"/>
      <c r="AD138" s="62"/>
      <c r="AE138" s="62"/>
      <c r="AF138" s="131"/>
      <c r="AH138" s="62"/>
      <c r="AI138" s="62"/>
      <c r="AJ138" s="62"/>
      <c r="AK138" s="62"/>
    </row>
    <row r="139" spans="1:37" ht="13.5" thickBot="1" x14ac:dyDescent="0.35">
      <c r="C139" s="74" t="s">
        <v>52</v>
      </c>
      <c r="D139" s="126"/>
      <c r="E139" s="75">
        <f>E128+E136</f>
        <v>0</v>
      </c>
      <c r="F139" s="75">
        <f>F128+F136</f>
        <v>8322593.3572588004</v>
      </c>
      <c r="G139" s="75"/>
      <c r="H139" s="75">
        <f>H128+H136</f>
        <v>8512896.9521542601</v>
      </c>
      <c r="I139" s="191">
        <f>H139/F139-1</f>
        <v>2.2865900894879276E-2</v>
      </c>
      <c r="K139" s="75">
        <f>K128+K136</f>
        <v>0</v>
      </c>
      <c r="L139" s="75">
        <f>L128+L136</f>
        <v>8322593.3572588004</v>
      </c>
      <c r="M139" s="75">
        <f>M128+M136</f>
        <v>0</v>
      </c>
      <c r="N139" s="75">
        <f>N128+N136</f>
        <v>8512896.9521542601</v>
      </c>
      <c r="O139" s="191">
        <f>N139/L139-1</f>
        <v>2.2865900894879276E-2</v>
      </c>
      <c r="Q139" s="75">
        <f>Q128+Q136</f>
        <v>0</v>
      </c>
      <c r="R139" s="75">
        <f>R128+R136</f>
        <v>8322593.3572588004</v>
      </c>
      <c r="S139" s="75">
        <f>S128+S136</f>
        <v>0</v>
      </c>
      <c r="T139" s="75">
        <f>T128+T136</f>
        <v>8512896.9521542601</v>
      </c>
      <c r="V139" s="75">
        <f>V128+V136</f>
        <v>0</v>
      </c>
      <c r="W139" s="75">
        <f>W128+W136</f>
        <v>8322593.3572588004</v>
      </c>
      <c r="X139" s="75">
        <f>X128+X136</f>
        <v>0</v>
      </c>
      <c r="Y139" s="75">
        <f>Y128+Y136</f>
        <v>8512896.9521542601</v>
      </c>
      <c r="AA139" s="75">
        <f>AA128+AA136</f>
        <v>0</v>
      </c>
      <c r="AB139" s="75">
        <f>AB128+AB136</f>
        <v>8322593.3572588004</v>
      </c>
      <c r="AC139" s="75">
        <f>AC128+AC136</f>
        <v>0</v>
      </c>
      <c r="AD139" s="75">
        <f>AD128+AD136</f>
        <v>8512896.9521542601</v>
      </c>
      <c r="AE139" s="75"/>
      <c r="AF139" s="191">
        <f>AD139/AB139-1</f>
        <v>2.2865900894879276E-2</v>
      </c>
      <c r="AH139" s="75">
        <f>AH128+AH136</f>
        <v>0</v>
      </c>
      <c r="AI139" s="75">
        <f>AI128+AI136</f>
        <v>8322593.3572588004</v>
      </c>
      <c r="AJ139" s="75">
        <f>AJ128+AJ136</f>
        <v>0</v>
      </c>
      <c r="AK139" s="75">
        <f>AK128+AK136</f>
        <v>8512896.9521542601</v>
      </c>
    </row>
    <row r="140" spans="1:37" x14ac:dyDescent="0.3">
      <c r="C140" s="65"/>
      <c r="D140" s="77"/>
      <c r="E140" s="131"/>
      <c r="F140" s="62"/>
      <c r="G140" s="62"/>
      <c r="H140" s="62"/>
      <c r="I140" s="131"/>
      <c r="K140" s="62"/>
      <c r="L140" s="62"/>
      <c r="M140" s="62"/>
      <c r="N140" s="62"/>
      <c r="O140" s="131"/>
      <c r="Q140" s="62"/>
      <c r="R140" s="62"/>
      <c r="S140" s="62"/>
      <c r="T140" s="62"/>
      <c r="V140" s="62"/>
      <c r="W140" s="62"/>
      <c r="X140" s="62"/>
      <c r="Y140" s="62"/>
      <c r="AA140" s="62"/>
      <c r="AB140" s="62"/>
      <c r="AC140" s="62"/>
      <c r="AD140" s="62"/>
      <c r="AE140" s="62"/>
      <c r="AF140" s="131"/>
      <c r="AH140" s="62"/>
      <c r="AI140" s="62"/>
      <c r="AJ140" s="62"/>
      <c r="AK140" s="62"/>
    </row>
    <row r="141" spans="1:37" x14ac:dyDescent="0.3">
      <c r="C141" s="93" t="s">
        <v>67</v>
      </c>
      <c r="D141" s="127"/>
      <c r="E141" s="94">
        <f>SUM(E142:E143)</f>
        <v>0</v>
      </c>
      <c r="F141" s="94">
        <f>SUM(F142:F143)</f>
        <v>4086697.5863099997</v>
      </c>
      <c r="G141" s="94"/>
      <c r="H141" s="94">
        <f>SUM(H142:H143)</f>
        <v>4350405.9733800003</v>
      </c>
      <c r="I141" s="192">
        <f>H141/F141-1</f>
        <v>6.4528480882313222E-2</v>
      </c>
      <c r="J141" s="45"/>
      <c r="K141" s="94">
        <f>SUM(K142:K143)</f>
        <v>0</v>
      </c>
      <c r="L141" s="94">
        <f>SUM(L142:L143)</f>
        <v>4086697.5863099997</v>
      </c>
      <c r="M141" s="94">
        <f>SUM(M142:M143)</f>
        <v>0</v>
      </c>
      <c r="N141" s="94">
        <f>SUM(N142:N143)</f>
        <v>4350405.9733800003</v>
      </c>
      <c r="O141" s="192">
        <f>N141/L141-1</f>
        <v>6.4528480882313222E-2</v>
      </c>
      <c r="P141" s="45"/>
      <c r="Q141" s="94">
        <f>SUM(Q142:Q143)</f>
        <v>0</v>
      </c>
      <c r="R141" s="94">
        <f>SUM(R142:R143)</f>
        <v>4086697.5863099997</v>
      </c>
      <c r="S141" s="94">
        <f>SUM(S142:S143)</f>
        <v>0</v>
      </c>
      <c r="T141" s="94">
        <f>SUM(T142:T143)</f>
        <v>4350405.9733800003</v>
      </c>
      <c r="U141" s="45"/>
      <c r="V141" s="94">
        <f>SUM(V142:V143)</f>
        <v>0</v>
      </c>
      <c r="W141" s="94">
        <f>SUM(W142:W143)</f>
        <v>4086697.5863099997</v>
      </c>
      <c r="X141" s="94">
        <f>SUM(X142:X143)</f>
        <v>0</v>
      </c>
      <c r="Y141" s="94">
        <f>SUM(Y142:Y143)</f>
        <v>4350405.9733800003</v>
      </c>
      <c r="Z141" s="45"/>
      <c r="AA141" s="94">
        <f>SUM(AA142:AA143)</f>
        <v>0</v>
      </c>
      <c r="AB141" s="94">
        <f>SUM(AB142:AB143)</f>
        <v>4086697.5863099997</v>
      </c>
      <c r="AC141" s="94">
        <f>SUM(AC142:AC143)</f>
        <v>0</v>
      </c>
      <c r="AD141" s="94">
        <f>SUM(AD142:AD143)</f>
        <v>4350405.9733800003</v>
      </c>
      <c r="AE141" s="94"/>
      <c r="AF141" s="192">
        <f>AD141/AB141-1</f>
        <v>6.4528480882313222E-2</v>
      </c>
      <c r="AG141" s="45"/>
      <c r="AH141" s="94">
        <f>SUM(AH142:AH143)</f>
        <v>0</v>
      </c>
      <c r="AI141" s="94">
        <f>SUM(AI142:AI143)</f>
        <v>4086697.5863099997</v>
      </c>
      <c r="AJ141" s="94">
        <f>SUM(AJ142:AJ143)</f>
        <v>0</v>
      </c>
      <c r="AK141" s="94">
        <f>SUM(AK142:AK143)</f>
        <v>4350405.9733800003</v>
      </c>
    </row>
    <row r="142" spans="1:37" s="45" customFormat="1" x14ac:dyDescent="0.3">
      <c r="A142" s="36"/>
      <c r="B142" s="36"/>
      <c r="C142" s="36" t="s">
        <v>68</v>
      </c>
      <c r="D142" s="110"/>
      <c r="E142" s="97"/>
      <c r="F142" s="97">
        <f>SUM('Quarterly I.S IFRS17'!F142:H142)</f>
        <v>4055091.7355699996</v>
      </c>
      <c r="G142" s="97"/>
      <c r="H142" s="97">
        <f>SUM('Quarterly I.S IFRS17'!J142:L142)</f>
        <v>4177865.2536400002</v>
      </c>
      <c r="I142" s="190"/>
      <c r="J142" s="36"/>
      <c r="K142" s="92">
        <f>$E142</f>
        <v>0</v>
      </c>
      <c r="L142" s="92">
        <f>$F142</f>
        <v>4055091.7355699996</v>
      </c>
      <c r="M142" s="92">
        <f>$G142</f>
        <v>0</v>
      </c>
      <c r="N142" s="92">
        <f>$H142</f>
        <v>4177865.2536400002</v>
      </c>
      <c r="O142" s="190"/>
      <c r="P142" s="36"/>
      <c r="Q142" s="92">
        <f>$E142</f>
        <v>0</v>
      </c>
      <c r="R142" s="92">
        <f>$F142</f>
        <v>4055091.7355699996</v>
      </c>
      <c r="S142" s="92">
        <f>$G142</f>
        <v>0</v>
      </c>
      <c r="T142" s="92">
        <f>$H142</f>
        <v>4177865.2536400002</v>
      </c>
      <c r="U142" s="36"/>
      <c r="V142" s="92">
        <f>$E142</f>
        <v>0</v>
      </c>
      <c r="W142" s="92">
        <f>$F142</f>
        <v>4055091.7355699996</v>
      </c>
      <c r="X142" s="92">
        <f>$G142</f>
        <v>0</v>
      </c>
      <c r="Y142" s="92">
        <f>$H142</f>
        <v>4177865.2536400002</v>
      </c>
      <c r="Z142" s="36"/>
      <c r="AA142" s="92">
        <f>$E142</f>
        <v>0</v>
      </c>
      <c r="AB142" s="92">
        <f>$F142</f>
        <v>4055091.7355699996</v>
      </c>
      <c r="AC142" s="92">
        <f>$G142</f>
        <v>0</v>
      </c>
      <c r="AD142" s="92">
        <f>$H142</f>
        <v>4177865.2536400002</v>
      </c>
      <c r="AE142" s="92"/>
      <c r="AF142" s="190"/>
      <c r="AG142" s="36"/>
      <c r="AH142" s="92">
        <f>$E142</f>
        <v>0</v>
      </c>
      <c r="AI142" s="92">
        <f>$F142</f>
        <v>4055091.7355699996</v>
      </c>
      <c r="AJ142" s="92">
        <f>$G142</f>
        <v>0</v>
      </c>
      <c r="AK142" s="92">
        <f>$H142</f>
        <v>4177865.2536400002</v>
      </c>
    </row>
    <row r="143" spans="1:37" x14ac:dyDescent="0.3">
      <c r="C143" s="36" t="s">
        <v>121</v>
      </c>
      <c r="E143" s="97"/>
      <c r="F143" s="97">
        <f>SUM('Quarterly I.S IFRS17'!F143:H143)</f>
        <v>31605.850740000002</v>
      </c>
      <c r="G143" s="97"/>
      <c r="H143" s="97">
        <f>SUM('Quarterly I.S IFRS17'!J143:L143)</f>
        <v>172540.71974</v>
      </c>
      <c r="I143" s="190"/>
      <c r="K143" s="92">
        <f>$E143</f>
        <v>0</v>
      </c>
      <c r="L143" s="92">
        <f>$F143</f>
        <v>31605.850740000002</v>
      </c>
      <c r="M143" s="92">
        <f>$G143</f>
        <v>0</v>
      </c>
      <c r="N143" s="92">
        <f>$H143</f>
        <v>172540.71974</v>
      </c>
      <c r="O143" s="190"/>
      <c r="Q143" s="92">
        <f>$E143</f>
        <v>0</v>
      </c>
      <c r="R143" s="92">
        <f>$F143</f>
        <v>31605.850740000002</v>
      </c>
      <c r="S143" s="92">
        <f>$G143</f>
        <v>0</v>
      </c>
      <c r="T143" s="92">
        <f>$H143</f>
        <v>172540.71974</v>
      </c>
      <c r="V143" s="92">
        <f>$E143</f>
        <v>0</v>
      </c>
      <c r="W143" s="92">
        <f>$F143</f>
        <v>31605.850740000002</v>
      </c>
      <c r="X143" s="92">
        <f>$G143</f>
        <v>0</v>
      </c>
      <c r="Y143" s="92">
        <f>$H143</f>
        <v>172540.71974</v>
      </c>
      <c r="AA143" s="92">
        <f>$E143</f>
        <v>0</v>
      </c>
      <c r="AB143" s="92">
        <f>$F143</f>
        <v>31605.850740000002</v>
      </c>
      <c r="AC143" s="92">
        <f>$G143</f>
        <v>0</v>
      </c>
      <c r="AD143" s="92">
        <f>$H143</f>
        <v>172540.71974</v>
      </c>
      <c r="AE143" s="92"/>
      <c r="AF143" s="190"/>
      <c r="AH143" s="92">
        <f>$E143</f>
        <v>0</v>
      </c>
      <c r="AI143" s="92">
        <f>$F143</f>
        <v>31605.850740000002</v>
      </c>
      <c r="AJ143" s="92">
        <f>$G143</f>
        <v>0</v>
      </c>
      <c r="AK143" s="92">
        <f>$H143</f>
        <v>172540.71974</v>
      </c>
    </row>
    <row r="144" spans="1:37" x14ac:dyDescent="0.3">
      <c r="A144" s="45"/>
      <c r="B144" s="45"/>
      <c r="C144" s="71"/>
      <c r="D144" s="120"/>
      <c r="E144" s="68"/>
      <c r="F144" s="68"/>
      <c r="G144" s="68"/>
      <c r="H144" s="68"/>
      <c r="I144" s="193"/>
      <c r="K144" s="70"/>
      <c r="L144" s="70"/>
      <c r="M144" s="70"/>
      <c r="N144" s="70"/>
      <c r="O144" s="193"/>
      <c r="Q144" s="70"/>
      <c r="R144" s="70"/>
      <c r="S144" s="70"/>
      <c r="T144" s="70"/>
      <c r="V144" s="70"/>
      <c r="W144" s="70"/>
      <c r="X144" s="70"/>
      <c r="Y144" s="70"/>
      <c r="AA144" s="70"/>
      <c r="AB144" s="70"/>
      <c r="AC144" s="70"/>
      <c r="AD144" s="70"/>
      <c r="AE144" s="70"/>
      <c r="AF144" s="193"/>
      <c r="AH144" s="70"/>
      <c r="AI144" s="70"/>
      <c r="AJ144" s="70"/>
      <c r="AK144" s="70"/>
    </row>
    <row r="145" spans="1:37" x14ac:dyDescent="0.3">
      <c r="C145" s="63" t="s">
        <v>115</v>
      </c>
      <c r="D145" s="63"/>
      <c r="E145" s="34"/>
      <c r="F145" s="34"/>
      <c r="G145" s="34"/>
      <c r="H145" s="34"/>
      <c r="I145" s="168"/>
      <c r="J145" s="35"/>
      <c r="K145" s="34"/>
      <c r="L145" s="34"/>
      <c r="M145" s="34"/>
      <c r="N145" s="34"/>
      <c r="O145" s="168"/>
      <c r="P145" s="35"/>
      <c r="Q145" s="34"/>
      <c r="R145" s="34"/>
      <c r="S145" s="34"/>
      <c r="T145" s="34"/>
      <c r="U145" s="35"/>
      <c r="V145" s="34"/>
      <c r="W145" s="34"/>
      <c r="X145" s="34"/>
      <c r="Y145" s="34"/>
      <c r="Z145" s="35"/>
      <c r="AA145" s="34"/>
      <c r="AB145" s="34"/>
      <c r="AC145" s="34"/>
      <c r="AD145" s="34"/>
      <c r="AE145" s="34"/>
      <c r="AF145" s="168"/>
      <c r="AG145" s="35"/>
      <c r="AH145" s="34"/>
      <c r="AI145" s="34"/>
      <c r="AJ145" s="34"/>
      <c r="AK145" s="34"/>
    </row>
    <row r="146" spans="1:37" s="35" customFormat="1" x14ac:dyDescent="0.3">
      <c r="A146" s="36"/>
      <c r="B146" s="36"/>
      <c r="C146" s="79" t="s">
        <v>111</v>
      </c>
      <c r="D146" s="121"/>
      <c r="E146" s="48">
        <f>SUM(E147)</f>
        <v>0</v>
      </c>
      <c r="F146" s="48">
        <f>SUM(F147)</f>
        <v>7530801.2247399995</v>
      </c>
      <c r="G146" s="48"/>
      <c r="H146" s="48">
        <f>SUM(H147)</f>
        <v>8688543.81281</v>
      </c>
      <c r="I146" s="173">
        <f>H146/F146-1</f>
        <v>0.15373431770667567</v>
      </c>
      <c r="J146" s="36"/>
      <c r="K146" s="100">
        <f t="shared" ref="K146:AK146" si="36">K147</f>
        <v>0</v>
      </c>
      <c r="L146" s="100">
        <f t="shared" si="36"/>
        <v>7530801.2247399995</v>
      </c>
      <c r="M146" s="100">
        <f t="shared" si="36"/>
        <v>0</v>
      </c>
      <c r="N146" s="100">
        <f t="shared" si="36"/>
        <v>8688543.81281</v>
      </c>
      <c r="O146" s="173">
        <f>N146/L146-1</f>
        <v>0.15373431770667567</v>
      </c>
      <c r="P146" s="36"/>
      <c r="Q146" s="100">
        <f t="shared" si="36"/>
        <v>0</v>
      </c>
      <c r="R146" s="100">
        <f t="shared" si="36"/>
        <v>7530801.2247399995</v>
      </c>
      <c r="S146" s="100">
        <f t="shared" si="36"/>
        <v>0</v>
      </c>
      <c r="T146" s="100">
        <f t="shared" si="36"/>
        <v>8688543.81281</v>
      </c>
      <c r="U146" s="36"/>
      <c r="V146" s="100">
        <f t="shared" si="36"/>
        <v>0</v>
      </c>
      <c r="W146" s="100">
        <f t="shared" si="36"/>
        <v>7530801.2247399995</v>
      </c>
      <c r="X146" s="100">
        <f t="shared" si="36"/>
        <v>0</v>
      </c>
      <c r="Y146" s="100">
        <f t="shared" si="36"/>
        <v>8688543.81281</v>
      </c>
      <c r="Z146" s="36"/>
      <c r="AA146" s="100">
        <f t="shared" si="36"/>
        <v>0</v>
      </c>
      <c r="AB146" s="100">
        <f t="shared" si="36"/>
        <v>7530801.2247399995</v>
      </c>
      <c r="AC146" s="100">
        <f t="shared" si="36"/>
        <v>0</v>
      </c>
      <c r="AD146" s="100">
        <f t="shared" si="36"/>
        <v>8688543.81281</v>
      </c>
      <c r="AE146" s="100"/>
      <c r="AF146" s="173">
        <f>AD146/AB146-1</f>
        <v>0.15373431770667567</v>
      </c>
      <c r="AG146" s="36"/>
      <c r="AH146" s="100">
        <f t="shared" si="36"/>
        <v>0</v>
      </c>
      <c r="AI146" s="100">
        <f t="shared" si="36"/>
        <v>7530801.2247399995</v>
      </c>
      <c r="AJ146" s="100">
        <f t="shared" si="36"/>
        <v>0</v>
      </c>
      <c r="AK146" s="100">
        <f t="shared" si="36"/>
        <v>8688543.81281</v>
      </c>
    </row>
    <row r="147" spans="1:37" x14ac:dyDescent="0.3">
      <c r="C147" s="65" t="s">
        <v>112</v>
      </c>
      <c r="D147" s="77">
        <v>37</v>
      </c>
      <c r="E147" s="97"/>
      <c r="F147" s="97">
        <f>'Quarterly I.S IFRS17'!H147</f>
        <v>7530801.2247399995</v>
      </c>
      <c r="G147" s="97"/>
      <c r="H147" s="97">
        <f>'Quarterly I.S IFRS17'!L147</f>
        <v>8688543.81281</v>
      </c>
      <c r="I147" s="190"/>
      <c r="K147" s="67">
        <f>$E147</f>
        <v>0</v>
      </c>
      <c r="L147" s="67">
        <f>$F147</f>
        <v>7530801.2247399995</v>
      </c>
      <c r="M147" s="67">
        <f>$G147</f>
        <v>0</v>
      </c>
      <c r="N147" s="67">
        <f>$H147</f>
        <v>8688543.81281</v>
      </c>
      <c r="O147" s="190"/>
      <c r="P147" s="64"/>
      <c r="Q147" s="67">
        <f>$E147</f>
        <v>0</v>
      </c>
      <c r="R147" s="67">
        <f>$F147</f>
        <v>7530801.2247399995</v>
      </c>
      <c r="S147" s="67">
        <f>$G147</f>
        <v>0</v>
      </c>
      <c r="T147" s="67">
        <f>$H147</f>
        <v>8688543.81281</v>
      </c>
      <c r="U147" s="64"/>
      <c r="V147" s="67">
        <f>$E147</f>
        <v>0</v>
      </c>
      <c r="W147" s="67">
        <f>$F147</f>
        <v>7530801.2247399995</v>
      </c>
      <c r="X147" s="67">
        <f>$G147</f>
        <v>0</v>
      </c>
      <c r="Y147" s="67">
        <f>$H147</f>
        <v>8688543.81281</v>
      </c>
      <c r="Z147" s="64"/>
      <c r="AA147" s="67">
        <f>$E147</f>
        <v>0</v>
      </c>
      <c r="AB147" s="67">
        <f>$F147</f>
        <v>7530801.2247399995</v>
      </c>
      <c r="AC147" s="67">
        <f>$G147</f>
        <v>0</v>
      </c>
      <c r="AD147" s="67">
        <f>$H147</f>
        <v>8688543.81281</v>
      </c>
      <c r="AE147" s="67"/>
      <c r="AF147" s="190"/>
      <c r="AG147" s="64"/>
      <c r="AH147" s="67">
        <f>$E147</f>
        <v>0</v>
      </c>
      <c r="AI147" s="67">
        <f>$F147</f>
        <v>7530801.2247399995</v>
      </c>
      <c r="AJ147" s="67">
        <f>$G147</f>
        <v>0</v>
      </c>
      <c r="AK147" s="67">
        <f>$H147</f>
        <v>8688543.81281</v>
      </c>
    </row>
    <row r="148" spans="1:37" x14ac:dyDescent="0.3">
      <c r="A148" s="35"/>
      <c r="B148" s="33"/>
      <c r="C148" s="65"/>
      <c r="D148" s="77"/>
      <c r="E148" s="41"/>
      <c r="F148" s="41"/>
      <c r="G148" s="41"/>
      <c r="H148" s="41"/>
      <c r="I148" s="169"/>
      <c r="K148" s="40"/>
      <c r="L148" s="40"/>
      <c r="M148" s="40"/>
      <c r="N148" s="40"/>
      <c r="O148" s="169"/>
      <c r="Q148" s="40"/>
      <c r="R148" s="40"/>
      <c r="S148" s="40"/>
      <c r="T148" s="40"/>
      <c r="V148" s="40"/>
      <c r="W148" s="40"/>
      <c r="X148" s="40"/>
      <c r="Y148" s="40"/>
      <c r="AA148" s="40"/>
      <c r="AB148" s="40"/>
      <c r="AC148" s="40"/>
      <c r="AD148" s="40"/>
      <c r="AE148" s="40"/>
      <c r="AF148" s="169"/>
      <c r="AH148" s="40"/>
      <c r="AI148" s="40"/>
      <c r="AJ148" s="40"/>
      <c r="AK148" s="40"/>
    </row>
    <row r="149" spans="1:37" x14ac:dyDescent="0.3">
      <c r="C149" s="80" t="s">
        <v>114</v>
      </c>
      <c r="D149" s="122"/>
      <c r="E149" s="48">
        <f>SUM(E150:E153)</f>
        <v>0</v>
      </c>
      <c r="F149" s="48">
        <f>SUM(F150:F153)</f>
        <v>13049129.769865882</v>
      </c>
      <c r="G149" s="48"/>
      <c r="H149" s="48">
        <f>SUM(H150:H153)</f>
        <v>13875406.756858427</v>
      </c>
      <c r="I149" s="173">
        <f>H149/F149-1</f>
        <v>6.3320466695078181E-2</v>
      </c>
      <c r="K149" s="100">
        <f>SUM(K150:K153)</f>
        <v>0</v>
      </c>
      <c r="L149" s="100">
        <f>SUM(L150:L153)</f>
        <v>13049129.769865882</v>
      </c>
      <c r="M149" s="100">
        <f>SUM(M150:M153)</f>
        <v>0</v>
      </c>
      <c r="N149" s="100">
        <f>SUM(N150:N153)</f>
        <v>13875406.756858427</v>
      </c>
      <c r="O149" s="173">
        <f>N149/L149-1</f>
        <v>6.3320466695078181E-2</v>
      </c>
      <c r="Q149" s="100">
        <f>SUM(Q150:Q153)</f>
        <v>0</v>
      </c>
      <c r="R149" s="100">
        <f>SUM(R150:R153)</f>
        <v>13049129.769865882</v>
      </c>
      <c r="S149" s="100">
        <f>SUM(S150:S153)</f>
        <v>0</v>
      </c>
      <c r="T149" s="100">
        <f>SUM(T150:T153)</f>
        <v>13875406.756858427</v>
      </c>
      <c r="U149" s="100"/>
      <c r="V149" s="100">
        <f>SUM(V150:V153)</f>
        <v>0</v>
      </c>
      <c r="W149" s="100">
        <f>SUM(W150:W153)</f>
        <v>13049129.769865882</v>
      </c>
      <c r="X149" s="100">
        <f>SUM(X150:X153)</f>
        <v>0</v>
      </c>
      <c r="Y149" s="100">
        <f>SUM(Y150:Y153)</f>
        <v>13875406.756858427</v>
      </c>
      <c r="Z149" s="100"/>
      <c r="AA149" s="100">
        <f>SUM(AA150:AA153)</f>
        <v>0</v>
      </c>
      <c r="AB149" s="100">
        <f>SUM(AB150:AB153)</f>
        <v>13049129.769865882</v>
      </c>
      <c r="AC149" s="100">
        <f>SUM(AC150:AC153)</f>
        <v>0</v>
      </c>
      <c r="AD149" s="100">
        <f>SUM(AD150:AD153)</f>
        <v>13875406.756858427</v>
      </c>
      <c r="AE149" s="100"/>
      <c r="AF149" s="173">
        <f>AD149/AB149-1</f>
        <v>6.3320466695078181E-2</v>
      </c>
      <c r="AG149" s="100"/>
      <c r="AH149" s="100">
        <f>SUM(AH150:AH153)</f>
        <v>0</v>
      </c>
      <c r="AI149" s="100">
        <f>SUM(AI150:AI153)</f>
        <v>13049129.769865882</v>
      </c>
      <c r="AJ149" s="100">
        <f>SUM(AJ150:AJ153)</f>
        <v>0</v>
      </c>
      <c r="AK149" s="100">
        <f>SUM(AK150:AK153)</f>
        <v>13875406.756858427</v>
      </c>
    </row>
    <row r="150" spans="1:37" x14ac:dyDescent="0.3">
      <c r="C150" s="77" t="s">
        <v>142</v>
      </c>
      <c r="D150" s="77">
        <v>48.2</v>
      </c>
      <c r="E150" s="97"/>
      <c r="F150" s="97">
        <f>'Quarterly I.S IFRS17'!H150</f>
        <v>5526512</v>
      </c>
      <c r="G150" s="97"/>
      <c r="H150" s="97">
        <f>'Quarterly I.S IFRS17'!L150</f>
        <v>5334097.3109999998</v>
      </c>
      <c r="I150" s="190">
        <f>H150/F150-1</f>
        <v>-3.4816659947540241E-2</v>
      </c>
      <c r="K150" s="67">
        <f>$E150</f>
        <v>0</v>
      </c>
      <c r="L150" s="67">
        <f>$F150</f>
        <v>5526512</v>
      </c>
      <c r="M150" s="67">
        <f>$G150</f>
        <v>0</v>
      </c>
      <c r="N150" s="67">
        <f>$H150</f>
        <v>5334097.3109999998</v>
      </c>
      <c r="O150" s="190">
        <f>N150/L150-1</f>
        <v>-3.4816659947540241E-2</v>
      </c>
      <c r="P150" s="64"/>
      <c r="Q150" s="67">
        <f>$E150</f>
        <v>0</v>
      </c>
      <c r="R150" s="67">
        <f>$F150</f>
        <v>5526512</v>
      </c>
      <c r="S150" s="67">
        <f>$G150</f>
        <v>0</v>
      </c>
      <c r="T150" s="67">
        <f>$H150</f>
        <v>5334097.3109999998</v>
      </c>
      <c r="U150" s="64"/>
      <c r="V150" s="67">
        <f>$E150</f>
        <v>0</v>
      </c>
      <c r="W150" s="67">
        <f>$F150</f>
        <v>5526512</v>
      </c>
      <c r="X150" s="67">
        <f>$G150</f>
        <v>0</v>
      </c>
      <c r="Y150" s="67">
        <f>$H150</f>
        <v>5334097.3109999998</v>
      </c>
      <c r="Z150" s="64"/>
      <c r="AA150" s="67">
        <f>$E150</f>
        <v>0</v>
      </c>
      <c r="AB150" s="67">
        <f>$F150</f>
        <v>5526512</v>
      </c>
      <c r="AC150" s="67">
        <f>$G150</f>
        <v>0</v>
      </c>
      <c r="AD150" s="67">
        <f>$H150</f>
        <v>5334097.3109999998</v>
      </c>
      <c r="AE150" s="67"/>
      <c r="AF150" s="190">
        <f>AD150/AB150-1</f>
        <v>-3.4816659947540241E-2</v>
      </c>
      <c r="AG150" s="64"/>
      <c r="AH150" s="67">
        <f>$E150</f>
        <v>0</v>
      </c>
      <c r="AI150" s="67">
        <f>$F150</f>
        <v>5526512</v>
      </c>
      <c r="AJ150" s="67">
        <f>$G150</f>
        <v>0</v>
      </c>
      <c r="AK150" s="67">
        <f>$H150</f>
        <v>5334097.3109999998</v>
      </c>
    </row>
    <row r="151" spans="1:37" x14ac:dyDescent="0.3">
      <c r="C151" s="77" t="s">
        <v>107</v>
      </c>
      <c r="D151" s="77" t="s">
        <v>149</v>
      </c>
      <c r="E151" s="97"/>
      <c r="F151" s="97">
        <f>'Quarterly I.S IFRS17'!H151</f>
        <v>2678254</v>
      </c>
      <c r="G151" s="97"/>
      <c r="H151" s="97">
        <f>'Quarterly I.S IFRS17'!L151</f>
        <v>1205066.9909999999</v>
      </c>
      <c r="I151" s="190">
        <f>H151/F151-1</f>
        <v>-0.5500550018780892</v>
      </c>
      <c r="K151" s="67">
        <f>$E151</f>
        <v>0</v>
      </c>
      <c r="L151" s="67">
        <f>$F151</f>
        <v>2678254</v>
      </c>
      <c r="M151" s="67">
        <f>$G151</f>
        <v>0</v>
      </c>
      <c r="N151" s="67">
        <f>$H151</f>
        <v>1205066.9909999999</v>
      </c>
      <c r="O151" s="190">
        <f>N151/L151-1</f>
        <v>-0.5500550018780892</v>
      </c>
      <c r="P151" s="64"/>
      <c r="Q151" s="67">
        <f>$E151</f>
        <v>0</v>
      </c>
      <c r="R151" s="67">
        <f>$F151</f>
        <v>2678254</v>
      </c>
      <c r="S151" s="67">
        <f>$G151</f>
        <v>0</v>
      </c>
      <c r="T151" s="67">
        <f>$H151</f>
        <v>1205066.9909999999</v>
      </c>
      <c r="U151" s="64"/>
      <c r="V151" s="67">
        <f>$E151</f>
        <v>0</v>
      </c>
      <c r="W151" s="67">
        <f>$F151</f>
        <v>2678254</v>
      </c>
      <c r="X151" s="67">
        <f>$G151</f>
        <v>0</v>
      </c>
      <c r="Y151" s="67">
        <f>$H151</f>
        <v>1205066.9909999999</v>
      </c>
      <c r="Z151" s="64"/>
      <c r="AA151" s="67">
        <f>$E151</f>
        <v>0</v>
      </c>
      <c r="AB151" s="67">
        <f>$F151</f>
        <v>2678254</v>
      </c>
      <c r="AC151" s="67">
        <f>$G151</f>
        <v>0</v>
      </c>
      <c r="AD151" s="67">
        <f>$H151</f>
        <v>1205066.9909999999</v>
      </c>
      <c r="AE151" s="67"/>
      <c r="AF151" s="190">
        <f>AD151/AB151-1</f>
        <v>-0.5500550018780892</v>
      </c>
      <c r="AG151" s="64"/>
      <c r="AH151" s="67">
        <f>$E151</f>
        <v>0</v>
      </c>
      <c r="AI151" s="67">
        <f>$F151</f>
        <v>2678254</v>
      </c>
      <c r="AJ151" s="67">
        <f>$G151</f>
        <v>0</v>
      </c>
      <c r="AK151" s="67">
        <f>$H151</f>
        <v>1205066.9909999999</v>
      </c>
    </row>
    <row r="152" spans="1:37" x14ac:dyDescent="0.3">
      <c r="C152" s="77" t="s">
        <v>108</v>
      </c>
      <c r="D152" s="77" t="s">
        <v>150</v>
      </c>
      <c r="E152" s="97"/>
      <c r="F152" s="97">
        <f>'Quarterly I.S IFRS17'!H152</f>
        <v>3894294.8849999998</v>
      </c>
      <c r="G152" s="97"/>
      <c r="H152" s="97">
        <f>'Quarterly I.S IFRS17'!L152</f>
        <v>6617733.8530000001</v>
      </c>
      <c r="I152" s="190">
        <f>H152/F152-1</f>
        <v>0.69934071466701497</v>
      </c>
      <c r="K152" s="67">
        <f>$E152</f>
        <v>0</v>
      </c>
      <c r="L152" s="67">
        <f>$F152</f>
        <v>3894294.8849999998</v>
      </c>
      <c r="M152" s="67">
        <f>$G152</f>
        <v>0</v>
      </c>
      <c r="N152" s="67">
        <f>$H152</f>
        <v>6617733.8530000001</v>
      </c>
      <c r="O152" s="190">
        <f>N152/L152-1</f>
        <v>0.69934071466701497</v>
      </c>
      <c r="P152" s="64"/>
      <c r="Q152" s="67">
        <f>$E152</f>
        <v>0</v>
      </c>
      <c r="R152" s="67">
        <f>$F152</f>
        <v>3894294.8849999998</v>
      </c>
      <c r="S152" s="67">
        <f>$G152</f>
        <v>0</v>
      </c>
      <c r="T152" s="67">
        <f>$H152</f>
        <v>6617733.8530000001</v>
      </c>
      <c r="U152" s="64"/>
      <c r="V152" s="67">
        <f>$E152</f>
        <v>0</v>
      </c>
      <c r="W152" s="67">
        <f>$F152</f>
        <v>3894294.8849999998</v>
      </c>
      <c r="X152" s="67">
        <f>$G152</f>
        <v>0</v>
      </c>
      <c r="Y152" s="67">
        <f>$H152</f>
        <v>6617733.8530000001</v>
      </c>
      <c r="Z152" s="64"/>
      <c r="AA152" s="67">
        <f>$E152</f>
        <v>0</v>
      </c>
      <c r="AB152" s="67">
        <f>$F152</f>
        <v>3894294.8849999998</v>
      </c>
      <c r="AC152" s="67">
        <f>$G152</f>
        <v>0</v>
      </c>
      <c r="AD152" s="67">
        <f>$H152</f>
        <v>6617733.8530000001</v>
      </c>
      <c r="AE152" s="67"/>
      <c r="AF152" s="190">
        <f>AD152/AB152-1</f>
        <v>0.69934071466701497</v>
      </c>
      <c r="AG152" s="64"/>
      <c r="AH152" s="67">
        <f>$E152</f>
        <v>0</v>
      </c>
      <c r="AI152" s="67">
        <f>$F152</f>
        <v>3894294.8849999998</v>
      </c>
      <c r="AJ152" s="67">
        <f>$G152</f>
        <v>0</v>
      </c>
      <c r="AK152" s="67">
        <f>$H152</f>
        <v>6617733.8530000001</v>
      </c>
    </row>
    <row r="153" spans="1:37" x14ac:dyDescent="0.3">
      <c r="C153" s="77" t="s">
        <v>109</v>
      </c>
      <c r="D153" s="77">
        <v>46</v>
      </c>
      <c r="E153" s="97"/>
      <c r="F153" s="97">
        <f>'Quarterly I.S IFRS17'!H153</f>
        <v>950068.88486588094</v>
      </c>
      <c r="G153" s="97"/>
      <c r="H153" s="97">
        <f>'Quarterly I.S IFRS17'!L153</f>
        <v>718508.60185842798</v>
      </c>
      <c r="I153" s="190">
        <f>H153/F153-1</f>
        <v>-0.24372999336794599</v>
      </c>
      <c r="K153" s="67">
        <f>$E153</f>
        <v>0</v>
      </c>
      <c r="L153" s="67">
        <f>$F153</f>
        <v>950068.88486588094</v>
      </c>
      <c r="M153" s="67">
        <f>$G153</f>
        <v>0</v>
      </c>
      <c r="N153" s="67">
        <f>$H153</f>
        <v>718508.60185842798</v>
      </c>
      <c r="O153" s="190">
        <f>N153/L153-1</f>
        <v>-0.24372999336794599</v>
      </c>
      <c r="P153" s="64"/>
      <c r="Q153" s="67">
        <f>$E153</f>
        <v>0</v>
      </c>
      <c r="R153" s="67">
        <f>$F153</f>
        <v>950068.88486588094</v>
      </c>
      <c r="S153" s="67">
        <f>$G153</f>
        <v>0</v>
      </c>
      <c r="T153" s="67">
        <f>$H153</f>
        <v>718508.60185842798</v>
      </c>
      <c r="U153" s="64"/>
      <c r="V153" s="67">
        <f>$E153</f>
        <v>0</v>
      </c>
      <c r="W153" s="67">
        <f>$F153</f>
        <v>950068.88486588094</v>
      </c>
      <c r="X153" s="67">
        <f>$G153</f>
        <v>0</v>
      </c>
      <c r="Y153" s="67">
        <f>$H153</f>
        <v>718508.60185842798</v>
      </c>
      <c r="Z153" s="64"/>
      <c r="AA153" s="67">
        <f>$E153</f>
        <v>0</v>
      </c>
      <c r="AB153" s="67">
        <f>$F153</f>
        <v>950068.88486588094</v>
      </c>
      <c r="AC153" s="67">
        <f>$G153</f>
        <v>0</v>
      </c>
      <c r="AD153" s="67">
        <f>$H153</f>
        <v>718508.60185842798</v>
      </c>
      <c r="AE153" s="67"/>
      <c r="AF153" s="190">
        <f>AD153/AB153-1</f>
        <v>-0.24372999336794599</v>
      </c>
      <c r="AG153" s="64"/>
      <c r="AH153" s="67">
        <f>$E153</f>
        <v>0</v>
      </c>
      <c r="AI153" s="67">
        <f>$F153</f>
        <v>950068.88486588094</v>
      </c>
      <c r="AJ153" s="67">
        <f>$G153</f>
        <v>0</v>
      </c>
      <c r="AK153" s="67">
        <f>$H153</f>
        <v>718508.60185842798</v>
      </c>
    </row>
    <row r="154" spans="1:37" x14ac:dyDescent="0.3">
      <c r="C154" s="77"/>
      <c r="D154" s="77"/>
      <c r="E154" s="41"/>
      <c r="F154" s="41"/>
      <c r="G154" s="41"/>
      <c r="H154" s="41"/>
      <c r="I154" s="169"/>
      <c r="K154" s="40"/>
      <c r="L154" s="40"/>
      <c r="M154" s="40"/>
      <c r="N154" s="40"/>
      <c r="O154" s="169"/>
      <c r="Q154" s="40"/>
      <c r="R154" s="40"/>
      <c r="S154" s="40"/>
      <c r="T154" s="40"/>
      <c r="V154" s="40"/>
      <c r="W154" s="40"/>
      <c r="X154" s="40"/>
      <c r="Y154" s="40"/>
      <c r="AA154" s="40"/>
      <c r="AB154" s="40"/>
      <c r="AC154" s="40"/>
      <c r="AD154" s="40"/>
      <c r="AE154" s="40"/>
      <c r="AF154" s="169"/>
      <c r="AH154" s="40"/>
      <c r="AI154" s="40"/>
      <c r="AJ154" s="40"/>
      <c r="AK154" s="40"/>
    </row>
    <row r="155" spans="1:37" ht="13.5" thickBot="1" x14ac:dyDescent="0.35">
      <c r="C155" s="78" t="s">
        <v>113</v>
      </c>
      <c r="D155" s="124"/>
      <c r="E155" s="102">
        <f>E146+E149</f>
        <v>0</v>
      </c>
      <c r="F155" s="102">
        <f>F146+F149</f>
        <v>20579930.99460588</v>
      </c>
      <c r="G155" s="102">
        <f>G146+G149</f>
        <v>0</v>
      </c>
      <c r="H155" s="102">
        <f>H146+H149</f>
        <v>22563950.569668427</v>
      </c>
      <c r="I155" s="194">
        <f>H155/F155-1</f>
        <v>9.6405550416207353E-2</v>
      </c>
      <c r="J155" s="71"/>
      <c r="K155" s="102">
        <f>K146+K149</f>
        <v>0</v>
      </c>
      <c r="L155" s="102">
        <f>L146+L149</f>
        <v>20579930.99460588</v>
      </c>
      <c r="M155" s="102">
        <f>M146+M149</f>
        <v>0</v>
      </c>
      <c r="N155" s="102">
        <f>N146+N149</f>
        <v>22563950.569668427</v>
      </c>
      <c r="O155" s="194">
        <f>N155/L155-1</f>
        <v>9.6405550416207353E-2</v>
      </c>
      <c r="P155" s="71"/>
      <c r="Q155" s="102">
        <f>Q146+Q149</f>
        <v>0</v>
      </c>
      <c r="R155" s="102">
        <f>R146+R149</f>
        <v>20579930.99460588</v>
      </c>
      <c r="S155" s="102">
        <f>S146+S149</f>
        <v>0</v>
      </c>
      <c r="T155" s="102">
        <f>T146+T149</f>
        <v>22563950.569668427</v>
      </c>
      <c r="U155" s="100"/>
      <c r="V155" s="102">
        <f>V146+V149</f>
        <v>0</v>
      </c>
      <c r="W155" s="102">
        <f>W146+W149</f>
        <v>20579930.99460588</v>
      </c>
      <c r="X155" s="102">
        <f>X146+X149</f>
        <v>0</v>
      </c>
      <c r="Y155" s="102">
        <f>Y146+Y149</f>
        <v>22563950.569668427</v>
      </c>
      <c r="Z155" s="100"/>
      <c r="AA155" s="102">
        <f>AA146+AA149</f>
        <v>0</v>
      </c>
      <c r="AB155" s="102">
        <f>AB146+AB149</f>
        <v>20579930.99460588</v>
      </c>
      <c r="AC155" s="102">
        <f>AC146+AC149</f>
        <v>0</v>
      </c>
      <c r="AD155" s="102">
        <f>AD146+AD149</f>
        <v>22563950.569668427</v>
      </c>
      <c r="AE155" s="102"/>
      <c r="AF155" s="194">
        <f>AD155/AB155-1</f>
        <v>9.6405550416207353E-2</v>
      </c>
      <c r="AG155" s="100"/>
      <c r="AH155" s="102">
        <f>AH146+AH149</f>
        <v>0</v>
      </c>
      <c r="AI155" s="102">
        <f>AI146+AI149</f>
        <v>20579930.99460588</v>
      </c>
      <c r="AJ155" s="102">
        <f>AJ146+AJ149</f>
        <v>0</v>
      </c>
      <c r="AK155" s="102">
        <f>AK146+AK149</f>
        <v>22563950.569668427</v>
      </c>
    </row>
    <row r="156" spans="1:37" x14ac:dyDescent="0.3">
      <c r="C156" s="65"/>
      <c r="D156" s="77"/>
      <c r="E156" s="62"/>
      <c r="F156" s="62"/>
      <c r="G156" s="62"/>
      <c r="H156" s="62"/>
      <c r="I156" s="131"/>
      <c r="K156" s="62"/>
      <c r="L156" s="62"/>
      <c r="M156" s="62"/>
      <c r="N156" s="62"/>
      <c r="O156" s="131"/>
      <c r="Q156" s="62"/>
      <c r="R156" s="62"/>
      <c r="S156" s="62"/>
      <c r="T156" s="62"/>
      <c r="V156" s="62"/>
      <c r="W156" s="62"/>
      <c r="X156" s="62"/>
      <c r="Y156" s="62"/>
      <c r="AA156" s="62"/>
      <c r="AB156" s="62"/>
      <c r="AC156" s="62"/>
      <c r="AD156" s="62"/>
      <c r="AE156" s="62"/>
      <c r="AF156" s="131"/>
      <c r="AH156" s="62"/>
      <c r="AI156" s="62"/>
      <c r="AJ156" s="62"/>
      <c r="AK156" s="62"/>
    </row>
    <row r="157" spans="1:37" x14ac:dyDescent="0.3">
      <c r="C157" s="30" t="s">
        <v>95</v>
      </c>
      <c r="D157" s="30"/>
      <c r="E157" s="30"/>
      <c r="F157" s="30"/>
      <c r="G157" s="30"/>
      <c r="H157" s="30"/>
      <c r="I157" s="185"/>
      <c r="J157" s="82"/>
      <c r="K157" s="30"/>
      <c r="L157" s="30"/>
      <c r="M157" s="30"/>
      <c r="N157" s="30"/>
      <c r="O157" s="185"/>
      <c r="P157" s="82"/>
      <c r="Q157" s="30"/>
      <c r="R157" s="30"/>
      <c r="S157" s="30"/>
      <c r="T157" s="30"/>
      <c r="U157" s="82"/>
      <c r="V157" s="30"/>
      <c r="W157" s="30"/>
      <c r="X157" s="30"/>
      <c r="Y157" s="30"/>
      <c r="Z157" s="82"/>
      <c r="AA157" s="30"/>
      <c r="AB157" s="30"/>
      <c r="AC157" s="30"/>
      <c r="AD157" s="30"/>
      <c r="AE157" s="30"/>
      <c r="AF157" s="185"/>
      <c r="AG157" s="82"/>
      <c r="AH157" s="30"/>
      <c r="AI157" s="30"/>
      <c r="AJ157" s="30"/>
      <c r="AK157" s="30"/>
    </row>
    <row r="158" spans="1:37" s="82" customFormat="1" x14ac:dyDescent="0.3">
      <c r="A158" s="36"/>
      <c r="B158" s="36"/>
      <c r="C158" s="63" t="s">
        <v>135</v>
      </c>
      <c r="D158" s="63"/>
      <c r="E158" s="63"/>
      <c r="F158" s="63"/>
      <c r="G158" s="63"/>
      <c r="H158" s="63"/>
      <c r="I158" s="186"/>
      <c r="J158" s="85"/>
      <c r="K158" s="63"/>
      <c r="L158" s="63"/>
      <c r="M158" s="63"/>
      <c r="N158" s="63"/>
      <c r="O158" s="186"/>
      <c r="P158" s="85"/>
      <c r="Q158" s="63"/>
      <c r="R158" s="63"/>
      <c r="S158" s="63"/>
      <c r="T158" s="63"/>
      <c r="U158" s="85"/>
      <c r="V158" s="63"/>
      <c r="W158" s="63"/>
      <c r="X158" s="63"/>
      <c r="Y158" s="63"/>
      <c r="Z158" s="85"/>
      <c r="AA158" s="63"/>
      <c r="AB158" s="63"/>
      <c r="AC158" s="63"/>
      <c r="AD158" s="63"/>
      <c r="AE158" s="63"/>
      <c r="AF158" s="186"/>
      <c r="AG158" s="85"/>
      <c r="AH158" s="63"/>
      <c r="AI158" s="63"/>
      <c r="AJ158" s="63"/>
      <c r="AK158" s="63"/>
    </row>
    <row r="159" spans="1:37" s="85" customFormat="1" x14ac:dyDescent="0.3">
      <c r="A159" s="36"/>
      <c r="B159" s="36"/>
      <c r="C159" s="105" t="s">
        <v>24</v>
      </c>
      <c r="D159" s="128"/>
      <c r="E159" s="106">
        <f>SUM(E160:E161)</f>
        <v>0</v>
      </c>
      <c r="F159" s="106">
        <f>SUM(F160:F161)</f>
        <v>1756578.8412194795</v>
      </c>
      <c r="G159" s="106">
        <f>SUM(G160:G161)</f>
        <v>0</v>
      </c>
      <c r="H159" s="106">
        <f>SUM(H160:H161)</f>
        <v>2677490.3820737638</v>
      </c>
      <c r="I159" s="195">
        <f>H159/F159-1</f>
        <v>0.52426427965792577</v>
      </c>
      <c r="J159" s="36"/>
      <c r="K159" s="106">
        <f>SUM(K160:K161)</f>
        <v>0</v>
      </c>
      <c r="L159" s="106">
        <f>SUM(L160:L161)</f>
        <v>1756578.8412194795</v>
      </c>
      <c r="M159" s="106">
        <f>SUM(M160:M161)</f>
        <v>0</v>
      </c>
      <c r="N159" s="106">
        <f>SUM(N160:N161)</f>
        <v>2677490.3820737638</v>
      </c>
      <c r="O159" s="195">
        <f>N159/L159-1</f>
        <v>0.52426427965792577</v>
      </c>
      <c r="P159" s="64"/>
      <c r="Q159" s="106">
        <f>SUM(Q160:Q161)</f>
        <v>0</v>
      </c>
      <c r="R159" s="106">
        <f>SUM(R160:R161)</f>
        <v>1756578.8412194795</v>
      </c>
      <c r="S159" s="106">
        <f>SUM(S160:S161)</f>
        <v>0</v>
      </c>
      <c r="T159" s="106">
        <f>SUM(T160:T161)</f>
        <v>2677490.3820737638</v>
      </c>
      <c r="U159" s="64"/>
      <c r="V159" s="106">
        <f>SUM(V160:V161)</f>
        <v>0</v>
      </c>
      <c r="W159" s="106">
        <f>SUM(W160:W161)</f>
        <v>1756578.8412194795</v>
      </c>
      <c r="X159" s="106">
        <f>SUM(X160:X161)</f>
        <v>0</v>
      </c>
      <c r="Y159" s="106">
        <f>SUM(Y160:Y161)</f>
        <v>2677490.3820737638</v>
      </c>
      <c r="Z159" s="64"/>
      <c r="AA159" s="106">
        <f>SUM(AA160:AA161)</f>
        <v>0</v>
      </c>
      <c r="AB159" s="106">
        <f>SUM(AB160:AB161)</f>
        <v>1756578.8412194795</v>
      </c>
      <c r="AC159" s="106">
        <f>SUM(AC160:AC161)</f>
        <v>0</v>
      </c>
      <c r="AD159" s="106">
        <f>SUM(AD160:AD161)</f>
        <v>2677490.3820737638</v>
      </c>
      <c r="AE159" s="106"/>
      <c r="AF159" s="195">
        <f>AD159/AB159-1</f>
        <v>0.52426427965792577</v>
      </c>
      <c r="AG159" s="64"/>
      <c r="AH159" s="106">
        <f>SUM(AH160:AH161)</f>
        <v>0</v>
      </c>
      <c r="AI159" s="106">
        <f>SUM(AI160:AI161)</f>
        <v>1756578.8412194795</v>
      </c>
      <c r="AJ159" s="106">
        <f>SUM(AJ160:AJ161)</f>
        <v>0</v>
      </c>
      <c r="AK159" s="106">
        <f>SUM(AK160:AK161)</f>
        <v>2677490.3820737638</v>
      </c>
    </row>
    <row r="160" spans="1:37" x14ac:dyDescent="0.3">
      <c r="A160" s="82"/>
      <c r="B160" s="81"/>
      <c r="C160" s="65" t="s">
        <v>137</v>
      </c>
      <c r="D160" s="77"/>
      <c r="E160" s="98"/>
      <c r="F160" s="97">
        <f>SUM('Quarterly I.S IFRS17'!F160:H160)</f>
        <v>766221.15413561231</v>
      </c>
      <c r="G160" s="97"/>
      <c r="H160" s="97">
        <f>SUM('Quarterly I.S IFRS17'!J160:L160)</f>
        <v>1111706.2657983662</v>
      </c>
      <c r="I160" s="190">
        <f>H160/F160-1</f>
        <v>0.45089477078259699</v>
      </c>
      <c r="J160" s="132"/>
      <c r="K160" s="67">
        <f>$E160</f>
        <v>0</v>
      </c>
      <c r="L160" s="67">
        <f>$F160</f>
        <v>766221.15413561231</v>
      </c>
      <c r="M160" s="67">
        <f>$G160</f>
        <v>0</v>
      </c>
      <c r="N160" s="67">
        <f>$H160</f>
        <v>1111706.2657983662</v>
      </c>
      <c r="O160" s="190">
        <f>N160/L160-1</f>
        <v>0.45089477078259699</v>
      </c>
      <c r="P160" s="64"/>
      <c r="Q160" s="67">
        <f>$E160</f>
        <v>0</v>
      </c>
      <c r="R160" s="67">
        <f>$F160</f>
        <v>766221.15413561231</v>
      </c>
      <c r="S160" s="67">
        <f>$G160</f>
        <v>0</v>
      </c>
      <c r="T160" s="67">
        <f>$H160</f>
        <v>1111706.2657983662</v>
      </c>
      <c r="U160" s="64"/>
      <c r="V160" s="67">
        <f>$E160</f>
        <v>0</v>
      </c>
      <c r="W160" s="67">
        <f>$F160</f>
        <v>766221.15413561231</v>
      </c>
      <c r="X160" s="67">
        <f>$G160</f>
        <v>0</v>
      </c>
      <c r="Y160" s="67">
        <f>$H160</f>
        <v>1111706.2657983662</v>
      </c>
      <c r="Z160" s="64"/>
      <c r="AA160" s="67">
        <f>$E160</f>
        <v>0</v>
      </c>
      <c r="AB160" s="67">
        <f>$F160</f>
        <v>766221.15413561231</v>
      </c>
      <c r="AC160" s="67">
        <f>$G160</f>
        <v>0</v>
      </c>
      <c r="AD160" s="67">
        <f>$H160</f>
        <v>1111706.2657983662</v>
      </c>
      <c r="AE160" s="67"/>
      <c r="AF160" s="190">
        <f>AD160/AB160-1</f>
        <v>0.45089477078259699</v>
      </c>
      <c r="AG160" s="134"/>
      <c r="AH160" s="67">
        <f>$E160</f>
        <v>0</v>
      </c>
      <c r="AI160" s="67">
        <f>$F160</f>
        <v>766221.15413561231</v>
      </c>
      <c r="AJ160" s="67">
        <f>$G160</f>
        <v>0</v>
      </c>
      <c r="AK160" s="67">
        <f>$H160</f>
        <v>1111706.2657983662</v>
      </c>
    </row>
    <row r="161" spans="1:37" x14ac:dyDescent="0.3">
      <c r="A161" s="85"/>
      <c r="B161" s="84"/>
      <c r="C161" s="65" t="s">
        <v>138</v>
      </c>
      <c r="D161" s="77"/>
      <c r="E161" s="98"/>
      <c r="F161" s="97">
        <f>SUM('Quarterly I.S IFRS17'!F161:H161)</f>
        <v>990357.68708386715</v>
      </c>
      <c r="G161" s="97"/>
      <c r="H161" s="97">
        <f>SUM('Quarterly I.S IFRS17'!J161:L161)</f>
        <v>1565784.1162753978</v>
      </c>
      <c r="I161" s="190">
        <f>H161/F161-1</f>
        <v>0.5810288915774342</v>
      </c>
      <c r="J161" s="132"/>
      <c r="K161" s="67">
        <f>$E161</f>
        <v>0</v>
      </c>
      <c r="L161" s="67">
        <f>$F161</f>
        <v>990357.68708386715</v>
      </c>
      <c r="M161" s="67">
        <f>$G161</f>
        <v>0</v>
      </c>
      <c r="N161" s="67">
        <f>$H161</f>
        <v>1565784.1162753978</v>
      </c>
      <c r="O161" s="190">
        <f>N161/L161-1</f>
        <v>0.5810288915774342</v>
      </c>
      <c r="P161" s="64"/>
      <c r="Q161" s="67">
        <f>$E161</f>
        <v>0</v>
      </c>
      <c r="R161" s="67">
        <f>$F161</f>
        <v>990357.68708386715</v>
      </c>
      <c r="S161" s="67">
        <f>$G161</f>
        <v>0</v>
      </c>
      <c r="T161" s="67">
        <f>$H161</f>
        <v>1565784.1162753978</v>
      </c>
      <c r="U161" s="64"/>
      <c r="V161" s="67">
        <f>$E161</f>
        <v>0</v>
      </c>
      <c r="W161" s="67">
        <f>$F161</f>
        <v>990357.68708386715</v>
      </c>
      <c r="X161" s="67">
        <f>$G161</f>
        <v>0</v>
      </c>
      <c r="Y161" s="67">
        <f>$H161</f>
        <v>1565784.1162753978</v>
      </c>
      <c r="Z161" s="64"/>
      <c r="AA161" s="67">
        <f>$E161</f>
        <v>0</v>
      </c>
      <c r="AB161" s="67">
        <f>$F161</f>
        <v>990357.68708386715</v>
      </c>
      <c r="AC161" s="67">
        <f>$G161</f>
        <v>0</v>
      </c>
      <c r="AD161" s="67">
        <f>$H161</f>
        <v>1565784.1162753978</v>
      </c>
      <c r="AE161" s="67"/>
      <c r="AF161" s="190">
        <f>AD161/AB161-1</f>
        <v>0.5810288915774342</v>
      </c>
      <c r="AG161" s="134"/>
      <c r="AH161" s="67">
        <f>$E161</f>
        <v>0</v>
      </c>
      <c r="AI161" s="67">
        <f>$F161</f>
        <v>990357.68708386715</v>
      </c>
      <c r="AJ161" s="67">
        <f>$G161</f>
        <v>0</v>
      </c>
      <c r="AK161" s="67">
        <f>$H161</f>
        <v>1565784.1162753978</v>
      </c>
    </row>
    <row r="162" spans="1:37" x14ac:dyDescent="0.3">
      <c r="C162" s="65"/>
      <c r="D162" s="77"/>
      <c r="E162" s="148"/>
      <c r="F162" s="149"/>
      <c r="G162" s="149"/>
      <c r="H162" s="149"/>
      <c r="I162" s="149"/>
      <c r="J162" s="132"/>
      <c r="K162" s="67"/>
      <c r="L162" s="67"/>
      <c r="M162" s="67"/>
      <c r="N162" s="67"/>
      <c r="O162" s="149"/>
      <c r="P162" s="64"/>
      <c r="Q162" s="67"/>
      <c r="R162" s="67"/>
      <c r="S162" s="67"/>
      <c r="T162" s="67"/>
      <c r="U162" s="64"/>
      <c r="V162" s="67"/>
      <c r="W162" s="67"/>
      <c r="X162" s="67"/>
      <c r="Y162" s="67"/>
      <c r="Z162" s="64"/>
      <c r="AA162" s="67"/>
      <c r="AB162" s="67"/>
      <c r="AC162" s="67"/>
      <c r="AD162" s="67"/>
      <c r="AE162" s="67"/>
      <c r="AF162" s="149"/>
      <c r="AG162" s="134"/>
      <c r="AH162" s="67"/>
      <c r="AI162" s="67"/>
      <c r="AJ162" s="67"/>
      <c r="AK162" s="67"/>
    </row>
    <row r="163" spans="1:37" x14ac:dyDescent="0.3">
      <c r="C163" s="65" t="s">
        <v>170</v>
      </c>
      <c r="D163" s="77"/>
      <c r="E163" s="149"/>
      <c r="F163" s="149">
        <f>F160/F$159</f>
        <v>0.43620083320807529</v>
      </c>
      <c r="G163" s="149"/>
      <c r="H163" s="149">
        <f>H160/H$159</f>
        <v>0.41520457860144766</v>
      </c>
      <c r="I163" s="149"/>
      <c r="J163" s="132"/>
      <c r="K163" s="67"/>
      <c r="L163" s="67"/>
      <c r="M163" s="67"/>
      <c r="N163" s="67"/>
      <c r="O163" s="149"/>
      <c r="P163" s="64"/>
      <c r="Q163" s="67"/>
      <c r="R163" s="67"/>
      <c r="S163" s="67"/>
      <c r="T163" s="67"/>
      <c r="U163" s="64"/>
      <c r="V163" s="67"/>
      <c r="W163" s="67"/>
      <c r="X163" s="67"/>
      <c r="Y163" s="67"/>
      <c r="Z163" s="64"/>
      <c r="AA163" s="67"/>
      <c r="AB163" s="67"/>
      <c r="AC163" s="67"/>
      <c r="AD163" s="67"/>
      <c r="AE163" s="67"/>
      <c r="AF163" s="149"/>
      <c r="AG163" s="134"/>
      <c r="AH163" s="67"/>
      <c r="AI163" s="67"/>
      <c r="AJ163" s="67"/>
      <c r="AK163" s="67"/>
    </row>
    <row r="164" spans="1:37" x14ac:dyDescent="0.3">
      <c r="C164" s="65" t="s">
        <v>169</v>
      </c>
      <c r="D164" s="77"/>
      <c r="E164" s="149"/>
      <c r="F164" s="149">
        <f>F161/F$159</f>
        <v>0.56379916679192477</v>
      </c>
      <c r="G164" s="149"/>
      <c r="H164" s="149">
        <f>H161/H$159</f>
        <v>0.58479542139855245</v>
      </c>
      <c r="I164" s="149"/>
      <c r="J164" s="132"/>
      <c r="K164" s="67"/>
      <c r="L164" s="67"/>
      <c r="M164" s="67"/>
      <c r="N164" s="67"/>
      <c r="O164" s="149"/>
      <c r="P164" s="64"/>
      <c r="Q164" s="67"/>
      <c r="R164" s="67"/>
      <c r="S164" s="67"/>
      <c r="T164" s="67"/>
      <c r="U164" s="64"/>
      <c r="V164" s="67"/>
      <c r="W164" s="67"/>
      <c r="X164" s="67"/>
      <c r="Y164" s="67"/>
      <c r="Z164" s="64"/>
      <c r="AA164" s="67"/>
      <c r="AB164" s="67"/>
      <c r="AC164" s="67"/>
      <c r="AD164" s="67"/>
      <c r="AE164" s="67"/>
      <c r="AF164" s="149"/>
      <c r="AG164" s="134"/>
      <c r="AH164" s="67"/>
      <c r="AI164" s="67"/>
      <c r="AJ164" s="67"/>
      <c r="AK164" s="67"/>
    </row>
    <row r="165" spans="1:37" x14ac:dyDescent="0.3">
      <c r="C165" s="65"/>
      <c r="D165" s="77"/>
      <c r="E165" s="42"/>
      <c r="F165" s="42"/>
      <c r="G165" s="42"/>
      <c r="H165" s="42"/>
      <c r="K165" s="67"/>
      <c r="L165" s="67"/>
      <c r="M165" s="67"/>
      <c r="N165" s="67"/>
      <c r="P165" s="64"/>
      <c r="Q165" s="67"/>
      <c r="R165" s="67"/>
      <c r="S165" s="67"/>
      <c r="T165" s="67"/>
      <c r="U165" s="64"/>
      <c r="V165" s="67"/>
      <c r="W165" s="67"/>
      <c r="X165" s="67"/>
      <c r="Y165" s="67"/>
      <c r="Z165" s="64"/>
      <c r="AA165" s="67"/>
      <c r="AB165" s="67"/>
      <c r="AC165" s="67"/>
      <c r="AD165" s="67"/>
      <c r="AE165" s="67"/>
      <c r="AG165" s="64"/>
      <c r="AH165" s="67"/>
      <c r="AI165" s="67"/>
      <c r="AJ165" s="67"/>
      <c r="AK165" s="67"/>
    </row>
    <row r="166" spans="1:37" x14ac:dyDescent="0.3">
      <c r="C166" s="105" t="s">
        <v>139</v>
      </c>
      <c r="D166" s="128"/>
      <c r="E166" s="106">
        <f>SUM(E167:E168)</f>
        <v>0</v>
      </c>
      <c r="F166" s="106">
        <f>SUM(F167:F168)</f>
        <v>120388</v>
      </c>
      <c r="G166" s="106">
        <f>SUM(G167:G168)</f>
        <v>0</v>
      </c>
      <c r="H166" s="106">
        <f>SUM(H167:H168)</f>
        <v>113853</v>
      </c>
      <c r="I166" s="195">
        <f>H166/F166-1</f>
        <v>-5.4282818885603268E-2</v>
      </c>
      <c r="K166" s="106">
        <f>SUM(K167:K168)</f>
        <v>0</v>
      </c>
      <c r="L166" s="106">
        <f>SUM(L167:L168)</f>
        <v>120388</v>
      </c>
      <c r="M166" s="106">
        <f>SUM(M167:M168)</f>
        <v>0</v>
      </c>
      <c r="N166" s="106">
        <f>SUM(N167:N168)</f>
        <v>113853</v>
      </c>
      <c r="O166" s="195">
        <f>N166/L166-1</f>
        <v>-5.4282818885603268E-2</v>
      </c>
      <c r="P166" s="64"/>
      <c r="Q166" s="106">
        <f>SUM(Q167:Q168)</f>
        <v>0</v>
      </c>
      <c r="R166" s="106">
        <f>SUM(R167:R168)</f>
        <v>120388</v>
      </c>
      <c r="S166" s="106">
        <f>SUM(S167:S168)</f>
        <v>0</v>
      </c>
      <c r="T166" s="106">
        <f>SUM(T167:T168)</f>
        <v>113853</v>
      </c>
      <c r="U166" s="64"/>
      <c r="V166" s="106">
        <f>SUM(V167:V168)</f>
        <v>0</v>
      </c>
      <c r="W166" s="106">
        <f>SUM(W167:W168)</f>
        <v>120388</v>
      </c>
      <c r="X166" s="106">
        <f>SUM(X167:X168)</f>
        <v>0</v>
      </c>
      <c r="Y166" s="106">
        <f>SUM(Y167:Y168)</f>
        <v>113853</v>
      </c>
      <c r="Z166" s="64"/>
      <c r="AA166" s="106">
        <f>SUM(AA167:AA168)</f>
        <v>0</v>
      </c>
      <c r="AB166" s="106">
        <f>SUM(AB167:AB168)</f>
        <v>120388</v>
      </c>
      <c r="AC166" s="106">
        <f>SUM(AC167:AC168)</f>
        <v>0</v>
      </c>
      <c r="AD166" s="106">
        <f>SUM(AD167:AD168)</f>
        <v>113853</v>
      </c>
      <c r="AE166" s="106"/>
      <c r="AF166" s="195">
        <f>AD166/AB166-1</f>
        <v>-5.4282818885603268E-2</v>
      </c>
      <c r="AG166" s="64"/>
      <c r="AH166" s="106">
        <f>SUM(AH167:AH168)</f>
        <v>0</v>
      </c>
      <c r="AI166" s="106">
        <f>SUM(AI167:AI168)</f>
        <v>120388</v>
      </c>
      <c r="AJ166" s="106">
        <f>SUM(AJ167:AJ168)</f>
        <v>0</v>
      </c>
      <c r="AK166" s="106">
        <f>SUM(AK167:AK168)</f>
        <v>113853</v>
      </c>
    </row>
    <row r="167" spans="1:37" x14ac:dyDescent="0.3">
      <c r="C167" s="65" t="s">
        <v>137</v>
      </c>
      <c r="D167" s="77"/>
      <c r="E167" s="98"/>
      <c r="F167" s="97">
        <f>SUM('Quarterly I.S IFRS17'!F167:H167)</f>
        <v>91247</v>
      </c>
      <c r="G167" s="97"/>
      <c r="H167" s="97">
        <f>SUM('Quarterly I.S IFRS17'!J167:L167)</f>
        <v>102842</v>
      </c>
      <c r="I167" s="190">
        <f>H167/F167-1</f>
        <v>0.12707267088233043</v>
      </c>
      <c r="K167" s="67">
        <f>$E167</f>
        <v>0</v>
      </c>
      <c r="L167" s="67">
        <f>$F167</f>
        <v>91247</v>
      </c>
      <c r="M167" s="67">
        <f>$G167</f>
        <v>0</v>
      </c>
      <c r="N167" s="67">
        <f>$H167</f>
        <v>102842</v>
      </c>
      <c r="O167" s="190">
        <f>N167/L167-1</f>
        <v>0.12707267088233043</v>
      </c>
      <c r="P167" s="64"/>
      <c r="Q167" s="67">
        <f>$E167</f>
        <v>0</v>
      </c>
      <c r="R167" s="67">
        <f>$F167</f>
        <v>91247</v>
      </c>
      <c r="S167" s="67">
        <f>$G167</f>
        <v>0</v>
      </c>
      <c r="T167" s="67">
        <f>$H167</f>
        <v>102842</v>
      </c>
      <c r="U167" s="64"/>
      <c r="V167" s="67">
        <f>$E167</f>
        <v>0</v>
      </c>
      <c r="W167" s="67">
        <f>$F167</f>
        <v>91247</v>
      </c>
      <c r="X167" s="67">
        <f>$G167</f>
        <v>0</v>
      </c>
      <c r="Y167" s="67">
        <f>$H167</f>
        <v>102842</v>
      </c>
      <c r="Z167" s="64"/>
      <c r="AA167" s="67">
        <f>$E167</f>
        <v>0</v>
      </c>
      <c r="AB167" s="67">
        <f>$F167</f>
        <v>91247</v>
      </c>
      <c r="AC167" s="67">
        <f>$G167</f>
        <v>0</v>
      </c>
      <c r="AD167" s="67">
        <f>$H167</f>
        <v>102842</v>
      </c>
      <c r="AE167" s="67"/>
      <c r="AF167" s="190">
        <f>AD167/AB167-1</f>
        <v>0.12707267088233043</v>
      </c>
      <c r="AG167" s="64"/>
      <c r="AH167" s="67">
        <f>$E167</f>
        <v>0</v>
      </c>
      <c r="AI167" s="67">
        <f>$F167</f>
        <v>91247</v>
      </c>
      <c r="AJ167" s="67">
        <f>$G167</f>
        <v>0</v>
      </c>
      <c r="AK167" s="67">
        <f>$H167</f>
        <v>102842</v>
      </c>
    </row>
    <row r="168" spans="1:37" x14ac:dyDescent="0.3">
      <c r="C168" s="65" t="s">
        <v>138</v>
      </c>
      <c r="D168" s="77"/>
      <c r="E168" s="98"/>
      <c r="F168" s="97">
        <f>SUM('Quarterly I.S IFRS17'!F168:H168)</f>
        <v>29141</v>
      </c>
      <c r="G168" s="97"/>
      <c r="H168" s="97">
        <f>SUM('Quarterly I.S IFRS17'!J168:L168)</f>
        <v>11011</v>
      </c>
      <c r="I168" s="190">
        <f>H168/F168-1</f>
        <v>-0.62214748979101608</v>
      </c>
      <c r="K168" s="67">
        <f>$E168</f>
        <v>0</v>
      </c>
      <c r="L168" s="67">
        <f>$F168</f>
        <v>29141</v>
      </c>
      <c r="M168" s="67">
        <f>$G168</f>
        <v>0</v>
      </c>
      <c r="N168" s="67">
        <f>$H168</f>
        <v>11011</v>
      </c>
      <c r="O168" s="190">
        <f>N168/L168-1</f>
        <v>-0.62214748979101608</v>
      </c>
      <c r="P168" s="64"/>
      <c r="Q168" s="67">
        <f>$E168</f>
        <v>0</v>
      </c>
      <c r="R168" s="67">
        <f>$F168</f>
        <v>29141</v>
      </c>
      <c r="S168" s="67">
        <f>$G168</f>
        <v>0</v>
      </c>
      <c r="T168" s="67">
        <f>$H168</f>
        <v>11011</v>
      </c>
      <c r="U168" s="64"/>
      <c r="V168" s="67">
        <f>$E168</f>
        <v>0</v>
      </c>
      <c r="W168" s="67">
        <f>$F168</f>
        <v>29141</v>
      </c>
      <c r="X168" s="67">
        <f>$G168</f>
        <v>0</v>
      </c>
      <c r="Y168" s="67">
        <f>$H168</f>
        <v>11011</v>
      </c>
      <c r="Z168" s="64"/>
      <c r="AA168" s="67">
        <f>$E168</f>
        <v>0</v>
      </c>
      <c r="AB168" s="67">
        <f>$F168</f>
        <v>29141</v>
      </c>
      <c r="AC168" s="67">
        <f>$G168</f>
        <v>0</v>
      </c>
      <c r="AD168" s="67">
        <f>$H168</f>
        <v>11011</v>
      </c>
      <c r="AE168" s="67"/>
      <c r="AF168" s="190">
        <f>AD168/AB168-1</f>
        <v>-0.62214748979101608</v>
      </c>
      <c r="AG168" s="64"/>
      <c r="AH168" s="67">
        <f>$E168</f>
        <v>0</v>
      </c>
      <c r="AI168" s="67">
        <f>$F168</f>
        <v>29141</v>
      </c>
      <c r="AJ168" s="67">
        <f>$G168</f>
        <v>0</v>
      </c>
      <c r="AK168" s="67">
        <f>$H168</f>
        <v>11011</v>
      </c>
    </row>
    <row r="169" spans="1:37" x14ac:dyDescent="0.3">
      <c r="C169" s="65"/>
      <c r="D169" s="77"/>
      <c r="E169" s="42"/>
      <c r="F169" s="42"/>
      <c r="G169" s="42"/>
      <c r="H169" s="42"/>
      <c r="K169" s="67"/>
      <c r="L169" s="67"/>
      <c r="M169" s="67"/>
      <c r="N169" s="67"/>
      <c r="P169" s="64"/>
      <c r="Q169" s="67"/>
      <c r="R169" s="67"/>
      <c r="S169" s="67"/>
      <c r="T169" s="67"/>
      <c r="U169" s="64"/>
      <c r="V169" s="67"/>
      <c r="W169" s="67"/>
      <c r="X169" s="67"/>
      <c r="Y169" s="67"/>
      <c r="Z169" s="64"/>
      <c r="AA169" s="67"/>
      <c r="AB169" s="67"/>
      <c r="AC169" s="67"/>
      <c r="AD169" s="67"/>
      <c r="AE169" s="67"/>
      <c r="AG169" s="64"/>
      <c r="AH169" s="67"/>
      <c r="AI169" s="67"/>
      <c r="AJ169" s="67"/>
      <c r="AK169" s="67"/>
    </row>
    <row r="170" spans="1:37" x14ac:dyDescent="0.3">
      <c r="C170" s="65" t="s">
        <v>122</v>
      </c>
      <c r="D170" s="77"/>
      <c r="E170" s="98"/>
      <c r="F170" s="98">
        <f>'Quarterly I.S IFRS17'!H170</f>
        <v>1137845.92</v>
      </c>
      <c r="G170" s="98"/>
      <c r="H170" s="98">
        <f>'Quarterly I.S IFRS17'!L170</f>
        <v>1439337.003</v>
      </c>
      <c r="I170" s="196">
        <f>H170/F170-1</f>
        <v>0.26496652815699351</v>
      </c>
      <c r="K170" s="67">
        <f>$E170</f>
        <v>0</v>
      </c>
      <c r="L170" s="67">
        <f>$F170</f>
        <v>1137845.92</v>
      </c>
      <c r="M170" s="67">
        <f>$G170</f>
        <v>0</v>
      </c>
      <c r="N170" s="67">
        <f>$H170</f>
        <v>1439337.003</v>
      </c>
      <c r="O170" s="196">
        <f>N170/L170-1</f>
        <v>0.26496652815699351</v>
      </c>
      <c r="P170" s="64"/>
      <c r="Q170" s="67">
        <f>$E170</f>
        <v>0</v>
      </c>
      <c r="R170" s="67">
        <f>$F170</f>
        <v>1137845.92</v>
      </c>
      <c r="S170" s="67">
        <f>$G170</f>
        <v>0</v>
      </c>
      <c r="T170" s="67">
        <f>$H170</f>
        <v>1439337.003</v>
      </c>
      <c r="U170" s="64"/>
      <c r="V170" s="67">
        <f>$E170</f>
        <v>0</v>
      </c>
      <c r="W170" s="67">
        <f>$F170</f>
        <v>1137845.92</v>
      </c>
      <c r="X170" s="67">
        <f>$G170</f>
        <v>0</v>
      </c>
      <c r="Y170" s="67">
        <f>$H170</f>
        <v>1439337.003</v>
      </c>
      <c r="Z170" s="64"/>
      <c r="AA170" s="67">
        <f>$E170</f>
        <v>0</v>
      </c>
      <c r="AB170" s="67">
        <f>$F170</f>
        <v>1137845.92</v>
      </c>
      <c r="AC170" s="67">
        <f>$G170</f>
        <v>0</v>
      </c>
      <c r="AD170" s="67">
        <f>$H170</f>
        <v>1439337.003</v>
      </c>
      <c r="AE170" s="67"/>
      <c r="AF170" s="196">
        <f>AD170/AB170-1</f>
        <v>0.26496652815699351</v>
      </c>
      <c r="AG170" s="64"/>
      <c r="AH170" s="67">
        <f>$E170</f>
        <v>0</v>
      </c>
      <c r="AI170" s="67">
        <f>$F170</f>
        <v>1137845.92</v>
      </c>
      <c r="AJ170" s="67">
        <f>$G170</f>
        <v>0</v>
      </c>
      <c r="AK170" s="67">
        <f>$H170</f>
        <v>1439337.003</v>
      </c>
    </row>
    <row r="171" spans="1:37" x14ac:dyDescent="0.3">
      <c r="C171" s="65" t="s">
        <v>133</v>
      </c>
      <c r="D171" s="77"/>
      <c r="E171" s="98"/>
      <c r="F171" s="98">
        <f>'Quarterly I.S IFRS17'!H171</f>
        <v>254340</v>
      </c>
      <c r="G171" s="98"/>
      <c r="H171" s="98">
        <f>'Quarterly I.S IFRS17'!L171</f>
        <v>84248.850290000002</v>
      </c>
      <c r="I171" s="196">
        <f>H171/F171-1</f>
        <v>-0.66875501183455222</v>
      </c>
      <c r="K171" s="67">
        <f>$E171</f>
        <v>0</v>
      </c>
      <c r="L171" s="67">
        <f>$F171</f>
        <v>254340</v>
      </c>
      <c r="M171" s="67">
        <f>$G171</f>
        <v>0</v>
      </c>
      <c r="N171" s="67">
        <f>$H171</f>
        <v>84248.850290000002</v>
      </c>
      <c r="O171" s="196">
        <f>N171/L171-1</f>
        <v>-0.66875501183455222</v>
      </c>
      <c r="P171" s="64"/>
      <c r="Q171" s="67">
        <f>$E171</f>
        <v>0</v>
      </c>
      <c r="R171" s="67">
        <f>$F171</f>
        <v>254340</v>
      </c>
      <c r="S171" s="67">
        <f>$G171</f>
        <v>0</v>
      </c>
      <c r="T171" s="67">
        <f>$H171</f>
        <v>84248.850290000002</v>
      </c>
      <c r="U171" s="64"/>
      <c r="V171" s="67">
        <f>$E171</f>
        <v>0</v>
      </c>
      <c r="W171" s="67">
        <f>$F171</f>
        <v>254340</v>
      </c>
      <c r="X171" s="67">
        <f>$G171</f>
        <v>0</v>
      </c>
      <c r="Y171" s="67">
        <f>$H171</f>
        <v>84248.850290000002</v>
      </c>
      <c r="Z171" s="64"/>
      <c r="AA171" s="67">
        <f>$E171</f>
        <v>0</v>
      </c>
      <c r="AB171" s="67">
        <f>$F171</f>
        <v>254340</v>
      </c>
      <c r="AC171" s="67">
        <f>$G171</f>
        <v>0</v>
      </c>
      <c r="AD171" s="67">
        <f>$H171</f>
        <v>84248.850290000002</v>
      </c>
      <c r="AE171" s="67"/>
      <c r="AF171" s="196">
        <f>AD171/AB171-1</f>
        <v>-0.66875501183455222</v>
      </c>
      <c r="AG171" s="64"/>
      <c r="AH171" s="67">
        <f>$E171</f>
        <v>0</v>
      </c>
      <c r="AI171" s="67">
        <f>$F171</f>
        <v>254340</v>
      </c>
      <c r="AJ171" s="67">
        <f>$G171</f>
        <v>0</v>
      </c>
      <c r="AK171" s="67">
        <f>$H171</f>
        <v>84248.850290000002</v>
      </c>
    </row>
    <row r="172" spans="1:37" x14ac:dyDescent="0.3">
      <c r="C172" s="65"/>
      <c r="D172" s="77"/>
      <c r="E172" s="62"/>
      <c r="F172" s="62"/>
      <c r="G172" s="62"/>
      <c r="H172" s="62"/>
      <c r="I172" s="131"/>
      <c r="K172" s="62"/>
      <c r="L172" s="62"/>
      <c r="M172" s="62"/>
      <c r="N172" s="62"/>
      <c r="O172" s="131"/>
      <c r="Q172" s="62"/>
      <c r="R172" s="62"/>
      <c r="S172" s="62"/>
      <c r="T172" s="62"/>
      <c r="V172" s="62"/>
      <c r="W172" s="62"/>
      <c r="X172" s="62"/>
      <c r="Y172" s="62"/>
      <c r="AA172" s="62"/>
      <c r="AB172" s="62"/>
      <c r="AC172" s="62"/>
      <c r="AD172" s="62"/>
      <c r="AE172" s="62"/>
      <c r="AF172" s="131"/>
      <c r="AH172" s="62"/>
      <c r="AI172" s="62"/>
      <c r="AJ172" s="62"/>
      <c r="AK172" s="62"/>
    </row>
    <row r="173" spans="1:37" x14ac:dyDescent="0.3">
      <c r="C173" s="65"/>
      <c r="D173" s="77"/>
      <c r="E173" s="62"/>
      <c r="F173" s="62"/>
      <c r="G173" s="62"/>
      <c r="H173" s="62"/>
      <c r="I173" s="131"/>
      <c r="K173" s="62"/>
      <c r="L173" s="62"/>
      <c r="M173" s="62"/>
      <c r="N173" s="62"/>
      <c r="O173" s="131"/>
      <c r="Q173" s="62"/>
      <c r="R173" s="62"/>
      <c r="S173" s="62"/>
      <c r="T173" s="62"/>
      <c r="V173" s="62"/>
      <c r="W173" s="62"/>
      <c r="X173" s="62"/>
      <c r="Y173" s="62"/>
      <c r="AA173" s="62"/>
      <c r="AB173" s="62"/>
      <c r="AC173" s="62"/>
      <c r="AD173" s="62"/>
      <c r="AE173" s="62"/>
      <c r="AF173" s="131"/>
      <c r="AH173" s="62"/>
      <c r="AI173" s="62"/>
      <c r="AJ173" s="62"/>
      <c r="AK173" s="62"/>
    </row>
    <row r="174" spans="1:37" x14ac:dyDescent="0.3">
      <c r="C174" s="63" t="s">
        <v>136</v>
      </c>
      <c r="D174" s="63"/>
      <c r="E174" s="63"/>
      <c r="F174" s="63"/>
      <c r="G174" s="63"/>
      <c r="H174" s="63"/>
      <c r="I174" s="186"/>
      <c r="J174" s="85"/>
      <c r="K174" s="63"/>
      <c r="L174" s="63"/>
      <c r="M174" s="63"/>
      <c r="N174" s="63"/>
      <c r="O174" s="186"/>
      <c r="P174" s="85"/>
      <c r="Q174" s="63"/>
      <c r="R174" s="63"/>
      <c r="S174" s="63"/>
      <c r="T174" s="63"/>
      <c r="U174" s="85"/>
      <c r="V174" s="63"/>
      <c r="W174" s="63"/>
      <c r="X174" s="63"/>
      <c r="Y174" s="63"/>
      <c r="Z174" s="85"/>
      <c r="AA174" s="63"/>
      <c r="AB174" s="63"/>
      <c r="AC174" s="63"/>
      <c r="AD174" s="63"/>
      <c r="AE174" s="63"/>
      <c r="AF174" s="186"/>
      <c r="AG174" s="85"/>
      <c r="AH174" s="63"/>
      <c r="AI174" s="63"/>
      <c r="AJ174" s="63"/>
      <c r="AK174" s="63"/>
    </row>
    <row r="175" spans="1:37" s="85" customFormat="1" x14ac:dyDescent="0.3">
      <c r="A175" s="36"/>
      <c r="B175" s="36"/>
      <c r="C175" s="36" t="s">
        <v>53</v>
      </c>
      <c r="D175" s="110"/>
      <c r="E175" s="69"/>
      <c r="F175" s="97">
        <f>SUM('Quarterly I.S IFRS17'!F175:H175)</f>
        <v>385858.50252266414</v>
      </c>
      <c r="G175" s="97"/>
      <c r="H175" s="97">
        <f>SUM('Quarterly I.S IFRS17'!J175:L175)</f>
        <v>540055.07754427101</v>
      </c>
      <c r="I175" s="190">
        <f>H175/F175-1</f>
        <v>0.39961948230634059</v>
      </c>
      <c r="J175" s="36"/>
      <c r="K175" s="70">
        <f>$E175</f>
        <v>0</v>
      </c>
      <c r="L175" s="70">
        <f>$F175</f>
        <v>385858.50252266414</v>
      </c>
      <c r="M175" s="70">
        <f>$G175</f>
        <v>0</v>
      </c>
      <c r="N175" s="70">
        <f>$H175</f>
        <v>540055.07754427101</v>
      </c>
      <c r="O175" s="190">
        <f>N175/L175-1</f>
        <v>0.39961948230634059</v>
      </c>
      <c r="P175" s="36"/>
      <c r="Q175" s="70">
        <f>$E175</f>
        <v>0</v>
      </c>
      <c r="R175" s="70">
        <f>$F175</f>
        <v>385858.50252266414</v>
      </c>
      <c r="S175" s="70">
        <f>$G175</f>
        <v>0</v>
      </c>
      <c r="T175" s="70">
        <f>$H175</f>
        <v>540055.07754427101</v>
      </c>
      <c r="U175" s="36"/>
      <c r="V175" s="70">
        <f>$E175</f>
        <v>0</v>
      </c>
      <c r="W175" s="70">
        <f>$F175</f>
        <v>385858.50252266414</v>
      </c>
      <c r="X175" s="70">
        <f>$G175</f>
        <v>0</v>
      </c>
      <c r="Y175" s="70">
        <f>$H175</f>
        <v>540055.07754427101</v>
      </c>
      <c r="Z175" s="36"/>
      <c r="AA175" s="70">
        <f>$E175</f>
        <v>0</v>
      </c>
      <c r="AB175" s="70">
        <f>$F175</f>
        <v>385858.50252266414</v>
      </c>
      <c r="AC175" s="70">
        <f>$G175</f>
        <v>0</v>
      </c>
      <c r="AD175" s="70">
        <f>$H175</f>
        <v>540055.07754427101</v>
      </c>
      <c r="AE175" s="70"/>
      <c r="AF175" s="190">
        <f>AD175/AB175-1</f>
        <v>0.39961948230634059</v>
      </c>
      <c r="AG175" s="36"/>
      <c r="AH175" s="70">
        <f>$E175</f>
        <v>0</v>
      </c>
      <c r="AI175" s="70">
        <f>$F175</f>
        <v>385858.50252266414</v>
      </c>
      <c r="AJ175" s="70">
        <f>$G175</f>
        <v>0</v>
      </c>
      <c r="AK175" s="70">
        <f>$H175</f>
        <v>540055.07754427101</v>
      </c>
    </row>
    <row r="176" spans="1:37" x14ac:dyDescent="0.3">
      <c r="C176" s="36" t="s">
        <v>134</v>
      </c>
      <c r="E176" s="69"/>
      <c r="F176" s="97">
        <f>SUM('Quarterly I.S IFRS17'!F176:H176)</f>
        <v>48107</v>
      </c>
      <c r="G176" s="97"/>
      <c r="H176" s="97">
        <f>SUM('Quarterly I.S IFRS17'!J176:L176)</f>
        <v>91951</v>
      </c>
      <c r="I176" s="190">
        <f>H176/F176-1</f>
        <v>0.91138503752052724</v>
      </c>
      <c r="K176" s="70">
        <f>$E176</f>
        <v>0</v>
      </c>
      <c r="L176" s="70">
        <f>$F176</f>
        <v>48107</v>
      </c>
      <c r="M176" s="70">
        <f>$G176</f>
        <v>0</v>
      </c>
      <c r="N176" s="70">
        <f>$H176</f>
        <v>91951</v>
      </c>
      <c r="O176" s="190">
        <f>N176/L176-1</f>
        <v>0.91138503752052724</v>
      </c>
      <c r="Q176" s="70">
        <f>$E176</f>
        <v>0</v>
      </c>
      <c r="R176" s="70">
        <f>$F176</f>
        <v>48107</v>
      </c>
      <c r="S176" s="70">
        <f>$G176</f>
        <v>0</v>
      </c>
      <c r="T176" s="70">
        <f>$H176</f>
        <v>91951</v>
      </c>
      <c r="V176" s="70">
        <f>$E176</f>
        <v>0</v>
      </c>
      <c r="W176" s="70">
        <f>$F176</f>
        <v>48107</v>
      </c>
      <c r="X176" s="70">
        <f>$G176</f>
        <v>0</v>
      </c>
      <c r="Y176" s="70">
        <f>$H176</f>
        <v>91951</v>
      </c>
      <c r="AA176" s="70">
        <f>$E176</f>
        <v>0</v>
      </c>
      <c r="AB176" s="70">
        <f>$F176</f>
        <v>48107</v>
      </c>
      <c r="AC176" s="70">
        <f>$G176</f>
        <v>0</v>
      </c>
      <c r="AD176" s="70">
        <f>$H176</f>
        <v>91951</v>
      </c>
      <c r="AE176" s="70"/>
      <c r="AF176" s="190">
        <f>AD176/AB176-1</f>
        <v>0.91138503752052724</v>
      </c>
      <c r="AH176" s="70">
        <f>$E176</f>
        <v>0</v>
      </c>
      <c r="AI176" s="70">
        <f>$F176</f>
        <v>48107</v>
      </c>
      <c r="AJ176" s="70">
        <f>$G176</f>
        <v>0</v>
      </c>
      <c r="AK176" s="70">
        <f>$H176</f>
        <v>91951</v>
      </c>
    </row>
    <row r="177" spans="1:37" x14ac:dyDescent="0.3">
      <c r="A177" s="85"/>
      <c r="B177" s="84"/>
      <c r="C177" s="65"/>
      <c r="D177" s="77"/>
      <c r="E177" s="62"/>
      <c r="F177" s="62"/>
      <c r="G177" s="62"/>
      <c r="H177" s="131"/>
      <c r="I177" s="131"/>
      <c r="K177" s="62"/>
      <c r="L177" s="62"/>
      <c r="M177" s="62"/>
      <c r="N177" s="62"/>
      <c r="O177" s="131"/>
      <c r="Q177" s="62"/>
      <c r="R177" s="62"/>
      <c r="S177" s="62"/>
      <c r="T177" s="62"/>
      <c r="V177" s="62"/>
      <c r="W177" s="62"/>
      <c r="X177" s="62"/>
      <c r="Y177" s="62"/>
      <c r="AA177" s="62"/>
      <c r="AB177" s="62"/>
      <c r="AC177" s="62"/>
      <c r="AD177" s="62"/>
      <c r="AE177" s="62"/>
      <c r="AF177" s="131"/>
      <c r="AH177" s="62"/>
      <c r="AI177" s="62"/>
      <c r="AJ177" s="62"/>
      <c r="AK177" s="62"/>
    </row>
    <row r="178" spans="1:37" x14ac:dyDescent="0.3">
      <c r="C178" s="30" t="s">
        <v>96</v>
      </c>
      <c r="D178" s="30"/>
      <c r="E178" s="30"/>
      <c r="F178" s="30"/>
      <c r="G178" s="30"/>
      <c r="H178" s="30"/>
      <c r="I178" s="185"/>
      <c r="J178" s="82"/>
      <c r="K178" s="30"/>
      <c r="L178" s="30"/>
      <c r="M178" s="30"/>
      <c r="N178" s="30"/>
      <c r="O178" s="185"/>
      <c r="P178" s="82"/>
      <c r="Q178" s="30"/>
      <c r="R178" s="30"/>
      <c r="S178" s="30"/>
      <c r="T178" s="30"/>
      <c r="U178" s="82"/>
      <c r="V178" s="30"/>
      <c r="W178" s="30"/>
      <c r="X178" s="30"/>
      <c r="Y178" s="30"/>
      <c r="Z178" s="82"/>
      <c r="AA178" s="30"/>
      <c r="AB178" s="30"/>
      <c r="AC178" s="30"/>
      <c r="AD178" s="30"/>
      <c r="AE178" s="30"/>
      <c r="AF178" s="185"/>
      <c r="AG178" s="82"/>
      <c r="AH178" s="30"/>
      <c r="AI178" s="30"/>
      <c r="AJ178" s="30"/>
      <c r="AK178" s="30"/>
    </row>
    <row r="179" spans="1:37" s="82" customFormat="1" x14ac:dyDescent="0.3">
      <c r="A179" s="36"/>
      <c r="B179" s="36"/>
      <c r="C179" s="36" t="s">
        <v>15</v>
      </c>
      <c r="D179" s="110"/>
      <c r="E179" s="42"/>
      <c r="F179" s="42">
        <f>F21</f>
        <v>151821.84018000003</v>
      </c>
      <c r="G179" s="42"/>
      <c r="H179" s="42">
        <f>H21</f>
        <v>160691.10569992012</v>
      </c>
      <c r="I179" s="197"/>
      <c r="J179" s="36"/>
      <c r="K179" s="42">
        <f>K21</f>
        <v>0</v>
      </c>
      <c r="L179" s="42">
        <f>L21</f>
        <v>140371.26548</v>
      </c>
      <c r="M179" s="42">
        <f>M21</f>
        <v>0</v>
      </c>
      <c r="N179" s="42">
        <f>N21</f>
        <v>152770.50605992012</v>
      </c>
      <c r="O179" s="197"/>
      <c r="P179" s="36"/>
      <c r="Q179" s="42">
        <f>Q21</f>
        <v>0</v>
      </c>
      <c r="R179" s="42">
        <f>R21</f>
        <v>0</v>
      </c>
      <c r="S179" s="42">
        <f>S21</f>
        <v>0</v>
      </c>
      <c r="T179" s="42">
        <f>T21</f>
        <v>0</v>
      </c>
      <c r="U179" s="36"/>
      <c r="V179" s="42">
        <f>V21</f>
        <v>0</v>
      </c>
      <c r="W179" s="42">
        <f>W21</f>
        <v>0</v>
      </c>
      <c r="X179" s="42">
        <f>X21</f>
        <v>0</v>
      </c>
      <c r="Y179" s="42">
        <f>Y21</f>
        <v>0</v>
      </c>
      <c r="Z179" s="36"/>
      <c r="AA179" s="42">
        <f>AA21</f>
        <v>0</v>
      </c>
      <c r="AB179" s="42">
        <f>AB21</f>
        <v>0</v>
      </c>
      <c r="AC179" s="42">
        <f>AC21</f>
        <v>0</v>
      </c>
      <c r="AD179" s="42">
        <f>AD21</f>
        <v>0</v>
      </c>
      <c r="AE179" s="42"/>
      <c r="AF179" s="197"/>
      <c r="AG179" s="36"/>
      <c r="AH179" s="42">
        <f>AH21</f>
        <v>0</v>
      </c>
      <c r="AI179" s="42">
        <f>AI21</f>
        <v>11450.574699999999</v>
      </c>
      <c r="AJ179" s="42">
        <f>AJ21</f>
        <v>0</v>
      </c>
      <c r="AK179" s="42">
        <f>AK21</f>
        <v>7920.5996400000004</v>
      </c>
    </row>
    <row r="180" spans="1:37" x14ac:dyDescent="0.3">
      <c r="C180" s="36" t="s">
        <v>97</v>
      </c>
      <c r="E180" s="140"/>
      <c r="F180" s="140">
        <f>SUM('Quarterly I.S IFRS17'!F180:H180)</f>
        <v>10364</v>
      </c>
      <c r="G180" s="140"/>
      <c r="H180" s="140">
        <f>SUM('Quarterly I.S IFRS17'!J180:L180)</f>
        <v>13120</v>
      </c>
      <c r="I180" s="198"/>
      <c r="K180" s="70">
        <f>$E180</f>
        <v>0</v>
      </c>
      <c r="L180" s="70">
        <f>$F180</f>
        <v>10364</v>
      </c>
      <c r="M180" s="70">
        <f>$G180</f>
        <v>0</v>
      </c>
      <c r="N180" s="70">
        <f>$H180</f>
        <v>13120</v>
      </c>
      <c r="O180" s="198"/>
      <c r="Q180" s="70">
        <f>$E180</f>
        <v>0</v>
      </c>
      <c r="R180" s="70">
        <f>$F180</f>
        <v>10364</v>
      </c>
      <c r="S180" s="70">
        <f>$G180</f>
        <v>0</v>
      </c>
      <c r="T180" s="70">
        <f>$H180</f>
        <v>13120</v>
      </c>
      <c r="V180" s="70">
        <f>$E180</f>
        <v>0</v>
      </c>
      <c r="W180" s="70">
        <f>$F180</f>
        <v>10364</v>
      </c>
      <c r="X180" s="70">
        <f>$G180</f>
        <v>0</v>
      </c>
      <c r="Y180" s="70">
        <f>$H180</f>
        <v>13120</v>
      </c>
      <c r="AA180" s="70">
        <f>$E180</f>
        <v>0</v>
      </c>
      <c r="AB180" s="70">
        <f>$F180</f>
        <v>10364</v>
      </c>
      <c r="AC180" s="70">
        <f>$G180</f>
        <v>0</v>
      </c>
      <c r="AD180" s="70">
        <f>$H180</f>
        <v>13120</v>
      </c>
      <c r="AE180" s="70"/>
      <c r="AF180" s="198"/>
      <c r="AH180" s="70">
        <f>$E180</f>
        <v>0</v>
      </c>
      <c r="AI180" s="70">
        <f>$F180</f>
        <v>10364</v>
      </c>
      <c r="AJ180" s="70">
        <f>$G180</f>
        <v>0</v>
      </c>
      <c r="AK180" s="70">
        <f>$H180</f>
        <v>13120</v>
      </c>
    </row>
    <row r="181" spans="1:37" x14ac:dyDescent="0.3">
      <c r="A181" s="82"/>
      <c r="B181" s="81"/>
      <c r="C181" s="36" t="s">
        <v>98</v>
      </c>
      <c r="E181" s="57">
        <f>E179-E180</f>
        <v>0</v>
      </c>
      <c r="F181" s="57">
        <f>F179-F180</f>
        <v>141457.84018000003</v>
      </c>
      <c r="G181" s="57">
        <f>G179-G180</f>
        <v>0</v>
      </c>
      <c r="H181" s="57">
        <f>H179-H180</f>
        <v>147571.10569992012</v>
      </c>
      <c r="I181" s="199"/>
      <c r="K181" s="57">
        <f>K179-K180</f>
        <v>0</v>
      </c>
      <c r="L181" s="57">
        <f>L179-L180</f>
        <v>130007.26548</v>
      </c>
      <c r="M181" s="57">
        <f>M179-M180</f>
        <v>0</v>
      </c>
      <c r="N181" s="57">
        <f>N179-N180</f>
        <v>139650.50605992012</v>
      </c>
      <c r="O181" s="199"/>
      <c r="Q181" s="57">
        <f>Q179-Q180</f>
        <v>0</v>
      </c>
      <c r="R181" s="57">
        <f>R179-R180</f>
        <v>-10364</v>
      </c>
      <c r="S181" s="57">
        <f>S179-S180</f>
        <v>0</v>
      </c>
      <c r="T181" s="57">
        <f>T179-T180</f>
        <v>-13120</v>
      </c>
      <c r="V181" s="57">
        <f>V179-V180</f>
        <v>0</v>
      </c>
      <c r="W181" s="57">
        <f>W179-W180</f>
        <v>-10364</v>
      </c>
      <c r="X181" s="57">
        <f>X179-X180</f>
        <v>0</v>
      </c>
      <c r="Y181" s="57">
        <f>Y179-Y180</f>
        <v>-13120</v>
      </c>
      <c r="AA181" s="57">
        <f>AA179-AA180</f>
        <v>0</v>
      </c>
      <c r="AB181" s="57">
        <f>AB179-AB180</f>
        <v>-10364</v>
      </c>
      <c r="AC181" s="57">
        <f>AC179-AC180</f>
        <v>0</v>
      </c>
      <c r="AD181" s="57">
        <f>AD179-AD180</f>
        <v>-13120</v>
      </c>
      <c r="AE181" s="57"/>
      <c r="AF181" s="199"/>
      <c r="AH181" s="57">
        <f>AH179-AH180</f>
        <v>0</v>
      </c>
      <c r="AI181" s="57">
        <f>AI179-AI180</f>
        <v>1086.5746999999992</v>
      </c>
      <c r="AJ181" s="57">
        <f>AJ179-AJ180</f>
        <v>0</v>
      </c>
      <c r="AK181" s="57">
        <f>AK179-AK180</f>
        <v>-5199.4003599999996</v>
      </c>
    </row>
    <row r="182" spans="1:37" x14ac:dyDescent="0.3">
      <c r="I182" s="197"/>
      <c r="O182" s="197"/>
      <c r="AF182" s="197"/>
    </row>
    <row r="183" spans="1:37" x14ac:dyDescent="0.3">
      <c r="C183" s="36" t="s">
        <v>128</v>
      </c>
      <c r="E183" s="42"/>
      <c r="F183" s="42">
        <f>F24</f>
        <v>-84525.671658474574</v>
      </c>
      <c r="G183" s="42"/>
      <c r="H183" s="42">
        <f>H24</f>
        <v>-74757.760208260865</v>
      </c>
      <c r="I183" s="197"/>
      <c r="K183" s="42">
        <f>K24</f>
        <v>0</v>
      </c>
      <c r="L183" s="42">
        <f>L24</f>
        <v>-84525.671658474574</v>
      </c>
      <c r="M183" s="42">
        <f>M24</f>
        <v>0</v>
      </c>
      <c r="N183" s="42">
        <f>N24</f>
        <v>-74757.760208260865</v>
      </c>
      <c r="O183" s="197"/>
      <c r="Q183" s="42">
        <f>Q24</f>
        <v>0</v>
      </c>
      <c r="R183" s="42">
        <f>R24</f>
        <v>0</v>
      </c>
      <c r="S183" s="42">
        <f>S24</f>
        <v>0</v>
      </c>
      <c r="T183" s="42">
        <f>T24</f>
        <v>0</v>
      </c>
      <c r="V183" s="42">
        <f>V24</f>
        <v>0</v>
      </c>
      <c r="W183" s="42">
        <f>W24</f>
        <v>0</v>
      </c>
      <c r="X183" s="42">
        <f>X24</f>
        <v>0</v>
      </c>
      <c r="Y183" s="42">
        <f>Y24</f>
        <v>0</v>
      </c>
      <c r="AA183" s="42">
        <f>AA24</f>
        <v>0</v>
      </c>
      <c r="AB183" s="42">
        <f>AB24</f>
        <v>0</v>
      </c>
      <c r="AC183" s="42">
        <f>AC24</f>
        <v>0</v>
      </c>
      <c r="AD183" s="42">
        <f>AD24</f>
        <v>0</v>
      </c>
      <c r="AE183" s="42"/>
      <c r="AF183" s="197"/>
      <c r="AH183" s="42">
        <f>AH24</f>
        <v>0</v>
      </c>
      <c r="AI183" s="42">
        <f>AI24</f>
        <v>0</v>
      </c>
      <c r="AJ183" s="42">
        <f>AJ24</f>
        <v>0</v>
      </c>
      <c r="AK183" s="42">
        <f>AK24</f>
        <v>0</v>
      </c>
    </row>
    <row r="184" spans="1:37" x14ac:dyDescent="0.3">
      <c r="C184" s="36" t="s">
        <v>97</v>
      </c>
      <c r="E184" s="140"/>
      <c r="F184" s="140">
        <f>SUM('Quarterly I.S IFRS17'!F184:H184)</f>
        <v>-7303.5093799999995</v>
      </c>
      <c r="G184" s="140"/>
      <c r="H184" s="140">
        <f>SUM('Quarterly I.S IFRS17'!J184:L184)</f>
        <v>-6801.4658499999996</v>
      </c>
      <c r="I184" s="198"/>
      <c r="K184" s="70">
        <f>$E184</f>
        <v>0</v>
      </c>
      <c r="L184" s="70">
        <f>$F184</f>
        <v>-7303.5093799999995</v>
      </c>
      <c r="M184" s="70">
        <f>$G184</f>
        <v>0</v>
      </c>
      <c r="N184" s="70">
        <f>$H184</f>
        <v>-6801.4658499999996</v>
      </c>
      <c r="O184" s="198"/>
      <c r="Q184" s="70">
        <f>$E184</f>
        <v>0</v>
      </c>
      <c r="R184" s="70">
        <f>$F184</f>
        <v>-7303.5093799999995</v>
      </c>
      <c r="S184" s="70">
        <f>$G184</f>
        <v>0</v>
      </c>
      <c r="T184" s="70">
        <f>$H184</f>
        <v>-6801.4658499999996</v>
      </c>
      <c r="V184" s="70">
        <f>$E184</f>
        <v>0</v>
      </c>
      <c r="W184" s="70">
        <f>$F184</f>
        <v>-7303.5093799999995</v>
      </c>
      <c r="X184" s="70">
        <f>$G184</f>
        <v>0</v>
      </c>
      <c r="Y184" s="70">
        <f>$H184</f>
        <v>-6801.4658499999996</v>
      </c>
      <c r="AA184" s="70">
        <f>$E184</f>
        <v>0</v>
      </c>
      <c r="AB184" s="70">
        <f>$F184</f>
        <v>-7303.5093799999995</v>
      </c>
      <c r="AC184" s="70">
        <f>$G184</f>
        <v>0</v>
      </c>
      <c r="AD184" s="70">
        <f>$H184</f>
        <v>-6801.4658499999996</v>
      </c>
      <c r="AE184" s="70"/>
      <c r="AF184" s="198"/>
      <c r="AH184" s="70">
        <f>$E184</f>
        <v>0</v>
      </c>
      <c r="AI184" s="70">
        <f>$F184</f>
        <v>-7303.5093799999995</v>
      </c>
      <c r="AJ184" s="70">
        <f>$G184</f>
        <v>0</v>
      </c>
      <c r="AK184" s="70">
        <f>$H184</f>
        <v>-6801.4658499999996</v>
      </c>
    </row>
    <row r="185" spans="1:37" x14ac:dyDescent="0.3">
      <c r="C185" s="36" t="s">
        <v>98</v>
      </c>
      <c r="E185" s="57">
        <f>E183-E184</f>
        <v>0</v>
      </c>
      <c r="F185" s="57">
        <f>F183-F184</f>
        <v>-77222.16227847457</v>
      </c>
      <c r="G185" s="57">
        <f>G183-G184</f>
        <v>0</v>
      </c>
      <c r="H185" s="57">
        <f>H183-H184</f>
        <v>-67956.294358260871</v>
      </c>
      <c r="I185" s="176"/>
      <c r="K185" s="57">
        <f>K183-K184</f>
        <v>0</v>
      </c>
      <c r="L185" s="57">
        <f>L183-L184</f>
        <v>-77222.16227847457</v>
      </c>
      <c r="M185" s="57">
        <f>M183-M184</f>
        <v>0</v>
      </c>
      <c r="N185" s="57">
        <f>N183-N184</f>
        <v>-67956.294358260871</v>
      </c>
      <c r="O185" s="176"/>
      <c r="Q185" s="57">
        <f>Q183-Q184</f>
        <v>0</v>
      </c>
      <c r="R185" s="57">
        <f>R183-R184</f>
        <v>7303.5093799999995</v>
      </c>
      <c r="S185" s="57">
        <f>S183-S184</f>
        <v>0</v>
      </c>
      <c r="T185" s="57">
        <f>T183-T184</f>
        <v>6801.4658499999996</v>
      </c>
      <c r="V185" s="57">
        <f>V183-V184</f>
        <v>0</v>
      </c>
      <c r="W185" s="57">
        <f>W183-W184</f>
        <v>7303.5093799999995</v>
      </c>
      <c r="X185" s="57">
        <f>X183-X184</f>
        <v>0</v>
      </c>
      <c r="Y185" s="57">
        <f>Y183-Y184</f>
        <v>6801.4658499999996</v>
      </c>
      <c r="AA185" s="57">
        <f>AA183-AA184</f>
        <v>0</v>
      </c>
      <c r="AB185" s="57">
        <f>AB183-AB184</f>
        <v>7303.5093799999995</v>
      </c>
      <c r="AC185" s="57">
        <f>AC183-AC184</f>
        <v>0</v>
      </c>
      <c r="AD185" s="57">
        <f>AD183-AD184</f>
        <v>6801.4658499999996</v>
      </c>
      <c r="AE185" s="57"/>
      <c r="AF185" s="176"/>
      <c r="AH185" s="57">
        <f>AH183-AH184</f>
        <v>0</v>
      </c>
      <c r="AI185" s="57">
        <f>AI183-AI184</f>
        <v>7303.5093799999995</v>
      </c>
      <c r="AJ185" s="57">
        <f>AJ183-AJ184</f>
        <v>0</v>
      </c>
      <c r="AK185" s="57">
        <f>AK183-AK184</f>
        <v>6801.4658499999996</v>
      </c>
    </row>
  </sheetData>
  <pageMargins left="0.7" right="0.7" top="1.3149999999999999" bottom="0.75" header="0.3" footer="0.3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30A55-9C41-4B7F-98E5-D868DB46F6E9}">
  <sheetPr>
    <tabColor theme="5"/>
  </sheetPr>
  <dimension ref="B2:AD191"/>
  <sheetViews>
    <sheetView showGridLines="0" zoomScaleNormal="100" workbookViewId="0">
      <pane xSplit="3" ySplit="3" topLeftCell="D80" activePane="bottomRight" state="frozen"/>
      <selection activeCell="G5" sqref="G5"/>
      <selection pane="topRight" activeCell="G5" sqref="G5"/>
      <selection pane="bottomLeft" activeCell="G5" sqref="G5"/>
      <selection pane="bottomRight" activeCell="G88" sqref="G88"/>
    </sheetView>
  </sheetViews>
  <sheetFormatPr defaultColWidth="8.81640625" defaultRowHeight="13" x14ac:dyDescent="0.3"/>
  <cols>
    <col min="1" max="1" width="2.54296875" style="36" customWidth="1"/>
    <col min="2" max="2" width="4.1796875" style="36" bestFit="1" customWidth="1"/>
    <col min="3" max="3" width="38.54296875" style="36" bestFit="1" customWidth="1"/>
    <col min="4" max="4" width="6.81640625" style="110" bestFit="1" customWidth="1"/>
    <col min="5" max="7" width="13.81640625" style="36" bestFit="1" customWidth="1"/>
    <col min="8" max="8" width="13.81640625" style="132" bestFit="1" customWidth="1"/>
    <col min="9" max="9" width="5.453125" style="36" bestFit="1" customWidth="1"/>
    <col min="10" max="12" width="11.26953125" style="36" bestFit="1" customWidth="1"/>
    <col min="13" max="13" width="13.81640625" style="132" bestFit="1" customWidth="1"/>
    <col min="14" max="14" width="1.7265625" style="36" customWidth="1"/>
    <col min="15" max="17" width="10.7265625" style="36" bestFit="1" customWidth="1"/>
    <col min="18" max="18" width="0.90625" style="36" customWidth="1"/>
    <col min="19" max="21" width="10.7265625" style="36" bestFit="1" customWidth="1"/>
    <col min="22" max="22" width="1.26953125" style="36" customWidth="1"/>
    <col min="23" max="25" width="10.7265625" style="36" bestFit="1" customWidth="1"/>
    <col min="26" max="26" width="13.81640625" style="132" bestFit="1" customWidth="1"/>
    <col min="27" max="27" width="2.6328125" style="36" customWidth="1"/>
    <col min="28" max="30" width="10.7265625" style="36" bestFit="1" customWidth="1"/>
    <col min="31" max="16384" width="8.81640625" style="36"/>
  </cols>
  <sheetData>
    <row r="2" spans="2:30" s="32" customFormat="1" ht="14.5" customHeight="1" x14ac:dyDescent="0.3">
      <c r="B2" s="29"/>
      <c r="C2" s="30" t="s">
        <v>73</v>
      </c>
      <c r="D2" s="30"/>
      <c r="E2" s="31"/>
      <c r="F2" s="31"/>
      <c r="G2" s="31"/>
      <c r="H2" s="167"/>
      <c r="J2" s="31" t="s">
        <v>258</v>
      </c>
      <c r="K2" s="31"/>
      <c r="L2" s="31"/>
      <c r="M2" s="167"/>
      <c r="O2" s="31" t="s">
        <v>69</v>
      </c>
      <c r="P2" s="31"/>
      <c r="Q2" s="31"/>
      <c r="S2" s="31" t="s">
        <v>70</v>
      </c>
      <c r="T2" s="31"/>
      <c r="U2" s="31"/>
      <c r="W2" s="31" t="s">
        <v>76</v>
      </c>
      <c r="X2" s="31"/>
      <c r="Y2" s="31"/>
      <c r="Z2" s="167"/>
      <c r="AA2" s="36"/>
      <c r="AB2" s="31" t="s">
        <v>257</v>
      </c>
      <c r="AC2" s="31"/>
      <c r="AD2" s="31"/>
    </row>
    <row r="3" spans="2:30" s="35" customFormat="1" x14ac:dyDescent="0.3">
      <c r="B3" s="33"/>
      <c r="C3" s="34"/>
      <c r="D3" s="129" t="s">
        <v>148</v>
      </c>
      <c r="E3" s="34">
        <v>2023</v>
      </c>
      <c r="F3" s="34">
        <v>2024</v>
      </c>
      <c r="G3" s="34">
        <v>2025</v>
      </c>
      <c r="H3" s="168" t="s">
        <v>260</v>
      </c>
      <c r="J3" s="34">
        <f>E3</f>
        <v>2023</v>
      </c>
      <c r="K3" s="34">
        <f>F3</f>
        <v>2024</v>
      </c>
      <c r="L3" s="34">
        <f>G3</f>
        <v>2025</v>
      </c>
      <c r="M3" s="34" t="str">
        <f>H3</f>
        <v>FY-25 vs. FY-24</v>
      </c>
      <c r="O3" s="34">
        <f>E3</f>
        <v>2023</v>
      </c>
      <c r="P3" s="34">
        <f>F3</f>
        <v>2024</v>
      </c>
      <c r="Q3" s="34">
        <f>G3</f>
        <v>2025</v>
      </c>
      <c r="S3" s="34">
        <f>E3</f>
        <v>2023</v>
      </c>
      <c r="T3" s="34">
        <f>F3</f>
        <v>2024</v>
      </c>
      <c r="U3" s="34">
        <f>G3</f>
        <v>2025</v>
      </c>
      <c r="W3" s="34">
        <f>E3</f>
        <v>2023</v>
      </c>
      <c r="X3" s="34">
        <f>F3</f>
        <v>2024</v>
      </c>
      <c r="Y3" s="34">
        <f>G3</f>
        <v>2025</v>
      </c>
      <c r="Z3" s="34" t="str">
        <f>H3</f>
        <v>FY-25 vs. FY-24</v>
      </c>
      <c r="AA3" s="205"/>
      <c r="AB3" s="34">
        <f>E3</f>
        <v>2023</v>
      </c>
      <c r="AC3" s="34">
        <f>F3</f>
        <v>2024</v>
      </c>
      <c r="AD3" s="34">
        <f>G3</f>
        <v>2025</v>
      </c>
    </row>
    <row r="4" spans="2:30" x14ac:dyDescent="0.3">
      <c r="C4" s="37" t="s">
        <v>74</v>
      </c>
      <c r="D4" s="107"/>
      <c r="W4" s="38"/>
      <c r="X4" s="38"/>
      <c r="Y4" s="38"/>
    </row>
    <row r="5" spans="2:30" x14ac:dyDescent="0.3">
      <c r="C5" s="36" t="s">
        <v>85</v>
      </c>
      <c r="D5" s="108">
        <v>17746</v>
      </c>
      <c r="E5" s="38"/>
      <c r="F5" s="38">
        <f>VLOOKUP($C5,'Segment IFRS17'!$B$460:$G$531,6,0)/1000</f>
        <v>839977.15400999994</v>
      </c>
      <c r="G5" s="38">
        <f>VLOOKUP($C5,'Segment IFRS17'!$B$539:$G$600,6,0)/1000</f>
        <v>966841.81041000003</v>
      </c>
      <c r="H5" s="132">
        <f>G5/F5-1</f>
        <v>0.15103346060586986</v>
      </c>
      <c r="J5" s="38"/>
      <c r="K5" s="38">
        <f>VLOOKUP($C5,'Segment IFRS17'!$B$460:$G$531,2,0)/1000</f>
        <v>839977.15400999994</v>
      </c>
      <c r="L5" s="38">
        <f>VLOOKUP($C5,'Segment IFRS17'!$B$539:$G$600,2,0)/1000</f>
        <v>966841.81041000003</v>
      </c>
      <c r="M5" s="132">
        <f>L5/K5-1</f>
        <v>0.15103346060586986</v>
      </c>
      <c r="O5" s="38"/>
      <c r="P5" s="38">
        <f>VLOOKUP($C5,'Segment IFRS17'!$B$460:$G$531,3,0)/1000</f>
        <v>0</v>
      </c>
      <c r="Q5" s="38">
        <f>VLOOKUP($C5,'Segment IFRS17'!$B$539:$G$600,3,0)/1000</f>
        <v>0</v>
      </c>
      <c r="S5" s="38"/>
      <c r="T5" s="38">
        <f>VLOOKUP($C5,'Segment IFRS17'!$B$460:$G$531,4,0)/1000</f>
        <v>0</v>
      </c>
      <c r="U5" s="38">
        <f>VLOOKUP($C5,'Segment IFRS17'!$B$539:$G$600,4,0)/1000</f>
        <v>0</v>
      </c>
      <c r="W5" s="38"/>
      <c r="X5" s="38">
        <f>P5+T5</f>
        <v>0</v>
      </c>
      <c r="Y5" s="38">
        <f>Q5+U5</f>
        <v>0</v>
      </c>
      <c r="AB5" s="38"/>
      <c r="AC5" s="38">
        <f>VLOOKUP($C5,'Segment IFRS17'!$B$460:$G$531,5,0)/1000</f>
        <v>0</v>
      </c>
      <c r="AD5" s="38">
        <f>VLOOKUP($C5,'Segment IFRS17'!$B$539:$G$600,5,0)/1000</f>
        <v>0</v>
      </c>
    </row>
    <row r="6" spans="2:30" x14ac:dyDescent="0.3">
      <c r="C6" s="39" t="s">
        <v>92</v>
      </c>
      <c r="D6" s="109"/>
      <c r="E6" s="40"/>
      <c r="F6" s="40">
        <f>F5/F$142</f>
        <v>0.13813618455815985</v>
      </c>
      <c r="G6" s="40">
        <f>G5/G$142</f>
        <v>0.17485272959359835</v>
      </c>
      <c r="H6" s="169"/>
      <c r="J6" s="40"/>
      <c r="K6" s="40">
        <f>K5/K$142</f>
        <v>0.13813618455815985</v>
      </c>
      <c r="L6" s="40">
        <f>L5/L$142</f>
        <v>0.17485272959359835</v>
      </c>
      <c r="M6" s="169"/>
      <c r="O6" s="40"/>
      <c r="P6" s="40"/>
      <c r="Q6" s="40"/>
      <c r="S6" s="40"/>
      <c r="T6" s="40"/>
      <c r="U6" s="40"/>
      <c r="W6" s="40"/>
      <c r="X6" s="40"/>
      <c r="Y6" s="40"/>
      <c r="Z6" s="169"/>
      <c r="AB6" s="40"/>
      <c r="AC6" s="40">
        <f>AC5/AC$142</f>
        <v>0</v>
      </c>
      <c r="AD6" s="40">
        <f>AD5/AD$142</f>
        <v>0</v>
      </c>
    </row>
    <row r="7" spans="2:30" x14ac:dyDescent="0.3">
      <c r="C7" s="36" t="s">
        <v>19</v>
      </c>
      <c r="D7" s="110">
        <v>9</v>
      </c>
      <c r="E7" s="42"/>
      <c r="F7" s="42">
        <f>VLOOKUP($C7,'Segment IFRS17'!$B$460:$G$531,6,0)/1000</f>
        <v>394751.81396303995</v>
      </c>
      <c r="G7" s="42">
        <f>VLOOKUP($C7,'Segment IFRS17'!$B$539:$G$600,6,0)/1000</f>
        <v>340764.87031941995</v>
      </c>
      <c r="H7" s="132">
        <f>G7/F7-1</f>
        <v>-0.136761736701417</v>
      </c>
      <c r="J7" s="42"/>
      <c r="K7" s="42">
        <f>VLOOKUP($C7,'Segment IFRS17'!$B$460:$G$531,2,0)/1000</f>
        <v>394751.81396303995</v>
      </c>
      <c r="L7" s="42">
        <f>VLOOKUP($C7,'Segment IFRS17'!$B$539:$G$600,2,0)/1000</f>
        <v>340764.87031941995</v>
      </c>
      <c r="M7" s="132">
        <f>L7/K7-1</f>
        <v>-0.136761736701417</v>
      </c>
      <c r="O7" s="42"/>
      <c r="P7" s="42">
        <f>VLOOKUP($C7,'Segment IFRS17'!$B$460:$G$531,3,0)/1000</f>
        <v>0</v>
      </c>
      <c r="Q7" s="42">
        <f>VLOOKUP($C7,'Segment IFRS17'!$B$539:$G$600,3,0)/1000</f>
        <v>0</v>
      </c>
      <c r="S7" s="42"/>
      <c r="T7" s="42">
        <f>VLOOKUP($C7,'Segment IFRS17'!$B$460:$G$531,4,0)/1000</f>
        <v>0</v>
      </c>
      <c r="U7" s="42">
        <f>VLOOKUP($C7,'Segment IFRS17'!$B$539:$G$600,4,0)/1000</f>
        <v>0</v>
      </c>
      <c r="W7" s="42"/>
      <c r="X7" s="42">
        <f>P7+T7</f>
        <v>0</v>
      </c>
      <c r="Y7" s="42">
        <f>Q7+U7</f>
        <v>0</v>
      </c>
      <c r="AB7" s="42"/>
      <c r="AC7" s="42">
        <f>VLOOKUP($C7,'Segment IFRS17'!$B$460:$G$531,5,0)/1000</f>
        <v>0</v>
      </c>
      <c r="AD7" s="42">
        <f>VLOOKUP($C7,'Segment IFRS17'!$B$539:$G$600,5,0)/1000</f>
        <v>0</v>
      </c>
    </row>
    <row r="8" spans="2:30" x14ac:dyDescent="0.3">
      <c r="C8" s="39" t="s">
        <v>57</v>
      </c>
      <c r="D8" s="109"/>
      <c r="E8" s="207"/>
      <c r="F8" s="207">
        <f>F7/AVERAGE(E118:F118)</f>
        <v>3.1342095339628166E-2</v>
      </c>
      <c r="G8" s="207">
        <f>G7/AVERAGE(F118:G118)</f>
        <v>2.9105364461904266E-2</v>
      </c>
      <c r="H8" s="169"/>
      <c r="J8" s="40"/>
      <c r="K8" s="40">
        <f>K7/AVERAGE(J118:K118)</f>
        <v>3.1342095339628166E-2</v>
      </c>
      <c r="L8" s="40">
        <f>L7/AVERAGE(K118:L118)</f>
        <v>2.9105364461904266E-2</v>
      </c>
      <c r="M8" s="169"/>
      <c r="O8" s="40"/>
      <c r="P8" s="40"/>
      <c r="Q8" s="40"/>
      <c r="S8" s="40"/>
      <c r="T8" s="40"/>
      <c r="U8" s="40"/>
      <c r="W8" s="40"/>
      <c r="X8" s="40"/>
      <c r="Y8" s="40"/>
      <c r="Z8" s="169"/>
      <c r="AB8" s="40"/>
      <c r="AC8" s="40"/>
      <c r="AD8" s="40"/>
    </row>
    <row r="9" spans="2:30" x14ac:dyDescent="0.3">
      <c r="C9" s="36" t="s">
        <v>86</v>
      </c>
      <c r="D9" s="110">
        <v>10</v>
      </c>
      <c r="E9" s="42"/>
      <c r="F9" s="42">
        <f>VLOOKUP($C9,'Segment IFRS17'!$B$460:$G$531,6,0)/1000</f>
        <v>17789.960580000006</v>
      </c>
      <c r="G9" s="42">
        <f>VLOOKUP($C9,'Segment IFRS17'!$B$539:$G$600,6,0)/1000</f>
        <v>9693.206659999998</v>
      </c>
      <c r="H9" s="132">
        <f>G9/F9-1</f>
        <v>-0.45513051496598678</v>
      </c>
      <c r="J9" s="42"/>
      <c r="K9" s="42">
        <f>VLOOKUP($C9,'Segment IFRS17'!$B$460:$G$531,2,0)/1000</f>
        <v>17789.960580000006</v>
      </c>
      <c r="L9" s="42">
        <f>VLOOKUP($C9,'Segment IFRS17'!$B$539:$G$600,2,0)/1000</f>
        <v>9693.206659999998</v>
      </c>
      <c r="M9" s="132">
        <f>L9/K9-1</f>
        <v>-0.45513051496598678</v>
      </c>
      <c r="O9" s="42"/>
      <c r="P9" s="42">
        <f>VLOOKUP($C9,'Segment IFRS17'!$B$460:$G$531,3,0)/1000</f>
        <v>0</v>
      </c>
      <c r="Q9" s="42">
        <f>VLOOKUP($C9,'Segment IFRS17'!$B$539:$G$600,3,0)/1000</f>
        <v>0</v>
      </c>
      <c r="S9" s="42"/>
      <c r="T9" s="42">
        <f>VLOOKUP($C9,'Segment IFRS17'!$B$460:$G$531,4,0)/1000</f>
        <v>0</v>
      </c>
      <c r="U9" s="42">
        <f>VLOOKUP($C9,'Segment IFRS17'!$B$539:$G$600,4,0)/1000</f>
        <v>0</v>
      </c>
      <c r="W9" s="42"/>
      <c r="X9" s="42">
        <f>P9+T9</f>
        <v>0</v>
      </c>
      <c r="Y9" s="42">
        <f>Q9+U9</f>
        <v>0</v>
      </c>
      <c r="AB9" s="42"/>
      <c r="AC9" s="42">
        <f>VLOOKUP($C9,'Segment IFRS17'!$B$460:$G$531,5,0)/1000</f>
        <v>0</v>
      </c>
      <c r="AD9" s="42">
        <f>VLOOKUP($C9,'Segment IFRS17'!$B$539:$G$600,5,0)/1000</f>
        <v>0</v>
      </c>
    </row>
    <row r="10" spans="2:30" x14ac:dyDescent="0.3">
      <c r="C10" s="36" t="s">
        <v>87</v>
      </c>
      <c r="E10" s="42"/>
      <c r="F10" s="42">
        <f>VLOOKUP($C10,'Segment IFRS17'!$B$460:$G$531,6,0)/1000</f>
        <v>-261669.26326999997</v>
      </c>
      <c r="G10" s="42">
        <f>VLOOKUP($C10,'Segment IFRS17'!$B$539:$G$600,6,0)/1000</f>
        <v>-240433.43764000002</v>
      </c>
      <c r="H10" s="132">
        <f>G10/F10-1</f>
        <v>-8.1155216186350687E-2</v>
      </c>
      <c r="J10" s="42"/>
      <c r="K10" s="42">
        <f>VLOOKUP($C10,'Segment IFRS17'!$B$460:$G$531,2,0)/1000</f>
        <v>-261669.26326999997</v>
      </c>
      <c r="L10" s="42">
        <f>VLOOKUP($C10,'Segment IFRS17'!$B$539:$G$600,2,0)/1000</f>
        <v>-240433.43764000002</v>
      </c>
      <c r="M10" s="132">
        <f>L10/K10-1</f>
        <v>-8.1155216186350687E-2</v>
      </c>
      <c r="O10" s="42"/>
      <c r="P10" s="42">
        <f>VLOOKUP($C10,'Segment IFRS17'!$B$460:$G$531,3,0)/1000</f>
        <v>0</v>
      </c>
      <c r="Q10" s="42">
        <f>VLOOKUP($C10,'Segment IFRS17'!$B$539:$G$600,3,0)/1000</f>
        <v>0</v>
      </c>
      <c r="S10" s="42"/>
      <c r="T10" s="42">
        <f>VLOOKUP($C10,'Segment IFRS17'!$B$460:$G$531,4,0)/1000</f>
        <v>0</v>
      </c>
      <c r="U10" s="42">
        <f>VLOOKUP($C10,'Segment IFRS17'!$B$539:$G$600,4,0)/1000</f>
        <v>0</v>
      </c>
      <c r="W10" s="42"/>
      <c r="X10" s="42">
        <f>P10+T10</f>
        <v>0</v>
      </c>
      <c r="Y10" s="42">
        <f>Q10+U10</f>
        <v>0</v>
      </c>
      <c r="AB10" s="42"/>
      <c r="AC10" s="42">
        <f>VLOOKUP($C10,'Segment IFRS17'!$B$460:$G$531,5,0)/1000</f>
        <v>0</v>
      </c>
      <c r="AD10" s="42">
        <f>VLOOKUP($C10,'Segment IFRS17'!$B$539:$G$600,5,0)/1000</f>
        <v>0</v>
      </c>
    </row>
    <row r="11" spans="2:30" x14ac:dyDescent="0.3">
      <c r="C11" s="43" t="s">
        <v>18</v>
      </c>
      <c r="D11" s="111"/>
      <c r="E11" s="44"/>
      <c r="F11" s="44">
        <f>F5+F7+F9+F10</f>
        <v>990849.66528303991</v>
      </c>
      <c r="G11" s="44">
        <f>G5+G7+G9+G10</f>
        <v>1076866.4497494199</v>
      </c>
      <c r="H11" s="170">
        <f>G11/F11-1</f>
        <v>8.6811135412564244E-2</v>
      </c>
      <c r="J11" s="44"/>
      <c r="K11" s="44">
        <f>K5+K7+K9+K10</f>
        <v>990849.66528303991</v>
      </c>
      <c r="L11" s="44">
        <f>L5+L7+L9+L10</f>
        <v>1076866.4497494199</v>
      </c>
      <c r="M11" s="170" t="e">
        <f>K11/J11-1</f>
        <v>#DIV/0!</v>
      </c>
      <c r="O11" s="44"/>
      <c r="P11" s="44">
        <f>P5+P7+P9+P10</f>
        <v>0</v>
      </c>
      <c r="Q11" s="44">
        <f>Q5+Q7+Q9+Q10</f>
        <v>0</v>
      </c>
      <c r="S11" s="44"/>
      <c r="T11" s="44">
        <f>T5+T7+T9+T10</f>
        <v>0</v>
      </c>
      <c r="U11" s="44">
        <f>U5+U7+U9+U10</f>
        <v>0</v>
      </c>
      <c r="W11" s="44"/>
      <c r="X11" s="44">
        <f>X5+X7+X9+X10</f>
        <v>0</v>
      </c>
      <c r="Y11" s="44">
        <f>Y5+Y7+Y9+Y10</f>
        <v>0</v>
      </c>
      <c r="Z11" s="170"/>
      <c r="AB11" s="44"/>
      <c r="AC11" s="44">
        <f>AC5+AC7+AC9+AC10</f>
        <v>0</v>
      </c>
      <c r="AD11" s="44">
        <f>AD5+AD7+AD9+AD10</f>
        <v>0</v>
      </c>
    </row>
    <row r="12" spans="2:30" x14ac:dyDescent="0.3">
      <c r="C12" s="39" t="s">
        <v>56</v>
      </c>
      <c r="D12" s="109"/>
      <c r="E12" s="207"/>
      <c r="F12" s="207">
        <f>F11/F$142</f>
        <v>0.16294751777415539</v>
      </c>
      <c r="G12" s="207">
        <f>G11/G$142</f>
        <v>0.194750615994364</v>
      </c>
      <c r="H12" s="169"/>
      <c r="J12" s="40"/>
      <c r="K12" s="40">
        <f>K11/K$142</f>
        <v>0.16294751777415539</v>
      </c>
      <c r="L12" s="40">
        <f>L11/L$142</f>
        <v>0.194750615994364</v>
      </c>
      <c r="M12" s="169"/>
      <c r="O12" s="40"/>
      <c r="P12" s="40"/>
      <c r="Q12" s="40"/>
      <c r="S12" s="40"/>
      <c r="T12" s="40"/>
      <c r="U12" s="40"/>
      <c r="W12" s="40"/>
      <c r="X12" s="40"/>
      <c r="Y12" s="40"/>
      <c r="Z12" s="169"/>
      <c r="AB12" s="40"/>
      <c r="AC12" s="40">
        <f>AC11/AC$142</f>
        <v>0</v>
      </c>
      <c r="AD12" s="40">
        <f>AD11/AD$142</f>
        <v>0</v>
      </c>
    </row>
    <row r="13" spans="2:30" x14ac:dyDescent="0.3">
      <c r="C13" s="37"/>
      <c r="D13" s="107"/>
      <c r="E13" s="37"/>
      <c r="F13" s="37"/>
      <c r="G13" s="37"/>
      <c r="H13" s="171"/>
      <c r="J13" s="37"/>
      <c r="K13" s="37"/>
      <c r="L13" s="37"/>
      <c r="M13" s="171"/>
      <c r="O13" s="37"/>
      <c r="P13" s="37"/>
      <c r="Q13" s="37"/>
      <c r="S13" s="37"/>
      <c r="T13" s="37"/>
      <c r="U13" s="37"/>
      <c r="W13" s="37"/>
      <c r="X13" s="37"/>
      <c r="Y13" s="37"/>
      <c r="Z13" s="171"/>
      <c r="AB13" s="37"/>
      <c r="AC13" s="37"/>
      <c r="AD13" s="37"/>
    </row>
    <row r="14" spans="2:30" x14ac:dyDescent="0.3">
      <c r="C14" s="36" t="s">
        <v>12</v>
      </c>
      <c r="D14" s="110">
        <v>11</v>
      </c>
      <c r="E14" s="42"/>
      <c r="F14" s="42">
        <f>VLOOKUP($C14,'Segment IFRS17'!$B$460:$G$531,6,0)/1000</f>
        <v>2302151.1121499995</v>
      </c>
      <c r="G14" s="42">
        <f>VLOOKUP($C14,'Segment IFRS17'!$B$539:$G$600,6,0)/1000</f>
        <v>2689024.25923</v>
      </c>
      <c r="H14" s="132">
        <f>G14/F14-1</f>
        <v>0.16804854600473917</v>
      </c>
      <c r="J14" s="42"/>
      <c r="K14" s="42">
        <f>VLOOKUP($C14,'Segment IFRS17'!$B$460:$G$531,2,0)/1000</f>
        <v>2302151.1121499995</v>
      </c>
      <c r="L14" s="42">
        <f>VLOOKUP($C14,'Segment IFRS17'!$B$539:$G$600,2,0)/1000</f>
        <v>2689024.25923</v>
      </c>
      <c r="M14" s="132">
        <f>L14/K14-1</f>
        <v>0.16804854600473917</v>
      </c>
      <c r="O14" s="42"/>
      <c r="P14" s="42">
        <f>VLOOKUP($C14,'Segment IFRS17'!$B$460:$G$531,3,0)/1000</f>
        <v>0</v>
      </c>
      <c r="Q14" s="42">
        <f>VLOOKUP($C14,'Segment IFRS17'!$B$539:$G$600,3,0)/1000</f>
        <v>0</v>
      </c>
      <c r="S14" s="42"/>
      <c r="T14" s="42">
        <f>VLOOKUP($C14,'Segment IFRS17'!$B$460:$G$531,4,0)/1000</f>
        <v>0</v>
      </c>
      <c r="U14" s="42">
        <f>VLOOKUP($C14,'Segment IFRS17'!$B$539:$G$600,4,0)/1000</f>
        <v>0</v>
      </c>
      <c r="W14" s="42"/>
      <c r="X14" s="42">
        <f t="shared" ref="X14:Y17" si="0">P14+T14</f>
        <v>0</v>
      </c>
      <c r="Y14" s="42">
        <f t="shared" si="0"/>
        <v>0</v>
      </c>
      <c r="AB14" s="42"/>
      <c r="AC14" s="42">
        <f>VLOOKUP($C14,'Segment IFRS17'!$B$460:$G$531,5,0)/1000</f>
        <v>0</v>
      </c>
      <c r="AD14" s="42">
        <f>VLOOKUP($C14,'Segment IFRS17'!$B$539:$G$600,5,0)/1000</f>
        <v>0</v>
      </c>
    </row>
    <row r="15" spans="2:30" x14ac:dyDescent="0.3">
      <c r="C15" s="36" t="s">
        <v>3</v>
      </c>
      <c r="E15" s="42"/>
      <c r="F15" s="42">
        <f>VLOOKUP($C15,'Segment IFRS17'!$B$460:$G$531,6,0)/1000</f>
        <v>-1490314.0028859726</v>
      </c>
      <c r="G15" s="42">
        <f>VLOOKUP($C15,'Segment IFRS17'!$B$539:$G$600,6,0)/1000</f>
        <v>-1819322.5645951903</v>
      </c>
      <c r="H15" s="132">
        <f>G15/F15-1</f>
        <v>0.22076459126875081</v>
      </c>
      <c r="J15" s="42"/>
      <c r="K15" s="42">
        <f>VLOOKUP($C15,'Segment IFRS17'!$B$460:$G$531,2,0)/1000</f>
        <v>-1490234.3975959725</v>
      </c>
      <c r="L15" s="42">
        <f>VLOOKUP($C15,'Segment IFRS17'!$B$539:$G$600,2,0)/1000</f>
        <v>-1819195.2139451902</v>
      </c>
      <c r="M15" s="132">
        <f>L15/K15-1</f>
        <v>0.22074434523850295</v>
      </c>
      <c r="O15" s="42"/>
      <c r="P15" s="42">
        <f>VLOOKUP($C15,'Segment IFRS17'!$B$460:$G$531,3,0)/1000</f>
        <v>0</v>
      </c>
      <c r="Q15" s="42">
        <f>VLOOKUP($C15,'Segment IFRS17'!$B$539:$G$600,3,0)/1000</f>
        <v>0</v>
      </c>
      <c r="S15" s="42"/>
      <c r="T15" s="42">
        <f>VLOOKUP($C15,'Segment IFRS17'!$B$460:$G$531,4,0)/1000</f>
        <v>0</v>
      </c>
      <c r="U15" s="42">
        <f>VLOOKUP($C15,'Segment IFRS17'!$B$539:$G$600,4,0)/1000</f>
        <v>0</v>
      </c>
      <c r="W15" s="42"/>
      <c r="X15" s="42">
        <f t="shared" si="0"/>
        <v>0</v>
      </c>
      <c r="Y15" s="42">
        <f t="shared" si="0"/>
        <v>0</v>
      </c>
      <c r="AB15" s="42"/>
      <c r="AC15" s="42">
        <f>VLOOKUP($C15,'Segment IFRS17'!$B$460:$G$531,5,0)/1000</f>
        <v>-79.605289999999997</v>
      </c>
      <c r="AD15" s="42">
        <f>VLOOKUP($C15,'Segment IFRS17'!$B$539:$G$600,5,0)/1000</f>
        <v>-127.35064999999999</v>
      </c>
    </row>
    <row r="16" spans="2:30" x14ac:dyDescent="0.3">
      <c r="C16" s="36" t="s">
        <v>88</v>
      </c>
      <c r="E16" s="42"/>
      <c r="F16" s="42">
        <f>VLOOKUP($C16,'Segment IFRS17'!$B$460:$G$531,6,0)/1000</f>
        <v>124362.27235037956</v>
      </c>
      <c r="G16" s="42">
        <f>VLOOKUP($C16,'Segment IFRS17'!$B$539:$G$600,6,0)/1000</f>
        <v>159984.89042893625</v>
      </c>
      <c r="H16" s="132">
        <f>G16/F16-1</f>
        <v>0.28644232213925114</v>
      </c>
      <c r="J16" s="42"/>
      <c r="K16" s="42">
        <f>VLOOKUP($C16,'Segment IFRS17'!$B$460:$G$531,2,0)/1000</f>
        <v>121227.68231037955</v>
      </c>
      <c r="L16" s="42">
        <f>VLOOKUP($C16,'Segment IFRS17'!$B$539:$G$600,2,0)/1000</f>
        <v>153493.88623893625</v>
      </c>
      <c r="M16" s="132">
        <f>L16/K16-1</f>
        <v>0.26616201278141616</v>
      </c>
      <c r="O16" s="42"/>
      <c r="P16" s="42">
        <f>VLOOKUP($C16,'Segment IFRS17'!$B$460:$G$531,3,0)/1000</f>
        <v>0</v>
      </c>
      <c r="Q16" s="42">
        <f>VLOOKUP($C16,'Segment IFRS17'!$B$539:$G$600,3,0)/1000</f>
        <v>0</v>
      </c>
      <c r="S16" s="42"/>
      <c r="T16" s="42">
        <f>VLOOKUP($C16,'Segment IFRS17'!$B$460:$G$531,4,0)/1000</f>
        <v>0</v>
      </c>
      <c r="U16" s="42">
        <f>VLOOKUP($C16,'Segment IFRS17'!$B$539:$G$600,4,0)/1000</f>
        <v>0</v>
      </c>
      <c r="W16" s="42"/>
      <c r="X16" s="42">
        <f t="shared" si="0"/>
        <v>0</v>
      </c>
      <c r="Y16" s="42">
        <f t="shared" si="0"/>
        <v>0</v>
      </c>
      <c r="AB16" s="42"/>
      <c r="AC16" s="42">
        <f>VLOOKUP($C16,'Segment IFRS17'!$B$460:$G$531,5,0)/1000</f>
        <v>3134.59004</v>
      </c>
      <c r="AD16" s="42">
        <f>VLOOKUP($C16,'Segment IFRS17'!$B$539:$G$600,5,0)/1000</f>
        <v>6491.0041900000006</v>
      </c>
    </row>
    <row r="17" spans="3:30" x14ac:dyDescent="0.3">
      <c r="C17" s="36" t="s">
        <v>13</v>
      </c>
      <c r="E17" s="42"/>
      <c r="F17" s="42">
        <f>VLOOKUP($C17,'Segment IFRS17'!$B$460:$G$531,6,0)/1000</f>
        <v>-15913.55636</v>
      </c>
      <c r="G17" s="42">
        <f>VLOOKUP($C17,'Segment IFRS17'!$B$539:$G$600,6,0)/1000</f>
        <v>-20510.831119999999</v>
      </c>
      <c r="H17" s="132">
        <f>G17/F17-1</f>
        <v>0.28889046898125281</v>
      </c>
      <c r="J17" s="42"/>
      <c r="K17" s="42">
        <f>VLOOKUP($C17,'Segment IFRS17'!$B$460:$G$531,2,0)/1000</f>
        <v>-15913.55636</v>
      </c>
      <c r="L17" s="42">
        <f>VLOOKUP($C17,'Segment IFRS17'!$B$539:$G$600,2,0)/1000</f>
        <v>-20510.831119999999</v>
      </c>
      <c r="M17" s="132">
        <f>L17/K17-1</f>
        <v>0.28889046898125281</v>
      </c>
      <c r="O17" s="42"/>
      <c r="P17" s="42">
        <f>VLOOKUP($C17,'Segment IFRS17'!$B$460:$G$531,3,0)/1000</f>
        <v>0</v>
      </c>
      <c r="Q17" s="42">
        <f>VLOOKUP($C17,'Segment IFRS17'!$B$539:$G$600,3,0)/1000</f>
        <v>0</v>
      </c>
      <c r="S17" s="42"/>
      <c r="T17" s="42">
        <f>VLOOKUP($C17,'Segment IFRS17'!$B$460:$G$531,4,0)/1000</f>
        <v>0</v>
      </c>
      <c r="U17" s="42">
        <f>VLOOKUP($C17,'Segment IFRS17'!$B$539:$G$600,4,0)/1000</f>
        <v>0</v>
      </c>
      <c r="W17" s="42"/>
      <c r="X17" s="42">
        <f t="shared" si="0"/>
        <v>0</v>
      </c>
      <c r="Y17" s="42">
        <f t="shared" si="0"/>
        <v>0</v>
      </c>
      <c r="AB17" s="42"/>
      <c r="AC17" s="42">
        <f>VLOOKUP($C17,'Segment IFRS17'!$B$460:$G$531,5,0)/1000</f>
        <v>0</v>
      </c>
      <c r="AD17" s="42">
        <f>VLOOKUP($C17,'Segment IFRS17'!$B$539:$G$600,5,0)/1000</f>
        <v>0</v>
      </c>
    </row>
    <row r="18" spans="3:30" x14ac:dyDescent="0.3">
      <c r="C18" s="43" t="s">
        <v>14</v>
      </c>
      <c r="D18" s="111"/>
      <c r="E18" s="44"/>
      <c r="F18" s="44">
        <f>F14+F15+F16+F17</f>
        <v>920285.82525440631</v>
      </c>
      <c r="G18" s="44">
        <f>G14+G15+G16+G17</f>
        <v>1009175.7539437459</v>
      </c>
      <c r="H18" s="170">
        <f>G18/F18-1</f>
        <v>9.6589479322651384E-2</v>
      </c>
      <c r="J18" s="44"/>
      <c r="K18" s="44">
        <f>K14+K15+K16+K17</f>
        <v>917230.84050440649</v>
      </c>
      <c r="L18" s="44">
        <f>L14+L15+L16+L17</f>
        <v>1002812.100403746</v>
      </c>
      <c r="M18" s="170" t="e">
        <f>K18/J18-1</f>
        <v>#DIV/0!</v>
      </c>
      <c r="O18" s="44"/>
      <c r="P18" s="44">
        <f>P14+P15+P16+P17</f>
        <v>0</v>
      </c>
      <c r="Q18" s="44">
        <f>Q14+Q15+Q16+Q17</f>
        <v>0</v>
      </c>
      <c r="S18" s="44"/>
      <c r="T18" s="44">
        <f>T14+T15+T16+T17</f>
        <v>0</v>
      </c>
      <c r="U18" s="44">
        <f>U14+U15+U16+U17</f>
        <v>0</v>
      </c>
      <c r="W18" s="44"/>
      <c r="X18" s="44">
        <f>X14+X15+X16+X17</f>
        <v>0</v>
      </c>
      <c r="Y18" s="44">
        <f>Y14+Y15+Y16+Y17</f>
        <v>0</v>
      </c>
      <c r="Z18" s="170"/>
      <c r="AB18" s="44"/>
      <c r="AC18" s="44">
        <f>AC14+AC15+AC16+AC17</f>
        <v>3054.9847500000001</v>
      </c>
      <c r="AD18" s="44">
        <f>AD14+AD15+AD16+AD17</f>
        <v>6363.6535400000002</v>
      </c>
    </row>
    <row r="19" spans="3:30" x14ac:dyDescent="0.3">
      <c r="C19" s="39" t="s">
        <v>54</v>
      </c>
      <c r="D19" s="109"/>
      <c r="E19" s="207"/>
      <c r="F19" s="207">
        <f>F18/AVERAGE(E115:F115)</f>
        <v>0.10776008177010424</v>
      </c>
      <c r="G19" s="207">
        <f>G18/AVERAGE(F115:G115)</f>
        <v>0.11587059867799468</v>
      </c>
      <c r="H19" s="169"/>
      <c r="J19" s="207"/>
      <c r="K19" s="207">
        <f>K18/AVERAGE(J115:K115)</f>
        <v>0.10740236094312595</v>
      </c>
      <c r="L19" s="207">
        <f>L18/AVERAGE(K115:L115)</f>
        <v>0.11513994265244354</v>
      </c>
      <c r="M19" s="169"/>
      <c r="O19" s="40"/>
      <c r="P19" s="40"/>
      <c r="Q19" s="40"/>
      <c r="S19" s="40"/>
      <c r="T19" s="40"/>
      <c r="U19" s="40"/>
      <c r="W19" s="40"/>
      <c r="X19" s="40"/>
      <c r="Y19" s="40"/>
      <c r="Z19" s="169"/>
      <c r="AB19" s="40"/>
      <c r="AC19" s="40"/>
      <c r="AD19" s="40"/>
    </row>
    <row r="20" spans="3:30" x14ac:dyDescent="0.3">
      <c r="C20" s="45"/>
      <c r="D20" s="112"/>
      <c r="E20" s="45"/>
      <c r="F20" s="45"/>
      <c r="G20" s="45"/>
      <c r="H20" s="172"/>
      <c r="J20" s="45"/>
      <c r="K20" s="45"/>
      <c r="L20" s="45"/>
      <c r="M20" s="172"/>
      <c r="O20" s="45"/>
      <c r="P20" s="45"/>
      <c r="Q20" s="45"/>
      <c r="S20" s="45"/>
      <c r="T20" s="45"/>
      <c r="U20" s="45"/>
      <c r="W20" s="45"/>
      <c r="X20" s="45"/>
      <c r="Y20" s="45"/>
      <c r="Z20" s="172"/>
      <c r="AB20" s="45"/>
      <c r="AC20" s="45"/>
      <c r="AD20" s="45"/>
    </row>
    <row r="21" spans="3:30" x14ac:dyDescent="0.3">
      <c r="C21" s="36" t="s">
        <v>15</v>
      </c>
      <c r="D21" s="110">
        <v>12</v>
      </c>
      <c r="E21" s="42"/>
      <c r="F21" s="42">
        <f>VLOOKUP($C21,'Segment IFRS17'!$B$460:$G$531,6,0)/1000</f>
        <v>218654.67965330815</v>
      </c>
      <c r="G21" s="42">
        <f>VLOOKUP($C21,'Segment IFRS17'!$B$539:$G$600,6,0)/1000</f>
        <v>212854.37812657788</v>
      </c>
      <c r="H21" s="132">
        <f>G21/F21-1</f>
        <v>-2.6527223363922658E-2</v>
      </c>
      <c r="J21" s="42"/>
      <c r="K21" s="42">
        <f>VLOOKUP($C21,'Segment IFRS17'!$B$460:$G$531,2,0)/1000</f>
        <v>203864.51470330817</v>
      </c>
      <c r="L21" s="42">
        <f>VLOOKUP($C21,'Segment IFRS17'!$B$539:$G$600,2,0)/1000</f>
        <v>202600.7996865779</v>
      </c>
      <c r="M21" s="132">
        <f>L21/K21-1</f>
        <v>-6.1987983468795305E-3</v>
      </c>
      <c r="O21" s="42"/>
      <c r="P21" s="42">
        <f>VLOOKUP($C21,'Segment IFRS17'!$B$460:$G$531,3,0)/1000</f>
        <v>0</v>
      </c>
      <c r="Q21" s="42">
        <f>VLOOKUP($C21,'Segment IFRS17'!$B$539:$G$600,3,0)/1000</f>
        <v>0</v>
      </c>
      <c r="S21" s="42"/>
      <c r="T21" s="42">
        <f>VLOOKUP($C21,'Segment IFRS17'!$B$460:$G$531,4,0)/1000</f>
        <v>0</v>
      </c>
      <c r="U21" s="42">
        <f>VLOOKUP($C21,'Segment IFRS17'!$B$539:$G$600,4,0)/1000</f>
        <v>0</v>
      </c>
      <c r="W21" s="42"/>
      <c r="X21" s="42">
        <f>P21+T21</f>
        <v>0</v>
      </c>
      <c r="Y21" s="42">
        <f>Q21+U21</f>
        <v>0</v>
      </c>
      <c r="AB21" s="42"/>
      <c r="AC21" s="42">
        <f>VLOOKUP($C21,'Segment IFRS17'!$B$460:$G$531,5,0)/1000</f>
        <v>14790.164949999998</v>
      </c>
      <c r="AD21" s="42">
        <f>VLOOKUP($C21,'Segment IFRS17'!$B$539:$G$600,5,0)/1000</f>
        <v>10253.578439999999</v>
      </c>
    </row>
    <row r="22" spans="3:30" x14ac:dyDescent="0.3">
      <c r="C22" s="39" t="s">
        <v>55</v>
      </c>
      <c r="D22" s="109"/>
      <c r="E22" s="40"/>
      <c r="F22" s="40">
        <f>F21/F$128</f>
        <v>1.9084131686048927E-2</v>
      </c>
      <c r="G22" s="40">
        <f>G21/G$128</f>
        <v>1.836790180543733E-2</v>
      </c>
      <c r="H22" s="169"/>
      <c r="J22" s="40"/>
      <c r="K22" s="40">
        <f>K21/K$128</f>
        <v>1.7793249387020506E-2</v>
      </c>
      <c r="L22" s="40">
        <f>L21/L$128</f>
        <v>1.7483086921205676E-2</v>
      </c>
      <c r="M22" s="169"/>
      <c r="O22" s="40"/>
      <c r="P22" s="40"/>
      <c r="Q22" s="40"/>
      <c r="S22" s="40"/>
      <c r="T22" s="40"/>
      <c r="U22" s="40"/>
      <c r="W22" s="40"/>
      <c r="X22" s="40"/>
      <c r="Y22" s="40"/>
      <c r="Z22" s="169"/>
      <c r="AB22" s="40"/>
      <c r="AC22" s="40">
        <f>AC21/AC$128</f>
        <v>1.2908822990284204E-3</v>
      </c>
      <c r="AD22" s="40">
        <f>AD21/AD$128</f>
        <v>8.8481488423165669E-4</v>
      </c>
    </row>
    <row r="23" spans="3:30" x14ac:dyDescent="0.3">
      <c r="C23" s="39" t="s">
        <v>99</v>
      </c>
      <c r="D23" s="109"/>
      <c r="E23" s="40"/>
      <c r="F23" s="40">
        <f>F181/F$128</f>
        <v>1.7119987583833516E-2</v>
      </c>
      <c r="G23" s="40">
        <f>G181/G$128</f>
        <v>1.7235734011622771E-2</v>
      </c>
      <c r="H23" s="169"/>
      <c r="J23" s="40"/>
      <c r="K23" s="40">
        <f>K181/K$128</f>
        <v>1.5829105284805099E-2</v>
      </c>
      <c r="L23" s="40">
        <f>L181/L$128</f>
        <v>1.6350919127391117E-2</v>
      </c>
      <c r="M23" s="169"/>
      <c r="O23" s="40"/>
      <c r="P23" s="40"/>
      <c r="Q23" s="40"/>
      <c r="S23" s="40"/>
      <c r="T23" s="40"/>
      <c r="U23" s="40"/>
      <c r="W23" s="40"/>
      <c r="X23" s="40"/>
      <c r="Y23" s="40"/>
      <c r="Z23" s="169"/>
      <c r="AB23" s="40"/>
      <c r="AC23" s="40"/>
      <c r="AD23" s="40"/>
    </row>
    <row r="24" spans="3:30" x14ac:dyDescent="0.3">
      <c r="C24" s="36" t="s">
        <v>16</v>
      </c>
      <c r="D24" s="110">
        <v>13</v>
      </c>
      <c r="E24" s="42"/>
      <c r="F24" s="42">
        <f>VLOOKUP($C24,'Segment IFRS17'!$B$460:$G$531,6,0)/1000</f>
        <v>-110908.27507647724</v>
      </c>
      <c r="G24" s="42">
        <f>VLOOKUP($C24,'Segment IFRS17'!$B$539:$G$600,6,0)/1000</f>
        <v>-96984.188978518534</v>
      </c>
      <c r="H24" s="132">
        <f>G24/F24-1</f>
        <v>-0.12554596208765567</v>
      </c>
      <c r="J24" s="42"/>
      <c r="K24" s="42">
        <f>VLOOKUP($C24,'Segment IFRS17'!$B$460:$G$531,2,0)/1000</f>
        <v>-110908.27507647724</v>
      </c>
      <c r="L24" s="42">
        <f>VLOOKUP($C24,'Segment IFRS17'!$B$539:$G$600,2,0)/1000</f>
        <v>-96984.188978518534</v>
      </c>
      <c r="M24" s="132">
        <f>L24/K24-1</f>
        <v>-0.12554596208765567</v>
      </c>
      <c r="O24" s="42"/>
      <c r="P24" s="42">
        <f>VLOOKUP($C24,'Segment IFRS17'!$B$460:$G$531,3,0)/1000</f>
        <v>0</v>
      </c>
      <c r="Q24" s="42">
        <f>VLOOKUP($C24,'Segment IFRS17'!$B$539:$G$600,3,0)/1000</f>
        <v>0</v>
      </c>
      <c r="S24" s="42"/>
      <c r="T24" s="42">
        <f>VLOOKUP($C24,'Segment IFRS17'!$B$460:$G$531,4,0)/1000</f>
        <v>0</v>
      </c>
      <c r="U24" s="42">
        <f>VLOOKUP($C24,'Segment IFRS17'!$B$539:$G$600,4,0)/1000</f>
        <v>0</v>
      </c>
      <c r="W24" s="42"/>
      <c r="X24" s="42">
        <f>P24+T24</f>
        <v>0</v>
      </c>
      <c r="Y24" s="42">
        <f>Q24+U24</f>
        <v>0</v>
      </c>
      <c r="AB24" s="42"/>
      <c r="AC24" s="42">
        <f>VLOOKUP($C24,'Segment IFRS17'!$B$460:$G$531,5,0)/1000</f>
        <v>0</v>
      </c>
      <c r="AD24" s="42">
        <f>VLOOKUP($C24,'Segment IFRS17'!$B$539:$G$600,5,0)/1000</f>
        <v>0</v>
      </c>
    </row>
    <row r="25" spans="3:30" x14ac:dyDescent="0.3">
      <c r="C25" s="39" t="s">
        <v>126</v>
      </c>
      <c r="D25" s="109"/>
      <c r="E25" s="40"/>
      <c r="F25" s="40">
        <f>-F24/F$128</f>
        <v>9.6800495191231399E-3</v>
      </c>
      <c r="G25" s="40">
        <f>-G24/G$128</f>
        <v>8.3690834809987558E-3</v>
      </c>
      <c r="H25" s="169"/>
      <c r="J25" s="40"/>
      <c r="K25" s="40">
        <f>-K24/K$128</f>
        <v>9.6800495191231399E-3</v>
      </c>
      <c r="L25" s="40">
        <f>-L24/L$128</f>
        <v>8.3690834809987558E-3</v>
      </c>
      <c r="M25" s="169"/>
      <c r="O25" s="40"/>
      <c r="P25" s="40"/>
      <c r="Q25" s="40"/>
      <c r="S25" s="40"/>
      <c r="T25" s="40"/>
      <c r="U25" s="40"/>
      <c r="W25" s="40"/>
      <c r="X25" s="40"/>
      <c r="Y25" s="40"/>
      <c r="Z25" s="169"/>
      <c r="AB25" s="40"/>
      <c r="AC25" s="40">
        <f>-AC24/AC$128</f>
        <v>0</v>
      </c>
      <c r="AD25" s="40">
        <f>-AD24/AD$128</f>
        <v>0</v>
      </c>
    </row>
    <row r="26" spans="3:30" x14ac:dyDescent="0.3">
      <c r="C26" s="39" t="s">
        <v>127</v>
      </c>
      <c r="D26" s="109"/>
      <c r="E26" s="40"/>
      <c r="F26" s="40">
        <f>-F185/F$128</f>
        <v>8.6791790335572563E-3</v>
      </c>
      <c r="G26" s="40">
        <f>-G185/G$128</f>
        <v>7.7218654007375096E-3</v>
      </c>
      <c r="H26" s="169"/>
      <c r="J26" s="40"/>
      <c r="K26" s="40">
        <f>-K185/K$128</f>
        <v>8.6791790335572563E-3</v>
      </c>
      <c r="L26" s="40">
        <f>-L185/L$128</f>
        <v>7.7218654007375096E-3</v>
      </c>
      <c r="M26" s="169"/>
      <c r="O26" s="40"/>
      <c r="P26" s="40"/>
      <c r="Q26" s="40"/>
      <c r="S26" s="40"/>
      <c r="T26" s="40"/>
      <c r="U26" s="40"/>
      <c r="W26" s="40"/>
      <c r="X26" s="40"/>
      <c r="Y26" s="40"/>
      <c r="Z26" s="169"/>
      <c r="AB26" s="40"/>
      <c r="AC26" s="40"/>
      <c r="AD26" s="40"/>
    </row>
    <row r="27" spans="3:30" x14ac:dyDescent="0.3">
      <c r="C27" s="43" t="s">
        <v>17</v>
      </c>
      <c r="D27" s="111"/>
      <c r="E27" s="44"/>
      <c r="F27" s="44">
        <f>F21+F24</f>
        <v>107746.40457683092</v>
      </c>
      <c r="G27" s="44">
        <f>G21+G24</f>
        <v>115870.18914805935</v>
      </c>
      <c r="H27" s="170">
        <f>G27/F27-1</f>
        <v>7.5397268272052509E-2</v>
      </c>
      <c r="J27" s="44"/>
      <c r="K27" s="44">
        <f>K21+K24</f>
        <v>92956.239626830939</v>
      </c>
      <c r="L27" s="44">
        <f>L21+L24</f>
        <v>105616.61070805936</v>
      </c>
      <c r="M27" s="170" t="e">
        <f>K27/J27-1</f>
        <v>#DIV/0!</v>
      </c>
      <c r="O27" s="44"/>
      <c r="P27" s="44">
        <f>P21+P24</f>
        <v>0</v>
      </c>
      <c r="Q27" s="44">
        <f>Q21+Q24</f>
        <v>0</v>
      </c>
      <c r="R27" s="44"/>
      <c r="S27" s="44"/>
      <c r="T27" s="44">
        <f>T21+T24</f>
        <v>0</v>
      </c>
      <c r="U27" s="44">
        <f>U21+U24</f>
        <v>0</v>
      </c>
      <c r="V27" s="44"/>
      <c r="W27" s="44"/>
      <c r="X27" s="44">
        <f>X21+X24</f>
        <v>0</v>
      </c>
      <c r="Y27" s="44">
        <f>Y21+Y24</f>
        <v>0</v>
      </c>
      <c r="Z27" s="170"/>
      <c r="AA27" s="49"/>
      <c r="AB27" s="44"/>
      <c r="AC27" s="44">
        <f>AC21+AC24</f>
        <v>14790.164949999998</v>
      </c>
      <c r="AD27" s="44">
        <f>AD21+AD24</f>
        <v>10253.578439999999</v>
      </c>
    </row>
    <row r="28" spans="3:30" x14ac:dyDescent="0.3">
      <c r="C28" s="39" t="s">
        <v>91</v>
      </c>
      <c r="D28" s="109"/>
      <c r="E28" s="40"/>
      <c r="F28" s="40">
        <f>F27/F$128</f>
        <v>9.4040821669257868E-3</v>
      </c>
      <c r="G28" s="40">
        <f>G27/G$128</f>
        <v>9.9988183244385746E-3</v>
      </c>
      <c r="H28" s="169"/>
      <c r="J28" s="40"/>
      <c r="K28" s="40">
        <f>K27/K$128</f>
        <v>8.1131998678973683E-3</v>
      </c>
      <c r="L28" s="40">
        <f>L27/L$128</f>
        <v>9.1140034402069203E-3</v>
      </c>
      <c r="M28" s="169"/>
      <c r="O28" s="40"/>
      <c r="P28" s="40"/>
      <c r="Q28" s="40"/>
      <c r="S28" s="40"/>
      <c r="T28" s="40"/>
      <c r="U28" s="40"/>
      <c r="W28" s="40"/>
      <c r="X28" s="40"/>
      <c r="Y28" s="40"/>
      <c r="Z28" s="169"/>
      <c r="AB28" s="40"/>
      <c r="AC28" s="40">
        <f>AC27/AC$128</f>
        <v>1.2908822990284204E-3</v>
      </c>
      <c r="AD28" s="40">
        <f>AD27/AD$128</f>
        <v>8.8481488423165669E-4</v>
      </c>
    </row>
    <row r="29" spans="3:30" x14ac:dyDescent="0.3">
      <c r="E29" s="104"/>
      <c r="F29" s="104"/>
      <c r="G29" s="104"/>
    </row>
    <row r="30" spans="3:30" x14ac:dyDescent="0.3">
      <c r="C30" s="46" t="s">
        <v>20</v>
      </c>
      <c r="D30" s="113"/>
      <c r="E30" s="47"/>
      <c r="F30" s="47">
        <f>VLOOKUP($C30,'Segment IFRS17'!$B$460:$G$531,6,0)/1000</f>
        <v>-39603.531091287499</v>
      </c>
      <c r="G30" s="47">
        <f>VLOOKUP($C30,'Segment IFRS17'!$B$539:$G$600,6,0)/1000</f>
        <v>4672.7652021675185</v>
      </c>
      <c r="H30" s="173">
        <f>G30/F30-1</f>
        <v>-1.1179886003446671</v>
      </c>
      <c r="J30" s="47"/>
      <c r="K30" s="47">
        <f>VLOOKUP($C30,'Segment IFRS17'!$B$460:$G$531,2,0)/1000</f>
        <v>-14226.626895275222</v>
      </c>
      <c r="L30" s="47">
        <f>VLOOKUP($C30,'Segment IFRS17'!$B$539:$G$600,2,0)/1000</f>
        <v>30046.692245290189</v>
      </c>
      <c r="M30" s="173">
        <f>L30/K30-1</f>
        <v>-3.1120039533242374</v>
      </c>
      <c r="O30" s="47"/>
      <c r="P30" s="47">
        <f>VLOOKUP($C30,'Segment IFRS17'!$B$460:$G$531,3,0)/1000</f>
        <v>0</v>
      </c>
      <c r="Q30" s="47">
        <f>VLOOKUP($C30,'Segment IFRS17'!$B$539:$G$600,3,0)/1000</f>
        <v>0</v>
      </c>
      <c r="S30" s="47"/>
      <c r="T30" s="47">
        <f>VLOOKUP($C30,'Segment IFRS17'!$B$460:$G$531,4,0)/1000</f>
        <v>0</v>
      </c>
      <c r="U30" s="47">
        <f>VLOOKUP($C30,'Segment IFRS17'!$B$539:$G$600,4,0)/1000</f>
        <v>0</v>
      </c>
      <c r="W30" s="47"/>
      <c r="X30" s="47">
        <f>P30+T30</f>
        <v>0</v>
      </c>
      <c r="Y30" s="47">
        <f>Q30+U30</f>
        <v>0</v>
      </c>
      <c r="Z30" s="173"/>
      <c r="AB30" s="47"/>
      <c r="AC30" s="47">
        <f>VLOOKUP($C30,'Segment IFRS17'!$B$460:$G$531,5,0)/1000</f>
        <v>-25376.904196012278</v>
      </c>
      <c r="AD30" s="47">
        <f>VLOOKUP($C30,'Segment IFRS17'!$B$539:$G$600,5,0)/1000</f>
        <v>-25373.927043122672</v>
      </c>
    </row>
    <row r="32" spans="3:30" x14ac:dyDescent="0.3">
      <c r="C32" s="36" t="s">
        <v>0</v>
      </c>
      <c r="E32" s="42"/>
      <c r="F32" s="42">
        <f>VLOOKUP($C32,'Segment IFRS17'!$B$460:$G$531,6,0)/1000</f>
        <v>5.0000000000000002E-5</v>
      </c>
      <c r="G32" s="42">
        <f>VLOOKUP($C32,'Segment IFRS17'!$B$539:$G$600,6,0)/1000</f>
        <v>0</v>
      </c>
      <c r="H32" s="132">
        <f>G32/F32-1</f>
        <v>-1</v>
      </c>
      <c r="J32" s="42"/>
      <c r="K32" s="42">
        <f>VLOOKUP($C32,'Segment IFRS17'!$B$460:$G$531,2,0)/1000</f>
        <v>5.0000000000000002E-5</v>
      </c>
      <c r="L32" s="42">
        <f>VLOOKUP($C32,'Segment IFRS17'!$B$539:$G$600,2,0)/1000</f>
        <v>0</v>
      </c>
      <c r="M32" s="132">
        <f>L32/K32-1</f>
        <v>-1</v>
      </c>
      <c r="O32" s="42"/>
      <c r="P32" s="42">
        <f>VLOOKUP($C32,'Segment IFRS17'!$B$460:$G$531,3,0)/1000</f>
        <v>0</v>
      </c>
      <c r="Q32" s="42">
        <f>VLOOKUP($C32,'Segment IFRS17'!$B$539:$G$600,3,0)/1000</f>
        <v>0</v>
      </c>
      <c r="S32" s="42"/>
      <c r="T32" s="42">
        <f>VLOOKUP($C32,'Segment IFRS17'!$B$460:$G$531,4,0)/1000</f>
        <v>0</v>
      </c>
      <c r="U32" s="42">
        <f>VLOOKUP($C32,'Segment IFRS17'!$B$539:$G$600,4,0)/1000</f>
        <v>0</v>
      </c>
      <c r="W32" s="42"/>
      <c r="X32" s="42">
        <f>P32+T32</f>
        <v>0</v>
      </c>
      <c r="Y32" s="42">
        <f>Q32+U32</f>
        <v>0</v>
      </c>
      <c r="AB32" s="42"/>
      <c r="AC32" s="42">
        <f>VLOOKUP($C32,'Segment IFRS17'!$B$460:$G$531,5,0)/1000</f>
        <v>0</v>
      </c>
      <c r="AD32" s="42">
        <f>VLOOKUP($C32,'Segment IFRS17'!$B$539:$G$600,5,0)/1000</f>
        <v>0</v>
      </c>
    </row>
    <row r="33" spans="3:30" x14ac:dyDescent="0.3">
      <c r="C33" s="36" t="s">
        <v>2</v>
      </c>
      <c r="E33" s="42"/>
      <c r="F33" s="42">
        <f>VLOOKUP($C33,'Segment IFRS17'!$B$460:$G$531,6,0)/1000</f>
        <v>-5.2000000000000006E-4</v>
      </c>
      <c r="G33" s="42">
        <f>VLOOKUP($C33,'Segment IFRS17'!$B$539:$G$600,6,0)/1000</f>
        <v>-4.6999999999999999E-4</v>
      </c>
      <c r="H33" s="132">
        <f>G33/F33-1</f>
        <v>-9.6153846153846256E-2</v>
      </c>
      <c r="J33" s="42"/>
      <c r="K33" s="42">
        <f>VLOOKUP($C33,'Segment IFRS17'!$B$460:$G$531,2,0)/1000</f>
        <v>-5.2000000000000006E-4</v>
      </c>
      <c r="L33" s="42">
        <f>VLOOKUP($C33,'Segment IFRS17'!$B$539:$G$600,2,0)/1000</f>
        <v>-4.6999999999999999E-4</v>
      </c>
      <c r="M33" s="132">
        <f>L33/K33-1</f>
        <v>-9.6153846153846256E-2</v>
      </c>
      <c r="O33" s="42"/>
      <c r="P33" s="42">
        <f>VLOOKUP($C33,'Segment IFRS17'!$B$460:$G$531,3,0)/1000</f>
        <v>0</v>
      </c>
      <c r="Q33" s="42">
        <f>VLOOKUP($C33,'Segment IFRS17'!$B$539:$G$600,3,0)/1000</f>
        <v>0</v>
      </c>
      <c r="S33" s="42"/>
      <c r="T33" s="42">
        <f>VLOOKUP($C33,'Segment IFRS17'!$B$460:$G$531,4,0)/1000</f>
        <v>0</v>
      </c>
      <c r="U33" s="42">
        <f>VLOOKUP($C33,'Segment IFRS17'!$B$539:$G$600,4,0)/1000</f>
        <v>0</v>
      </c>
      <c r="W33" s="42"/>
      <c r="X33" s="42">
        <f>P33+T33</f>
        <v>0</v>
      </c>
      <c r="Y33" s="42">
        <f>Q33+U33</f>
        <v>0</v>
      </c>
      <c r="AB33" s="42"/>
      <c r="AC33" s="42">
        <f>VLOOKUP($C33,'Segment IFRS17'!$B$460:$G$531,5,0)/1000</f>
        <v>0</v>
      </c>
      <c r="AD33" s="42">
        <f>VLOOKUP($C33,'Segment IFRS17'!$B$539:$G$600,5,0)/1000</f>
        <v>0</v>
      </c>
    </row>
    <row r="34" spans="3:30" x14ac:dyDescent="0.3">
      <c r="C34" s="43" t="s">
        <v>21</v>
      </c>
      <c r="D34" s="111"/>
      <c r="E34" s="44"/>
      <c r="F34" s="44">
        <f>SUM(F32:F33)</f>
        <v>-4.7000000000000004E-4</v>
      </c>
      <c r="G34" s="44">
        <f>SUM(G32:G33)</f>
        <v>-4.6999999999999999E-4</v>
      </c>
      <c r="H34" s="170"/>
      <c r="J34" s="44"/>
      <c r="K34" s="44">
        <f>SUM(K32:K33)</f>
        <v>-4.7000000000000004E-4</v>
      </c>
      <c r="L34" s="44">
        <f>SUM(L32:L33)</f>
        <v>-4.6999999999999999E-4</v>
      </c>
      <c r="M34" s="170"/>
      <c r="N34" s="44"/>
      <c r="O34" s="44"/>
      <c r="P34" s="44">
        <f>SUM(P32:P33)</f>
        <v>0</v>
      </c>
      <c r="Q34" s="44">
        <f>SUM(Q32:Q33)</f>
        <v>0</v>
      </c>
      <c r="R34" s="44"/>
      <c r="S34" s="44"/>
      <c r="T34" s="44">
        <f>SUM(T32:T33)</f>
        <v>0</v>
      </c>
      <c r="U34" s="44">
        <f>SUM(U32:U33)</f>
        <v>0</v>
      </c>
      <c r="V34" s="44"/>
      <c r="W34" s="44"/>
      <c r="X34" s="44">
        <f>SUM(X32:X33)</f>
        <v>0</v>
      </c>
      <c r="Y34" s="44">
        <f>SUM(Y32:Y33)</f>
        <v>0</v>
      </c>
      <c r="Z34" s="170"/>
      <c r="AA34" s="49"/>
      <c r="AB34" s="44"/>
      <c r="AC34" s="44">
        <f>SUM(AC32:AC33)</f>
        <v>0</v>
      </c>
      <c r="AD34" s="44">
        <f>SUM(AD32:AD33)</f>
        <v>0</v>
      </c>
    </row>
    <row r="35" spans="3:30" ht="13.5" thickBot="1" x14ac:dyDescent="0.35">
      <c r="C35" s="50" t="s">
        <v>22</v>
      </c>
      <c r="D35" s="114"/>
      <c r="E35" s="51"/>
      <c r="F35" s="51">
        <f>ROUND(F18+F27+F11+F30+F34,0)</f>
        <v>1979278</v>
      </c>
      <c r="G35" s="51">
        <f>ROUND(G18+G27+G11+G30+G34,0)</f>
        <v>2206585</v>
      </c>
      <c r="H35" s="174">
        <f>G35/F35-1</f>
        <v>0.11484339238853769</v>
      </c>
      <c r="I35" s="133"/>
      <c r="J35" s="51"/>
      <c r="K35" s="51">
        <f>ROUND(K18+K27+K11+K30+K34,0)</f>
        <v>1986810</v>
      </c>
      <c r="L35" s="51">
        <f>ROUND(L18+L27+L11+L30+L34,0)</f>
        <v>2215342</v>
      </c>
      <c r="M35" s="174">
        <f t="shared" ref="M35:M36" si="1">L35/K35-1</f>
        <v>0.11502458715226926</v>
      </c>
      <c r="N35" s="52"/>
      <c r="O35" s="51"/>
      <c r="P35" s="51">
        <f>ROUND(P18+P27+P11+P30+P34,0)</f>
        <v>0</v>
      </c>
      <c r="Q35" s="51">
        <f>ROUND(Q18+Q27+Q11+Q30+Q34,0)</f>
        <v>0</v>
      </c>
      <c r="R35" s="52"/>
      <c r="S35" s="51"/>
      <c r="T35" s="51">
        <f>ROUND(T18+T27+T11+T30+T34,0)</f>
        <v>0</v>
      </c>
      <c r="U35" s="51">
        <f>ROUND(U18+U27+U11+U30+U34,0)</f>
        <v>0</v>
      </c>
      <c r="V35" s="52"/>
      <c r="W35" s="51"/>
      <c r="X35" s="51">
        <f>ROUND(X18+X27+X11+X30+X34,0)</f>
        <v>0</v>
      </c>
      <c r="Y35" s="51">
        <f>ROUND(Y18+Y27+Y11+Y30+Y34,0)</f>
        <v>0</v>
      </c>
      <c r="Z35" s="174"/>
      <c r="AA35" s="53"/>
      <c r="AB35" s="51"/>
      <c r="AC35" s="51">
        <f>ROUND(AC18+AC27+AC11+AC30+AC34,0)</f>
        <v>-7532</v>
      </c>
      <c r="AD35" s="51">
        <f>ROUND(AD18+AD27+AD11+AD30+AD34,0)</f>
        <v>-8757</v>
      </c>
    </row>
    <row r="36" spans="3:30" ht="13.5" thickTop="1" x14ac:dyDescent="0.3">
      <c r="C36" s="39" t="s">
        <v>58</v>
      </c>
      <c r="D36" s="109"/>
      <c r="E36" s="41"/>
      <c r="F36" s="41">
        <f>(F35-F24-F17-F15-F10)/1000</f>
        <v>3858.0830975924496</v>
      </c>
      <c r="G36" s="41">
        <f>(G35-G24-G17-G15-G10)/1000</f>
        <v>4383.8360223337086</v>
      </c>
      <c r="H36" s="169"/>
      <c r="I36" s="104"/>
      <c r="J36" s="41"/>
      <c r="K36" s="41">
        <f>(K35-K24-K17-K15-K10)/1000</f>
        <v>3865.5354923024493</v>
      </c>
      <c r="L36" s="41">
        <f>(L35-L24-L17-L15-L10)/1000</f>
        <v>4392.4656716837089</v>
      </c>
      <c r="M36" s="169">
        <f t="shared" si="1"/>
        <v>0.13631492465417816</v>
      </c>
      <c r="O36" s="41"/>
      <c r="P36" s="41"/>
      <c r="Q36" s="41"/>
      <c r="S36" s="41"/>
      <c r="T36" s="41"/>
      <c r="U36" s="41"/>
      <c r="W36" s="41"/>
      <c r="X36" s="41"/>
      <c r="Y36" s="41"/>
      <c r="Z36" s="169"/>
      <c r="AB36" s="41"/>
      <c r="AC36" s="41">
        <f>(AC35-AC24-AC17-AC15-AC10)/1000</f>
        <v>-7.4523947099999992</v>
      </c>
      <c r="AD36" s="41">
        <f>(AD35-AD24-AD17-AD15-AD10)/1000</f>
        <v>-8.6296493499999993</v>
      </c>
    </row>
    <row r="37" spans="3:30" x14ac:dyDescent="0.3">
      <c r="C37" s="39" t="s">
        <v>59</v>
      </c>
      <c r="D37" s="109"/>
      <c r="E37" s="40"/>
      <c r="F37" s="40">
        <f>(F36*1000)/F139</f>
        <v>0.33172480350790473</v>
      </c>
      <c r="G37" s="40">
        <f>(G36*1000)/G139</f>
        <v>0.37131194798550987</v>
      </c>
      <c r="H37" s="169"/>
      <c r="I37" s="104"/>
      <c r="J37" s="40"/>
      <c r="K37" s="40">
        <f>(K36*1000)/K139</f>
        <v>0.33236557357643448</v>
      </c>
      <c r="L37" s="40">
        <f>(L36*1000)/L139</f>
        <v>0.37204288132659658</v>
      </c>
      <c r="M37" s="169"/>
      <c r="O37" s="40"/>
      <c r="P37" s="40"/>
      <c r="Q37" s="40"/>
      <c r="S37" s="40"/>
      <c r="T37" s="40"/>
      <c r="U37" s="40"/>
      <c r="W37" s="40"/>
      <c r="X37" s="40"/>
      <c r="Y37" s="40"/>
      <c r="Z37" s="169"/>
      <c r="AB37" s="40"/>
      <c r="AC37" s="40">
        <f>(AC36*1000)/AC139</f>
        <v>-6.4077006852983147E-4</v>
      </c>
      <c r="AD37" s="40">
        <f>(AD36*1000)/AD139</f>
        <v>-7.3093334108665026E-4</v>
      </c>
    </row>
    <row r="38" spans="3:30" x14ac:dyDescent="0.3">
      <c r="C38" s="39" t="s">
        <v>60</v>
      </c>
      <c r="D38" s="109"/>
      <c r="E38" s="40"/>
      <c r="F38" s="40">
        <f>(F36*1000)/AVERAGE(E123:F123)</f>
        <v>0.18254407766930325</v>
      </c>
      <c r="G38" s="40">
        <f>(G36*1000)/AVERAGE(F123:G123)</f>
        <v>0.21470993128762964</v>
      </c>
      <c r="H38" s="169"/>
      <c r="I38" s="104"/>
      <c r="J38" s="40"/>
      <c r="K38" s="40">
        <f>(K36*1000)/AVERAGE(J123:K123)</f>
        <v>0.18289668555367292</v>
      </c>
      <c r="L38" s="40">
        <f>(L36*1000)/AVERAGE(K123:L123)</f>
        <v>0.21513259112470734</v>
      </c>
      <c r="M38" s="169"/>
      <c r="O38" s="40"/>
      <c r="P38" s="40"/>
      <c r="Q38" s="40"/>
      <c r="S38" s="40"/>
      <c r="T38" s="40"/>
      <c r="U38" s="40"/>
      <c r="W38" s="40"/>
      <c r="X38" s="40"/>
      <c r="Y38" s="40"/>
      <c r="Z38" s="169"/>
      <c r="AB38" s="40"/>
      <c r="AC38" s="40">
        <f>(AC36*1000)/AVERAGE(AB123:AC123)</f>
        <v>-3.5260788436969277E-4</v>
      </c>
      <c r="AD38" s="40">
        <f>(AD36*1000)/AVERAGE(AC123:AD123)</f>
        <v>-4.2265983707768178E-4</v>
      </c>
    </row>
    <row r="39" spans="3:30" x14ac:dyDescent="0.3">
      <c r="C39" s="45"/>
      <c r="D39" s="112"/>
      <c r="E39" s="45"/>
      <c r="F39" s="45"/>
      <c r="G39" s="45"/>
      <c r="H39" s="172"/>
      <c r="I39" s="104"/>
      <c r="J39" s="45"/>
      <c r="K39" s="45"/>
      <c r="L39" s="45"/>
      <c r="M39" s="172"/>
      <c r="O39" s="45"/>
      <c r="P39" s="45"/>
      <c r="Q39" s="45"/>
      <c r="S39" s="45"/>
      <c r="T39" s="45"/>
      <c r="U39" s="45"/>
      <c r="W39" s="45"/>
      <c r="X39" s="45"/>
      <c r="Y39" s="45"/>
      <c r="Z39" s="172"/>
      <c r="AB39" s="45"/>
      <c r="AC39" s="45"/>
      <c r="AD39" s="45"/>
    </row>
    <row r="40" spans="3:30" x14ac:dyDescent="0.3">
      <c r="C40" s="37" t="s">
        <v>23</v>
      </c>
      <c r="D40" s="107"/>
      <c r="E40" s="37"/>
      <c r="F40" s="37"/>
      <c r="G40" s="37"/>
      <c r="H40" s="171"/>
      <c r="I40" s="104"/>
      <c r="J40" s="37"/>
      <c r="K40" s="37"/>
      <c r="L40" s="37"/>
      <c r="M40" s="171"/>
      <c r="O40" s="37"/>
      <c r="P40" s="37"/>
      <c r="Q40" s="37"/>
      <c r="S40" s="37"/>
      <c r="T40" s="37"/>
      <c r="U40" s="37"/>
      <c r="W40" s="37"/>
      <c r="X40" s="37"/>
      <c r="Y40" s="37"/>
      <c r="Z40" s="171"/>
      <c r="AB40" s="37"/>
      <c r="AC40" s="37"/>
      <c r="AD40" s="37"/>
    </row>
    <row r="41" spans="3:30" ht="14.5" x14ac:dyDescent="0.35">
      <c r="C41" t="s">
        <v>241</v>
      </c>
      <c r="E41" s="42"/>
      <c r="F41" s="42">
        <f>VLOOKUP($C41,'Segment IFRS17'!$B$460:$G$531,6,0)/1000</f>
        <v>1827698.2839245198</v>
      </c>
      <c r="G41" s="42">
        <f>VLOOKUP($C41,'Segment IFRS17'!$B$539:$G$600,6,0)/1000</f>
        <v>2887720.1060677501</v>
      </c>
      <c r="H41" s="132">
        <f t="shared" ref="H41:H49" si="2">G41/F41-1</f>
        <v>0.5799763732704839</v>
      </c>
      <c r="I41" s="104"/>
      <c r="J41" s="42"/>
      <c r="K41" s="42">
        <f>VLOOKUP($C41,'Segment IFRS17'!$B$460:$G$531,2,0)/1000</f>
        <v>0</v>
      </c>
      <c r="L41" s="42">
        <f>VLOOKUP($C41,'Segment IFRS17'!$B$539:$G$600,2,0)/1000</f>
        <v>0</v>
      </c>
      <c r="O41" s="42"/>
      <c r="P41" s="42">
        <f>VLOOKUP($C41,'Segment IFRS17'!$B$460:$G$531,3,0)/1000</f>
        <v>1827698.2839245198</v>
      </c>
      <c r="Q41" s="42">
        <f>VLOOKUP($C41,'Segment IFRS17'!$B$539:$G$600,3,0)/1000</f>
        <v>2887720.1060677501</v>
      </c>
      <c r="S41" s="42"/>
      <c r="T41" s="42">
        <f>VLOOKUP($C41,'Segment IFRS17'!$B$460:$G$531,4,0)/1000</f>
        <v>0</v>
      </c>
      <c r="U41" s="42">
        <f>VLOOKUP($C41,'Segment IFRS17'!$B$539:$G$600,4,0)/1000</f>
        <v>0</v>
      </c>
      <c r="W41" s="42"/>
      <c r="X41" s="42">
        <f>P41+T41</f>
        <v>1827698.2839245198</v>
      </c>
      <c r="Y41" s="42">
        <f>Q41+U41</f>
        <v>2887720.1060677501</v>
      </c>
      <c r="Z41" s="132">
        <f>Y41/X41-1</f>
        <v>0.5799763732704839</v>
      </c>
      <c r="AB41" s="42"/>
      <c r="AC41" s="42">
        <f>VLOOKUP($C41,'Segment IFRS17'!$B$460:$G$531,5,0)/1000</f>
        <v>0</v>
      </c>
      <c r="AD41" s="42">
        <f>VLOOKUP($C41,'Segment IFRS17'!$B$539:$G$600,5,0)/1000</f>
        <v>0</v>
      </c>
    </row>
    <row r="42" spans="3:30" ht="14.5" x14ac:dyDescent="0.35">
      <c r="C42" t="s">
        <v>231</v>
      </c>
      <c r="E42" s="42"/>
      <c r="F42" s="42">
        <f>VLOOKUP($C42,'Segment IFRS17'!$B$460:$G$531,6,0)/1000</f>
        <v>-1595785.1019923722</v>
      </c>
      <c r="G42" s="42">
        <f>VLOOKUP($C42,'Segment IFRS17'!$B$539:$G$600,6,0)/1000</f>
        <v>-2552880.6671756958</v>
      </c>
      <c r="H42" s="132">
        <f t="shared" si="2"/>
        <v>0.59976469512616015</v>
      </c>
      <c r="I42" s="104"/>
      <c r="J42" s="42"/>
      <c r="K42" s="42">
        <f>VLOOKUP($C42,'Segment IFRS17'!$B$460:$G$531,2,0)/1000</f>
        <v>0</v>
      </c>
      <c r="L42" s="42">
        <f>VLOOKUP($C42,'Segment IFRS17'!$B$539:$G$600,2,0)/1000</f>
        <v>0</v>
      </c>
      <c r="O42" s="42"/>
      <c r="P42" s="42">
        <f>VLOOKUP($C42,'Segment IFRS17'!$B$460:$G$531,3,0)/1000</f>
        <v>-1595785.1019923722</v>
      </c>
      <c r="Q42" s="42">
        <f>VLOOKUP($C42,'Segment IFRS17'!$B$539:$G$600,3,0)/1000</f>
        <v>-2552880.6671756958</v>
      </c>
      <c r="S42" s="42"/>
      <c r="T42" s="42">
        <f>VLOOKUP($C42,'Segment IFRS17'!$B$460:$G$531,4,0)/1000</f>
        <v>0</v>
      </c>
      <c r="U42" s="42">
        <f>VLOOKUP($C42,'Segment IFRS17'!$B$539:$G$600,4,0)/1000</f>
        <v>0</v>
      </c>
      <c r="W42" s="42"/>
      <c r="X42" s="42">
        <f>P42+T42</f>
        <v>-1595785.1019923722</v>
      </c>
      <c r="Y42" s="42">
        <f>Q42+U42</f>
        <v>-2552880.6671756958</v>
      </c>
      <c r="Z42" s="132">
        <f t="shared" ref="Z42:Z49" si="3">Y42/X42-1</f>
        <v>0.59976469512616015</v>
      </c>
      <c r="AB42" s="42"/>
      <c r="AC42" s="42">
        <f>VLOOKUP($C42,'Segment IFRS17'!$B$460:$G$531,5,0)/1000</f>
        <v>0</v>
      </c>
      <c r="AD42" s="42">
        <f>VLOOKUP($C42,'Segment IFRS17'!$B$539:$G$600,5,0)/1000</f>
        <v>0</v>
      </c>
    </row>
    <row r="43" spans="3:30" ht="13.5" thickBot="1" x14ac:dyDescent="0.35">
      <c r="C43" s="54" t="s">
        <v>238</v>
      </c>
      <c r="D43" s="115"/>
      <c r="E43" s="55"/>
      <c r="F43" s="55">
        <f>SUM(F41:F42)</f>
        <v>231913.18193214759</v>
      </c>
      <c r="G43" s="55">
        <f>SUM(G41:G42)</f>
        <v>334839.43889205437</v>
      </c>
      <c r="H43" s="175">
        <f t="shared" si="2"/>
        <v>0.44381374142855146</v>
      </c>
      <c r="I43" s="104"/>
      <c r="J43" s="55"/>
      <c r="K43" s="55">
        <f>SUM(K41:K42)</f>
        <v>0</v>
      </c>
      <c r="L43" s="55">
        <f>SUM(L41:L42)</f>
        <v>0</v>
      </c>
      <c r="M43" s="175"/>
      <c r="O43" s="55"/>
      <c r="P43" s="55">
        <f>SUM(P41:P42)</f>
        <v>231913.18193214759</v>
      </c>
      <c r="Q43" s="55">
        <f>SUM(Q41:Q42)</f>
        <v>334839.43889205437</v>
      </c>
      <c r="S43" s="55"/>
      <c r="T43" s="55">
        <f>SUM(T41:T42)</f>
        <v>0</v>
      </c>
      <c r="U43" s="55">
        <f>SUM(U41:U42)</f>
        <v>0</v>
      </c>
      <c r="W43" s="55"/>
      <c r="X43" s="55">
        <f>SUM(X41:X42)</f>
        <v>231913.18193214759</v>
      </c>
      <c r="Y43" s="55">
        <f>SUM(Y41:Y42)</f>
        <v>334839.43889205437</v>
      </c>
      <c r="Z43" s="175">
        <f t="shared" si="3"/>
        <v>0.44381374142855146</v>
      </c>
      <c r="AB43" s="55"/>
      <c r="AC43" s="55">
        <f>SUM(AC41:AC42)</f>
        <v>0</v>
      </c>
      <c r="AD43" s="55">
        <f>SUM(AD41:AD42)</f>
        <v>0</v>
      </c>
    </row>
    <row r="44" spans="3:30" ht="15" thickTop="1" x14ac:dyDescent="0.35">
      <c r="C44" t="s">
        <v>233</v>
      </c>
      <c r="D44" s="109"/>
      <c r="E44" s="40"/>
      <c r="F44" s="42">
        <f>VLOOKUP($C44,'Segment IFRS17'!$B$460:$G$531,6,0)/1000</f>
        <v>-504027.8350267983</v>
      </c>
      <c r="G44" s="42">
        <f>VLOOKUP($C44,'Segment IFRS17'!$B$539:$G$600,6,0)/1000</f>
        <v>-811785.92702073592</v>
      </c>
      <c r="H44" s="132">
        <f t="shared" si="2"/>
        <v>0.61059741269561951</v>
      </c>
      <c r="I44" s="104"/>
      <c r="J44" s="42"/>
      <c r="K44" s="42">
        <f>VLOOKUP($C44,'Segment IFRS17'!$B$460:$G$531,2,0)/1000</f>
        <v>0</v>
      </c>
      <c r="L44" s="42">
        <f>VLOOKUP($C44,'Segment IFRS17'!$B$539:$G$600,2,0)/1000</f>
        <v>0</v>
      </c>
      <c r="O44" s="42"/>
      <c r="P44" s="42">
        <f>VLOOKUP($C44,'Segment IFRS17'!$B$460:$G$531,3,0)/1000</f>
        <v>-504027.8350267983</v>
      </c>
      <c r="Q44" s="42">
        <f>VLOOKUP($C44,'Segment IFRS17'!$B$539:$G$600,3,0)/1000</f>
        <v>-811785.92702073592</v>
      </c>
      <c r="S44" s="42"/>
      <c r="T44" s="42">
        <f>VLOOKUP($C44,'Segment IFRS17'!$B$460:$G$531,4,0)/1000</f>
        <v>0</v>
      </c>
      <c r="U44" s="42">
        <f>VLOOKUP($C44,'Segment IFRS17'!$B$539:$G$600,4,0)/1000</f>
        <v>0</v>
      </c>
      <c r="W44" s="42"/>
      <c r="X44" s="42">
        <f>P44+T44</f>
        <v>-504027.8350267983</v>
      </c>
      <c r="Y44" s="42">
        <f>Q44+U44</f>
        <v>-811785.92702073592</v>
      </c>
      <c r="Z44" s="132">
        <f t="shared" si="3"/>
        <v>0.61059741269561951</v>
      </c>
      <c r="AB44" s="42"/>
      <c r="AC44" s="42">
        <f>VLOOKUP($C44,'Segment IFRS17'!$B$460:$G$531,5,0)/1000</f>
        <v>0</v>
      </c>
      <c r="AD44" s="42">
        <f>VLOOKUP($C44,'Segment IFRS17'!$B$539:$G$600,5,0)/1000</f>
        <v>0</v>
      </c>
    </row>
    <row r="45" spans="3:30" ht="14.5" x14ac:dyDescent="0.35">
      <c r="C45" t="s">
        <v>234</v>
      </c>
      <c r="D45" s="109"/>
      <c r="E45" s="40"/>
      <c r="F45" s="42">
        <f>VLOOKUP($C45,'Segment IFRS17'!$B$460:$G$531,6,0)/1000</f>
        <v>497517.27939707419</v>
      </c>
      <c r="G45" s="42">
        <f>VLOOKUP($C45,'Segment IFRS17'!$B$539:$G$600,6,0)/1000</f>
        <v>756192.65950978734</v>
      </c>
      <c r="H45" s="132">
        <f t="shared" si="2"/>
        <v>0.51993245425805878</v>
      </c>
      <c r="I45" s="104"/>
      <c r="J45" s="42"/>
      <c r="K45" s="42">
        <f>VLOOKUP($C45,'Segment IFRS17'!$B$460:$G$531,2,0)/1000</f>
        <v>0</v>
      </c>
      <c r="L45" s="42">
        <f>VLOOKUP($C45,'Segment IFRS17'!$B$539:$G$600,2,0)/1000</f>
        <v>0</v>
      </c>
      <c r="O45" s="42"/>
      <c r="P45" s="42">
        <f>VLOOKUP($C45,'Segment IFRS17'!$B$460:$G$531,3,0)/1000</f>
        <v>497517.27939707419</v>
      </c>
      <c r="Q45" s="42">
        <f>VLOOKUP($C45,'Segment IFRS17'!$B$539:$G$600,3,0)/1000</f>
        <v>756192.65950978734</v>
      </c>
      <c r="S45" s="42"/>
      <c r="T45" s="42">
        <f>VLOOKUP($C45,'Segment IFRS17'!$B$460:$G$531,4,0)/1000</f>
        <v>0</v>
      </c>
      <c r="U45" s="42">
        <f>VLOOKUP($C45,'Segment IFRS17'!$B$539:$G$600,4,0)/1000</f>
        <v>0</v>
      </c>
      <c r="W45" s="42"/>
      <c r="X45" s="42">
        <f>P45+T45</f>
        <v>497517.27939707419</v>
      </c>
      <c r="Y45" s="42">
        <f>Q45+U45</f>
        <v>756192.65950978734</v>
      </c>
      <c r="Z45" s="132">
        <f t="shared" si="3"/>
        <v>0.51993245425805878</v>
      </c>
      <c r="AB45" s="42"/>
      <c r="AC45" s="42">
        <f>VLOOKUP($C45,'Segment IFRS17'!$B$460:$G$531,5,0)/1000</f>
        <v>0</v>
      </c>
      <c r="AD45" s="42">
        <f>VLOOKUP($C45,'Segment IFRS17'!$B$539:$G$600,5,0)/1000</f>
        <v>0</v>
      </c>
    </row>
    <row r="46" spans="3:30" ht="13.5" thickBot="1" x14ac:dyDescent="0.35">
      <c r="C46" s="54" t="s">
        <v>239</v>
      </c>
      <c r="D46" s="115">
        <v>15</v>
      </c>
      <c r="E46" s="55"/>
      <c r="F46" s="55">
        <f>SUM(F44:F45)</f>
        <v>-6510.5556297241128</v>
      </c>
      <c r="G46" s="55">
        <f>SUM(G44:G45)</f>
        <v>-55593.267510948586</v>
      </c>
      <c r="H46" s="175">
        <f t="shared" si="2"/>
        <v>7.5389436282728415</v>
      </c>
      <c r="I46" s="104"/>
      <c r="J46" s="55"/>
      <c r="K46" s="55">
        <f>SUM(K44:K45)</f>
        <v>0</v>
      </c>
      <c r="L46" s="55">
        <f>SUM(L44:L45)</f>
        <v>0</v>
      </c>
      <c r="M46" s="175"/>
      <c r="O46" s="55"/>
      <c r="P46" s="55">
        <f>SUM(P44:P45)</f>
        <v>-6510.5556297241128</v>
      </c>
      <c r="Q46" s="55">
        <f>SUM(Q44:Q45)</f>
        <v>-55593.267510948586</v>
      </c>
      <c r="S46" s="55"/>
      <c r="T46" s="55">
        <f>SUM(T44:T45)</f>
        <v>0</v>
      </c>
      <c r="U46" s="55">
        <f>SUM(U44:U45)</f>
        <v>0</v>
      </c>
      <c r="W46" s="55"/>
      <c r="X46" s="55">
        <f>SUM(X44:X45)</f>
        <v>-6510.5556297241128</v>
      </c>
      <c r="Y46" s="55">
        <f>SUM(Y44:Y45)</f>
        <v>-55593.267510948586</v>
      </c>
      <c r="Z46" s="175">
        <f t="shared" si="3"/>
        <v>7.5389436282728415</v>
      </c>
      <c r="AB46" s="55"/>
      <c r="AC46" s="55">
        <f>SUM(AC44:AC45)</f>
        <v>0</v>
      </c>
      <c r="AD46" s="55">
        <f>SUM(AD44:AD45)</f>
        <v>0</v>
      </c>
    </row>
    <row r="47" spans="3:30" ht="13.5" thickTop="1" x14ac:dyDescent="0.3">
      <c r="C47" s="36" t="s">
        <v>236</v>
      </c>
      <c r="D47" s="109"/>
      <c r="E47" s="40"/>
      <c r="F47" s="42">
        <f>VLOOKUP($C47,'Segment IFRS17'!$B$460:$G$531,6,0)/1000</f>
        <v>-44011.834814542999</v>
      </c>
      <c r="G47" s="42">
        <f>VLOOKUP($C47,'Segment IFRS17'!$B$539:$G$600,6,0)/1000</f>
        <v>-67754.352668435342</v>
      </c>
      <c r="H47" s="132">
        <f t="shared" si="2"/>
        <v>0.53945757894299406</v>
      </c>
      <c r="I47" s="104"/>
      <c r="J47" s="42"/>
      <c r="K47" s="42">
        <f>VLOOKUP($C47,'Segment IFRS17'!$B$460:$G$531,2,0)/1000</f>
        <v>0</v>
      </c>
      <c r="L47" s="42">
        <f>VLOOKUP($C47,'Segment IFRS17'!$B$539:$G$600,2,0)/1000</f>
        <v>0</v>
      </c>
      <c r="O47" s="42"/>
      <c r="P47" s="42">
        <f>VLOOKUP($C47,'Segment IFRS17'!$B$460:$G$531,3,0)/1000</f>
        <v>-44011.834814542999</v>
      </c>
      <c r="Q47" s="42">
        <f>VLOOKUP($C47,'Segment IFRS17'!$B$539:$G$600,3,0)/1000</f>
        <v>-67754.352668435342</v>
      </c>
      <c r="S47" s="42"/>
      <c r="T47" s="42">
        <f>VLOOKUP($C47,'Segment IFRS17'!$B$460:$G$531,4,0)/1000</f>
        <v>0</v>
      </c>
      <c r="U47" s="42">
        <f>VLOOKUP($C47,'Segment IFRS17'!$B$539:$G$600,4,0)/1000</f>
        <v>0</v>
      </c>
      <c r="W47" s="42"/>
      <c r="X47" s="42">
        <f>P47+T47</f>
        <v>-44011.834814542999</v>
      </c>
      <c r="Y47" s="42">
        <f>Q47+U47</f>
        <v>-67754.352668435342</v>
      </c>
      <c r="Z47" s="132">
        <f t="shared" si="3"/>
        <v>0.53945757894299406</v>
      </c>
      <c r="AB47" s="42"/>
      <c r="AC47" s="42">
        <f>VLOOKUP($C47,'Segment IFRS17'!$B$460:$G$531,5,0)/1000</f>
        <v>0</v>
      </c>
      <c r="AD47" s="42">
        <f>VLOOKUP($C47,'Segment IFRS17'!$B$539:$G$600,5,0)/1000</f>
        <v>0</v>
      </c>
    </row>
    <row r="48" spans="3:30" x14ac:dyDescent="0.3">
      <c r="C48" s="36" t="s">
        <v>237</v>
      </c>
      <c r="E48" s="42"/>
      <c r="F48" s="42">
        <f>VLOOKUP($C48,'Segment IFRS17'!$B$460:$G$531,6,0)/1000</f>
        <v>24252.507678012</v>
      </c>
      <c r="G48" s="42">
        <f>VLOOKUP($C48,'Segment IFRS17'!$B$539:$G$600,6,0)/1000</f>
        <v>34779.687617829812</v>
      </c>
      <c r="H48" s="132">
        <f t="shared" si="2"/>
        <v>0.43406562651506952</v>
      </c>
      <c r="I48" s="104"/>
      <c r="J48" s="42"/>
      <c r="K48" s="42">
        <f>VLOOKUP($C48,'Segment IFRS17'!$B$460:$G$531,2,0)/1000</f>
        <v>0</v>
      </c>
      <c r="L48" s="42">
        <f>VLOOKUP($C48,'Segment IFRS17'!$B$539:$G$600,2,0)/1000</f>
        <v>0</v>
      </c>
      <c r="O48" s="42"/>
      <c r="P48" s="42">
        <f>VLOOKUP($C48,'Segment IFRS17'!$B$460:$G$531,3,0)/1000</f>
        <v>24252.507678012</v>
      </c>
      <c r="Q48" s="42">
        <f>VLOOKUP($C48,'Segment IFRS17'!$B$539:$G$600,3,0)/1000</f>
        <v>34779.687617829812</v>
      </c>
      <c r="S48" s="42"/>
      <c r="T48" s="42">
        <f>VLOOKUP($C48,'Segment IFRS17'!$B$460:$G$531,4,0)/1000</f>
        <v>0</v>
      </c>
      <c r="U48" s="42">
        <f>VLOOKUP($C48,'Segment IFRS17'!$B$539:$G$600,4,0)/1000</f>
        <v>0</v>
      </c>
      <c r="W48" s="42"/>
      <c r="X48" s="42">
        <f>P48+T48</f>
        <v>24252.507678012</v>
      </c>
      <c r="Y48" s="42">
        <f>Q48+U48</f>
        <v>34779.687617829812</v>
      </c>
      <c r="Z48" s="132">
        <f t="shared" si="3"/>
        <v>0.43406562651506952</v>
      </c>
      <c r="AB48" s="42"/>
      <c r="AC48" s="42">
        <f>VLOOKUP($C48,'Segment IFRS17'!$B$460:$G$531,5,0)/1000</f>
        <v>0</v>
      </c>
      <c r="AD48" s="42">
        <f>VLOOKUP($C48,'Segment IFRS17'!$B$539:$G$600,5,0)/1000</f>
        <v>0</v>
      </c>
    </row>
    <row r="49" spans="3:30" x14ac:dyDescent="0.3">
      <c r="C49" s="43" t="s">
        <v>90</v>
      </c>
      <c r="D49" s="260"/>
      <c r="E49" s="302"/>
      <c r="F49" s="302">
        <f>SUM(F46:F48,F43)</f>
        <v>205643.29916589247</v>
      </c>
      <c r="G49" s="302">
        <f>SUM(G46:G48,G43)</f>
        <v>246271.50633050024</v>
      </c>
      <c r="H49" s="262">
        <f t="shared" si="2"/>
        <v>0.19756640420280847</v>
      </c>
      <c r="I49" s="104"/>
      <c r="J49" s="302"/>
      <c r="K49" s="302">
        <f>SUM(K46:K48,K43)</f>
        <v>0</v>
      </c>
      <c r="L49" s="302">
        <f>SUM(L46:L48,L43)</f>
        <v>0</v>
      </c>
      <c r="M49" s="262"/>
      <c r="O49" s="302">
        <f>SUM(O46:O48,O43)</f>
        <v>0</v>
      </c>
      <c r="P49" s="302">
        <f>SUM(P46:P48,P43)</f>
        <v>205643.29916589247</v>
      </c>
      <c r="Q49" s="302">
        <f>SUM(Q46:Q48,Q43)</f>
        <v>246271.50633050024</v>
      </c>
      <c r="S49" s="302">
        <f>SUM(S46:S48,S43)</f>
        <v>0</v>
      </c>
      <c r="T49" s="302">
        <f>SUM(T46:T48,T43)</f>
        <v>0</v>
      </c>
      <c r="U49" s="302">
        <f>SUM(U46:U48,U43)</f>
        <v>0</v>
      </c>
      <c r="W49" s="302">
        <f>SUM(W46:W48,W43)</f>
        <v>0</v>
      </c>
      <c r="X49" s="302">
        <f>SUM(X46:X48,X43)</f>
        <v>205643.29916589247</v>
      </c>
      <c r="Y49" s="302">
        <f>SUM(Y46:Y48,Y43)</f>
        <v>246271.50633050024</v>
      </c>
      <c r="Z49" s="262">
        <f t="shared" si="3"/>
        <v>0.19756640420280847</v>
      </c>
      <c r="AB49" s="302">
        <f>SUM(AB46:AB48,AB43)</f>
        <v>0</v>
      </c>
      <c r="AC49" s="302">
        <f>SUM(AC46:AC48,AC43)</f>
        <v>0</v>
      </c>
      <c r="AD49" s="302">
        <f>SUM(AD46:AD48,AD43)</f>
        <v>0</v>
      </c>
    </row>
    <row r="50" spans="3:30" x14ac:dyDescent="0.3">
      <c r="C50" s="45"/>
      <c r="D50" s="112"/>
      <c r="E50" s="45"/>
      <c r="F50" s="45"/>
      <c r="G50" s="45"/>
      <c r="H50" s="172"/>
      <c r="I50" s="104"/>
      <c r="J50" s="45"/>
      <c r="K50" s="45"/>
      <c r="L50" s="45"/>
      <c r="M50" s="172"/>
      <c r="O50" s="166"/>
      <c r="P50" s="166"/>
      <c r="Q50" s="166"/>
      <c r="S50" s="45"/>
      <c r="T50" s="45"/>
      <c r="U50" s="45"/>
      <c r="W50" s="45"/>
      <c r="X50" s="45"/>
      <c r="Y50" s="45"/>
      <c r="Z50" s="172"/>
      <c r="AB50" s="45"/>
      <c r="AC50" s="45"/>
      <c r="AD50" s="45"/>
    </row>
    <row r="51" spans="3:30" x14ac:dyDescent="0.3">
      <c r="C51" s="46" t="s">
        <v>89</v>
      </c>
      <c r="D51" s="113"/>
      <c r="E51" s="47"/>
      <c r="F51" s="47">
        <f>VLOOKUP($C51,'Segment IFRS17'!$B$460:$G$531,6,0)/1000</f>
        <v>214702.03944999998</v>
      </c>
      <c r="G51" s="47">
        <f>VLOOKUP($C51,'Segment IFRS17'!$B$539:$G$600,6,0)/1000</f>
        <v>258618.17096000002</v>
      </c>
      <c r="H51" s="173">
        <f>G51/F51-1</f>
        <v>0.20454454751570839</v>
      </c>
      <c r="I51" s="104"/>
      <c r="J51" s="47"/>
      <c r="K51" s="47">
        <f>VLOOKUP($C51,'Segment IFRS17'!$B$460:$G$531,2,0)/1000</f>
        <v>0</v>
      </c>
      <c r="L51" s="47">
        <f>VLOOKUP($C51,'Segment IFRS17'!$B$539:$G$600,2,0)/1000</f>
        <v>0</v>
      </c>
      <c r="M51" s="173"/>
      <c r="O51" s="47"/>
      <c r="P51" s="47">
        <f>VLOOKUP($C51,'Segment IFRS17'!$B$460:$G$531,3,0)/1000</f>
        <v>212355.08799999999</v>
      </c>
      <c r="Q51" s="47">
        <f>VLOOKUP($C51,'Segment IFRS17'!$B$539:$G$600,3,0)/1000</f>
        <v>257398.997</v>
      </c>
      <c r="S51" s="47"/>
      <c r="T51" s="47">
        <f>VLOOKUP($C51,'Segment IFRS17'!$B$460:$G$531,4,0)/1000</f>
        <v>2346.95145</v>
      </c>
      <c r="U51" s="47">
        <f>VLOOKUP($C51,'Segment IFRS17'!$B$539:$G$600,4,0)/1000</f>
        <v>1219.1739599999999</v>
      </c>
      <c r="W51" s="47"/>
      <c r="X51" s="47">
        <f>P51+T51</f>
        <v>214702.03944999998</v>
      </c>
      <c r="Y51" s="47">
        <f>Q51+U51</f>
        <v>258618.17095999999</v>
      </c>
      <c r="Z51" s="173">
        <f>Y51/X51-1</f>
        <v>0.20454454751570839</v>
      </c>
      <c r="AB51" s="47"/>
      <c r="AC51" s="47">
        <f>VLOOKUP($C51,'Segment IFRS17'!$B$460:$G$531,5,0)/1000</f>
        <v>0</v>
      </c>
      <c r="AD51" s="47">
        <f>VLOOKUP($C51,'Segment IFRS17'!$B$539:$G$600,5,0)/1000</f>
        <v>0</v>
      </c>
    </row>
    <row r="52" spans="3:30" x14ac:dyDescent="0.3">
      <c r="E52" s="133"/>
      <c r="F52" s="133"/>
      <c r="G52" s="133"/>
      <c r="I52" s="104"/>
      <c r="S52" s="132"/>
      <c r="T52" s="132"/>
      <c r="U52" s="132"/>
    </row>
    <row r="53" spans="3:30" x14ac:dyDescent="0.3">
      <c r="C53" s="36" t="s">
        <v>31</v>
      </c>
      <c r="D53" s="110">
        <v>16</v>
      </c>
      <c r="E53" s="42"/>
      <c r="F53" s="42">
        <f>VLOOKUP($C53,'Segment IFRS17'!$B$460:$G$531,6,0)/1000</f>
        <v>128055.79617</v>
      </c>
      <c r="G53" s="42">
        <f>VLOOKUP($C53,'Segment IFRS17'!$B$539:$G$600,6,0)/1000</f>
        <v>153062.48194999999</v>
      </c>
      <c r="H53" s="132">
        <f>G53/F53-1</f>
        <v>0.1952796087949229</v>
      </c>
      <c r="I53" s="104"/>
      <c r="J53" s="42"/>
      <c r="K53" s="42">
        <f>VLOOKUP($C53,'Segment IFRS17'!$B$460:$G$531,2,0)/1000</f>
        <v>0</v>
      </c>
      <c r="L53" s="42">
        <f>VLOOKUP($C53,'Segment IFRS17'!$B$539:$G$600,2,0)/1000</f>
        <v>0</v>
      </c>
      <c r="O53" s="42"/>
      <c r="P53" s="42">
        <f>VLOOKUP($C53,'Segment IFRS17'!$B$460:$G$531,3,0)/1000</f>
        <v>0</v>
      </c>
      <c r="Q53" s="42">
        <f>VLOOKUP($C53,'Segment IFRS17'!$B$539:$G$600,3,0)/1000</f>
        <v>0</v>
      </c>
      <c r="S53" s="42"/>
      <c r="T53" s="42">
        <f>VLOOKUP($C53,'Segment IFRS17'!$B$460:$G$531,4,0)/1000</f>
        <v>128055.79617</v>
      </c>
      <c r="U53" s="42">
        <f>VLOOKUP($C53,'Segment IFRS17'!$B$539:$G$600,4,0)/1000</f>
        <v>153062.48194999999</v>
      </c>
      <c r="W53" s="42"/>
      <c r="X53" s="42">
        <f>P53+T53</f>
        <v>128055.79617</v>
      </c>
      <c r="Y53" s="42">
        <f>Q53+U53</f>
        <v>153062.48194999999</v>
      </c>
      <c r="AB53" s="42"/>
      <c r="AC53" s="42">
        <f>VLOOKUP($C53,'Segment IFRS17'!$B$460:$G$531,5,0)/1000</f>
        <v>0</v>
      </c>
      <c r="AD53" s="42">
        <f>VLOOKUP($C53,'Segment IFRS17'!$B$539:$G$600,5,0)/1000</f>
        <v>0</v>
      </c>
    </row>
    <row r="54" spans="3:30" x14ac:dyDescent="0.3">
      <c r="C54" s="36" t="s">
        <v>32</v>
      </c>
      <c r="D54" s="110">
        <v>17</v>
      </c>
      <c r="E54" s="42"/>
      <c r="F54" s="42">
        <f>VLOOKUP($C54,'Segment IFRS17'!$B$460:$G$531,6,0)/1000</f>
        <v>-58072.037779999999</v>
      </c>
      <c r="G54" s="42">
        <f>VLOOKUP($C54,'Segment IFRS17'!$B$539:$G$600,6,0)/1000</f>
        <v>-95784.003449999989</v>
      </c>
      <c r="H54" s="132">
        <f>G54/F54-1</f>
        <v>0.64939973026033515</v>
      </c>
      <c r="I54" s="104"/>
      <c r="J54" s="42"/>
      <c r="K54" s="42">
        <f>VLOOKUP($C54,'Segment IFRS17'!$B$460:$G$531,2,0)/1000</f>
        <v>0</v>
      </c>
      <c r="L54" s="42">
        <f>VLOOKUP($C54,'Segment IFRS17'!$B$539:$G$600,2,0)/1000</f>
        <v>0</v>
      </c>
      <c r="O54" s="42"/>
      <c r="P54" s="42">
        <f>VLOOKUP($C54,'Segment IFRS17'!$B$460:$G$531,3,0)/1000</f>
        <v>0</v>
      </c>
      <c r="Q54" s="42">
        <f>VLOOKUP($C54,'Segment IFRS17'!$B$539:$G$600,3,0)/1000</f>
        <v>0</v>
      </c>
      <c r="S54" s="42"/>
      <c r="T54" s="42">
        <f>VLOOKUP($C54,'Segment IFRS17'!$B$460:$G$531,4,0)/1000</f>
        <v>-58072.037779999999</v>
      </c>
      <c r="U54" s="42">
        <f>VLOOKUP($C54,'Segment IFRS17'!$B$539:$G$600,4,0)/1000</f>
        <v>-95784.003449999989</v>
      </c>
      <c r="W54" s="42"/>
      <c r="X54" s="42">
        <f>P54+T54</f>
        <v>-58072.037779999999</v>
      </c>
      <c r="Y54" s="42">
        <f>Q54+U54</f>
        <v>-95784.003449999989</v>
      </c>
      <c r="AB54" s="42"/>
      <c r="AC54" s="42">
        <f>VLOOKUP($C54,'Segment IFRS17'!$B$460:$G$531,5,0)/1000</f>
        <v>0</v>
      </c>
      <c r="AD54" s="42">
        <f>VLOOKUP($C54,'Segment IFRS17'!$B$539:$G$600,5,0)/1000</f>
        <v>0</v>
      </c>
    </row>
    <row r="55" spans="3:30" x14ac:dyDescent="0.3">
      <c r="C55" s="56" t="s">
        <v>33</v>
      </c>
      <c r="D55" s="116"/>
      <c r="E55" s="57"/>
      <c r="F55" s="57">
        <f>SUM(F53:F54)</f>
        <v>69983.758390000003</v>
      </c>
      <c r="G55" s="57">
        <f>SUM(G53:G54)</f>
        <v>57278.478499999997</v>
      </c>
      <c r="H55" s="176">
        <f>G55/F55-1</f>
        <v>-0.18154612130427483</v>
      </c>
      <c r="I55" s="104"/>
      <c r="J55" s="57"/>
      <c r="K55" s="57">
        <f>SUM(K53:K54)</f>
        <v>0</v>
      </c>
      <c r="L55" s="57">
        <f>SUM(L53:L54)</f>
        <v>0</v>
      </c>
      <c r="M55" s="176"/>
      <c r="N55" s="57"/>
      <c r="O55" s="57"/>
      <c r="P55" s="57">
        <f>SUM(P53:P54)</f>
        <v>0</v>
      </c>
      <c r="Q55" s="57">
        <f>SUM(Q53:Q54)</f>
        <v>0</v>
      </c>
      <c r="R55" s="57"/>
      <c r="S55" s="57"/>
      <c r="T55" s="57">
        <f>SUM(T53:T54)</f>
        <v>69983.758390000003</v>
      </c>
      <c r="U55" s="57">
        <f>SUM(U53:U54)</f>
        <v>57278.478499999997</v>
      </c>
      <c r="V55" s="57"/>
      <c r="W55" s="57"/>
      <c r="X55" s="57">
        <f>SUM(X53:X54)</f>
        <v>69983.758390000003</v>
      </c>
      <c r="Y55" s="57">
        <f>SUM(Y53:Y54)</f>
        <v>57278.478499999997</v>
      </c>
      <c r="Z55" s="176">
        <f>Y55/X55-1</f>
        <v>-0.18154612130427483</v>
      </c>
      <c r="AA55" s="42"/>
      <c r="AB55" s="57"/>
      <c r="AC55" s="57">
        <f>SUM(AC53:AC54)</f>
        <v>0</v>
      </c>
      <c r="AD55" s="57">
        <f>SUM(AD53:AD54)</f>
        <v>0</v>
      </c>
    </row>
    <row r="56" spans="3:30" x14ac:dyDescent="0.3">
      <c r="C56" s="39" t="s">
        <v>64</v>
      </c>
      <c r="D56" s="109"/>
      <c r="E56" s="40"/>
      <c r="F56" s="40"/>
      <c r="G56" s="40"/>
      <c r="H56" s="169"/>
      <c r="I56" s="104"/>
      <c r="J56" s="40"/>
      <c r="K56" s="40"/>
      <c r="L56" s="40"/>
      <c r="M56" s="169"/>
      <c r="O56" s="40"/>
      <c r="P56" s="40"/>
      <c r="Q56" s="40"/>
      <c r="S56" s="40"/>
      <c r="T56" s="40">
        <f>T55/T175</f>
        <v>0.11254625539770938</v>
      </c>
      <c r="U56" s="40">
        <f>U55/U175</f>
        <v>7.4214777028526288E-2</v>
      </c>
      <c r="W56" s="40"/>
      <c r="X56" s="40"/>
      <c r="Y56" s="40"/>
      <c r="Z56" s="169"/>
      <c r="AB56" s="40"/>
      <c r="AC56" s="40"/>
      <c r="AD56" s="40"/>
    </row>
    <row r="57" spans="3:30" ht="13.5" thickBot="1" x14ac:dyDescent="0.35">
      <c r="C57" s="50" t="s">
        <v>34</v>
      </c>
      <c r="D57" s="114"/>
      <c r="E57" s="51"/>
      <c r="F57" s="51">
        <f>F49+F51+F55</f>
        <v>490329.09700589243</v>
      </c>
      <c r="G57" s="51">
        <f>G49+G51+G55</f>
        <v>562168.15579050023</v>
      </c>
      <c r="H57" s="174">
        <f>G57/F57-1</f>
        <v>0.14651192275408542</v>
      </c>
      <c r="I57" s="133"/>
      <c r="J57" s="51"/>
      <c r="K57" s="51">
        <f>K49+K51+K55</f>
        <v>0</v>
      </c>
      <c r="L57" s="51">
        <f>L49+L51+L55</f>
        <v>0</v>
      </c>
      <c r="M57" s="174"/>
      <c r="N57" s="52"/>
      <c r="O57" s="51"/>
      <c r="P57" s="51">
        <f>P49+P51+P55</f>
        <v>417998.38716589246</v>
      </c>
      <c r="Q57" s="51">
        <f>Q49+Q51+Q55</f>
        <v>503670.50333050021</v>
      </c>
      <c r="R57" s="52"/>
      <c r="S57" s="51"/>
      <c r="T57" s="51">
        <f>T49+T51+T55</f>
        <v>72330.709839999996</v>
      </c>
      <c r="U57" s="51">
        <f>U49+U51+U55</f>
        <v>58497.652459999998</v>
      </c>
      <c r="V57" s="52"/>
      <c r="W57" s="51"/>
      <c r="X57" s="51">
        <f>X49+X51+X55</f>
        <v>490329.09700589243</v>
      </c>
      <c r="Y57" s="51">
        <f>Y49+Y51+Y55</f>
        <v>562168.15579050023</v>
      </c>
      <c r="Z57" s="174">
        <f>Y57/X57-1</f>
        <v>0.14651192275408542</v>
      </c>
      <c r="AA57" s="53"/>
      <c r="AB57" s="51"/>
      <c r="AC57" s="51">
        <f>AC49+AC51+AC55</f>
        <v>0</v>
      </c>
      <c r="AD57" s="51">
        <f>AD49+AD51+AD55</f>
        <v>0</v>
      </c>
    </row>
    <row r="58" spans="3:30" ht="13.5" thickTop="1" x14ac:dyDescent="0.3">
      <c r="C58" s="39" t="s">
        <v>79</v>
      </c>
      <c r="D58" s="109"/>
      <c r="E58" s="41"/>
      <c r="F58" s="41">
        <f>(F41+F48+F51+F53)/1000</f>
        <v>2194.708627222532</v>
      </c>
      <c r="G58" s="41">
        <f>(G41+G48+G51+G53)/1000</f>
        <v>3334.1804465955802</v>
      </c>
      <c r="H58" s="169"/>
      <c r="J58" s="41"/>
      <c r="K58" s="41"/>
      <c r="L58" s="41"/>
      <c r="M58" s="169"/>
      <c r="O58" s="41"/>
      <c r="P58" s="41">
        <f>(P41+P48+P51+P53)/1000</f>
        <v>2064.3058796025316</v>
      </c>
      <c r="Q58" s="41">
        <f>(Q41+Q48+Q51+Q53)/1000</f>
        <v>3179.89879068558</v>
      </c>
      <c r="S58" s="41"/>
      <c r="T58" s="41">
        <f>(T41+T48+T51+T53)/1000</f>
        <v>130.40274761999999</v>
      </c>
      <c r="U58" s="41">
        <f>(U41+U48+U51+U53)/1000</f>
        <v>154.28165590999998</v>
      </c>
      <c r="W58" s="41"/>
      <c r="X58" s="41">
        <f>(X41+X48+X51+X53)/1000</f>
        <v>2194.708627222532</v>
      </c>
      <c r="Y58" s="41">
        <f>(Y41+Y48+Y51+Y53)/1000</f>
        <v>3334.1804465955797</v>
      </c>
      <c r="Z58" s="169"/>
      <c r="AB58" s="41"/>
      <c r="AC58" s="41">
        <f>(AC41+AC48+AC51+AC53)/1000</f>
        <v>0</v>
      </c>
      <c r="AD58" s="41">
        <f>(AD41+AD48+AD51+AD53)/1000</f>
        <v>0</v>
      </c>
    </row>
    <row r="59" spans="3:30" x14ac:dyDescent="0.3">
      <c r="E59" s="132"/>
      <c r="F59" s="132"/>
      <c r="G59" s="132"/>
      <c r="S59" s="132"/>
      <c r="T59" s="132">
        <f>T55/T53</f>
        <v>0.54650988462164818</v>
      </c>
      <c r="U59" s="132">
        <f>U55/U53</f>
        <v>0.3742163185274287</v>
      </c>
    </row>
    <row r="60" spans="3:30" x14ac:dyDescent="0.3">
      <c r="C60" s="36" t="s">
        <v>35</v>
      </c>
      <c r="D60" s="110">
        <v>18</v>
      </c>
      <c r="E60" s="42"/>
      <c r="F60" s="42">
        <f>VLOOKUP($C60,'Segment IFRS17'!$B$460:$G$531,6,0)/1000</f>
        <v>65050.864139999998</v>
      </c>
      <c r="G60" s="42">
        <f>VLOOKUP($C60,'Segment IFRS17'!$B$539:$G$600,6,0)/1000</f>
        <v>93562.866769999979</v>
      </c>
      <c r="H60" s="132">
        <f>G60/F60-1</f>
        <v>0.43830321098636804</v>
      </c>
      <c r="J60" s="42"/>
      <c r="K60" s="42">
        <f>VLOOKUP($C60,'Segment IFRS17'!$B$460:$G$531,2,0)/1000</f>
        <v>32676.765540000004</v>
      </c>
      <c r="L60" s="42">
        <f>VLOOKUP($C60,'Segment IFRS17'!$B$539:$G$600,2,0)/1000</f>
        <v>47096.086520000004</v>
      </c>
      <c r="M60" s="132">
        <f>L60/K60-1</f>
        <v>0.44127136641933373</v>
      </c>
      <c r="O60" s="42"/>
      <c r="P60" s="42">
        <f>VLOOKUP($C60,'Segment IFRS17'!$B$460:$G$531,3,0)/1000</f>
        <v>11882.043</v>
      </c>
      <c r="Q60" s="42">
        <f>VLOOKUP($C60,'Segment IFRS17'!$B$539:$G$600,3,0)/1000</f>
        <v>16632.846619999982</v>
      </c>
      <c r="S60" s="42"/>
      <c r="T60" s="42">
        <f>VLOOKUP($C60,'Segment IFRS17'!$B$460:$G$531,4,0)/1000</f>
        <v>0</v>
      </c>
      <c r="U60" s="42">
        <f>VLOOKUP($C60,'Segment IFRS17'!$B$539:$G$600,4,0)/1000</f>
        <v>0</v>
      </c>
      <c r="W60" s="42"/>
      <c r="X60" s="42">
        <f>P60+T60</f>
        <v>11882.043</v>
      </c>
      <c r="Y60" s="42">
        <f>Q60+U60</f>
        <v>16632.846619999982</v>
      </c>
      <c r="AB60" s="42"/>
      <c r="AC60" s="42">
        <f>VLOOKUP($C60,'Segment IFRS17'!$B$460:$G$531,5,0)/1000</f>
        <v>20492.055599999996</v>
      </c>
      <c r="AD60" s="42">
        <f>VLOOKUP($C60,'Segment IFRS17'!$B$539:$G$600,5,0)/1000</f>
        <v>29833.93363</v>
      </c>
    </row>
    <row r="61" spans="3:30" x14ac:dyDescent="0.3">
      <c r="C61" s="36" t="s">
        <v>36</v>
      </c>
      <c r="D61" s="110">
        <v>19</v>
      </c>
      <c r="E61" s="42"/>
      <c r="F61" s="42">
        <f>VLOOKUP($C61,'Segment IFRS17'!$B$460:$G$531,6,0)/1000</f>
        <v>-47910.066047969551</v>
      </c>
      <c r="G61" s="42">
        <f>VLOOKUP($C61,'Segment IFRS17'!$B$539:$G$600,6,0)/1000</f>
        <v>-66504.039669999998</v>
      </c>
      <c r="H61" s="132">
        <f>G61/F61-1</f>
        <v>0.38810160694442342</v>
      </c>
      <c r="J61" s="42"/>
      <c r="K61" s="42">
        <f>VLOOKUP($C61,'Segment IFRS17'!$B$460:$G$531,2,0)/1000</f>
        <v>-41489.796040000001</v>
      </c>
      <c r="L61" s="42">
        <f>VLOOKUP($C61,'Segment IFRS17'!$B$539:$G$600,2,0)/1000</f>
        <v>-57342.912250000001</v>
      </c>
      <c r="M61" s="132">
        <f>L61/K61-1</f>
        <v>0.38209674963733553</v>
      </c>
      <c r="O61" s="42"/>
      <c r="P61" s="42">
        <f>VLOOKUP($C61,'Segment IFRS17'!$B$460:$G$531,3,0)/1000</f>
        <v>-268.01145796954603</v>
      </c>
      <c r="Q61" s="42">
        <f>VLOOKUP($C61,'Segment IFRS17'!$B$539:$G$600,3,0)/1000</f>
        <v>-755.61822000000018</v>
      </c>
      <c r="S61" s="42"/>
      <c r="T61" s="42">
        <f>VLOOKUP($C61,'Segment IFRS17'!$B$460:$G$531,4,0)/1000</f>
        <v>0</v>
      </c>
      <c r="U61" s="42">
        <f>VLOOKUP($C61,'Segment IFRS17'!$B$539:$G$600,4,0)/1000</f>
        <v>0</v>
      </c>
      <c r="W61" s="42"/>
      <c r="X61" s="42">
        <f>P61+T61</f>
        <v>-268.01145796954603</v>
      </c>
      <c r="Y61" s="42">
        <f>Q61+U61</f>
        <v>-755.61822000000018</v>
      </c>
      <c r="AB61" s="42"/>
      <c r="AC61" s="42">
        <f>VLOOKUP($C61,'Segment IFRS17'!$B$460:$G$531,5,0)/1000</f>
        <v>-6152.2585500000005</v>
      </c>
      <c r="AD61" s="42">
        <f>VLOOKUP($C61,'Segment IFRS17'!$B$539:$G$600,5,0)/1000</f>
        <v>-8405.5092000000004</v>
      </c>
    </row>
    <row r="62" spans="3:30" ht="13.5" thickBot="1" x14ac:dyDescent="0.35">
      <c r="C62" s="50" t="s">
        <v>37</v>
      </c>
      <c r="D62" s="114"/>
      <c r="E62" s="58"/>
      <c r="F62" s="58">
        <f>SUM(F60:F61)</f>
        <v>17140.798092030447</v>
      </c>
      <c r="G62" s="58">
        <f>SUM(G60:G61)</f>
        <v>27058.82709999998</v>
      </c>
      <c r="H62" s="174">
        <f>G62/F62-1</f>
        <v>0.57862119107399579</v>
      </c>
      <c r="I62" s="133"/>
      <c r="J62" s="58"/>
      <c r="K62" s="58">
        <f>SUM(K60:K61)</f>
        <v>-8813.0304999999971</v>
      </c>
      <c r="L62" s="58">
        <f>SUM(L60:L61)</f>
        <v>-10246.825729999997</v>
      </c>
      <c r="M62" s="174">
        <f t="shared" ref="M62" si="4">L62/K62-1</f>
        <v>0.1626903742135013</v>
      </c>
      <c r="N62" s="58"/>
      <c r="O62" s="58"/>
      <c r="P62" s="58">
        <f>SUM(P60:P61)</f>
        <v>11614.031542030454</v>
      </c>
      <c r="Q62" s="58">
        <f>SUM(Q60:Q61)</f>
        <v>15877.228399999982</v>
      </c>
      <c r="R62" s="58"/>
      <c r="S62" s="58"/>
      <c r="T62" s="58">
        <f>SUM(T60:T61)</f>
        <v>0</v>
      </c>
      <c r="U62" s="58">
        <f>SUM(U60:U61)</f>
        <v>0</v>
      </c>
      <c r="V62" s="58"/>
      <c r="W62" s="58"/>
      <c r="X62" s="58">
        <f>SUM(X60:X61)</f>
        <v>11614.031542030454</v>
      </c>
      <c r="Y62" s="58">
        <f>SUM(Y60:Y61)</f>
        <v>15877.228399999982</v>
      </c>
      <c r="Z62" s="174">
        <f>Y62/X62-1</f>
        <v>0.36707295331007872</v>
      </c>
      <c r="AA62" s="49"/>
      <c r="AB62" s="58"/>
      <c r="AC62" s="58">
        <f>SUM(AC60:AC61)</f>
        <v>14339.797049999996</v>
      </c>
      <c r="AD62" s="58">
        <f>SUM(AD60:AD61)</f>
        <v>21428.424429999999</v>
      </c>
    </row>
    <row r="63" spans="3:30" ht="13.5" thickTop="1" x14ac:dyDescent="0.3">
      <c r="C63" s="45"/>
      <c r="D63" s="112"/>
      <c r="E63" s="45"/>
      <c r="F63" s="45"/>
      <c r="G63" s="45"/>
      <c r="H63" s="172"/>
      <c r="J63" s="45"/>
      <c r="K63" s="45"/>
      <c r="L63" s="45"/>
      <c r="M63" s="172"/>
      <c r="O63" s="45"/>
      <c r="P63" s="45"/>
      <c r="Q63" s="45"/>
      <c r="S63" s="45"/>
      <c r="T63" s="45"/>
      <c r="U63" s="45"/>
      <c r="W63" s="45"/>
      <c r="X63" s="45"/>
      <c r="Y63" s="45"/>
      <c r="Z63" s="172"/>
      <c r="AB63" s="45"/>
      <c r="AC63" s="45"/>
      <c r="AD63" s="45"/>
    </row>
    <row r="64" spans="3:30" ht="13.5" thickBot="1" x14ac:dyDescent="0.35">
      <c r="C64" s="50" t="s">
        <v>100</v>
      </c>
      <c r="D64" s="114"/>
      <c r="E64" s="58"/>
      <c r="F64" s="58">
        <f>F35+F57+F62</f>
        <v>2486747.895097923</v>
      </c>
      <c r="G64" s="58">
        <f>G35+G57+G62</f>
        <v>2795811.9828905002</v>
      </c>
      <c r="H64" s="174">
        <f>G64/F64-1</f>
        <v>0.12428444733051913</v>
      </c>
      <c r="J64" s="58"/>
      <c r="K64" s="58">
        <f>K35+K57+K62</f>
        <v>1977996.9694999999</v>
      </c>
      <c r="L64" s="58">
        <f>L35+L57+L62</f>
        <v>2205095.1742699998</v>
      </c>
      <c r="M64" s="174">
        <f t="shared" ref="M64" si="5">L64/K64-1</f>
        <v>0.11481221067158964</v>
      </c>
      <c r="N64" s="58"/>
      <c r="O64" s="58"/>
      <c r="P64" s="58">
        <f>P35+P57+P62</f>
        <v>429612.41870792292</v>
      </c>
      <c r="Q64" s="58">
        <f>Q35+Q57+Q62</f>
        <v>519547.73173050018</v>
      </c>
      <c r="R64" s="58"/>
      <c r="S64" s="58"/>
      <c r="T64" s="58">
        <f>T35+T57+T62</f>
        <v>72330.709839999996</v>
      </c>
      <c r="U64" s="58">
        <f>U35+U57+U62</f>
        <v>58497.652459999998</v>
      </c>
      <c r="V64" s="58"/>
      <c r="W64" s="58"/>
      <c r="X64" s="58">
        <f>X35+X57+X62</f>
        <v>501943.12854792288</v>
      </c>
      <c r="Y64" s="58">
        <f>Y35+Y57+Y62</f>
        <v>578045.38419050025</v>
      </c>
      <c r="Z64" s="174">
        <f>Y64/X64-1</f>
        <v>0.15161529526808049</v>
      </c>
      <c r="AA64" s="49"/>
      <c r="AB64" s="58"/>
      <c r="AC64" s="58">
        <f>AC35+AC57+AC62</f>
        <v>6807.7970499999956</v>
      </c>
      <c r="AD64" s="58">
        <f>AD35+AD57+AD62</f>
        <v>12671.424429999999</v>
      </c>
    </row>
    <row r="65" spans="3:30" ht="13.5" thickTop="1" x14ac:dyDescent="0.3">
      <c r="C65" s="36" t="s">
        <v>212</v>
      </c>
      <c r="D65" s="112"/>
      <c r="E65" s="42"/>
      <c r="F65" s="42">
        <f>VLOOKUP($C65,Segment!$B$460:$G$531,6,0)/1000</f>
        <v>0</v>
      </c>
      <c r="G65" s="42">
        <f>VLOOKUP($C65,Segment!$B$460:$G$531,6,0)/1000</f>
        <v>0</v>
      </c>
      <c r="J65" s="42"/>
      <c r="K65" s="42">
        <f>VLOOKUP($C65,Segment!$B$460:$G$531,2,0)/1000</f>
        <v>0</v>
      </c>
      <c r="L65" s="42">
        <f>VLOOKUP($C65,Segment!$B$460:$G$531,2,0)/1000</f>
        <v>0</v>
      </c>
      <c r="M65" s="172"/>
      <c r="O65" s="42"/>
      <c r="P65" s="42">
        <f>VLOOKUP($C65,Segment!$B$460:$G$531,3,0)/1000</f>
        <v>0</v>
      </c>
      <c r="Q65" s="42">
        <f>VLOOKUP($C65,Segment!$B$460:$G$531,3,0)/1000</f>
        <v>0</v>
      </c>
      <c r="S65" s="42"/>
      <c r="T65" s="42">
        <f>VLOOKUP($C65,Segment!$B$460:$G$531,4,0)/1000</f>
        <v>0</v>
      </c>
      <c r="U65" s="42">
        <f>VLOOKUP($C65,Segment!$B$460:$G$531,4,0)/1000</f>
        <v>0</v>
      </c>
      <c r="W65" s="42"/>
      <c r="X65" s="42">
        <f t="shared" ref="X65:Y68" si="6">P65+T65</f>
        <v>0</v>
      </c>
      <c r="Y65" s="42">
        <f t="shared" si="6"/>
        <v>0</v>
      </c>
      <c r="Z65" s="172"/>
      <c r="AB65" s="42"/>
      <c r="AC65" s="42">
        <f>VLOOKUP($C65,Segment!$B$460:$G$531,5,0)/1000</f>
        <v>0</v>
      </c>
      <c r="AD65" s="42">
        <f>VLOOKUP($C65,Segment!$B$460:$G$531,5,0)/1000</f>
        <v>0</v>
      </c>
    </row>
    <row r="66" spans="3:30" x14ac:dyDescent="0.3">
      <c r="C66" s="36" t="s">
        <v>38</v>
      </c>
      <c r="D66" s="110">
        <v>20</v>
      </c>
      <c r="E66" s="42"/>
      <c r="F66" s="42">
        <f>VLOOKUP($C66,'Segment IFRS17'!$B$460:$G$531,6,0)/1000</f>
        <v>-132708.69713000002</v>
      </c>
      <c r="G66" s="42">
        <f>VLOOKUP($C66,'Segment IFRS17'!$B$539:$G$600,6,0)/1000</f>
        <v>-171262.56125</v>
      </c>
      <c r="H66" s="132">
        <f>G66/F66-1</f>
        <v>0.29051497719273844</v>
      </c>
      <c r="J66" s="42"/>
      <c r="K66" s="42">
        <f>VLOOKUP($C66,'Segment IFRS17'!$B$460:$G$531,2,0)/1000</f>
        <v>-112228.50481</v>
      </c>
      <c r="L66" s="42">
        <f>VLOOKUP($C66,'Segment IFRS17'!$B$539:$G$600,2,0)/1000</f>
        <v>-137348.73631000001</v>
      </c>
      <c r="M66" s="132">
        <f>L66/K66-1</f>
        <v>0.22383111619038254</v>
      </c>
      <c r="O66" s="42"/>
      <c r="P66" s="42">
        <f>VLOOKUP($C66,'Segment IFRS17'!$B$460:$G$531,3,0)/1000</f>
        <v>-16004.87</v>
      </c>
      <c r="Q66" s="42">
        <f>VLOOKUP($C66,'Segment IFRS17'!$B$539:$G$600,3,0)/1000</f>
        <v>-29363.018</v>
      </c>
      <c r="S66" s="42"/>
      <c r="T66" s="42">
        <f>VLOOKUP($C66,'Segment IFRS17'!$B$460:$G$531,4,0)/1000</f>
        <v>-2128.1554799999999</v>
      </c>
      <c r="U66" s="42">
        <f>VLOOKUP($C66,'Segment IFRS17'!$B$539:$G$600,4,0)/1000</f>
        <v>-2390.5474899999999</v>
      </c>
      <c r="W66" s="42"/>
      <c r="X66" s="42">
        <f t="shared" si="6"/>
        <v>-18133.02548</v>
      </c>
      <c r="Y66" s="42">
        <f t="shared" si="6"/>
        <v>-31753.565490000001</v>
      </c>
      <c r="AB66" s="42"/>
      <c r="AC66" s="42">
        <f>VLOOKUP($C66,'Segment IFRS17'!$B$460:$G$531,5,0)/1000</f>
        <v>-2347.1668399999999</v>
      </c>
      <c r="AD66" s="42">
        <f>VLOOKUP($C66,'Segment IFRS17'!$B$539:$G$600,5,0)/1000</f>
        <v>-2160.25945</v>
      </c>
    </row>
    <row r="67" spans="3:30" x14ac:dyDescent="0.3">
      <c r="C67" s="36" t="s">
        <v>78</v>
      </c>
      <c r="E67" s="42"/>
      <c r="F67" s="42">
        <f>VLOOKUP($C67,'Segment IFRS17'!$B$460:$G$531,6,0)/1000</f>
        <v>-831980.6129261842</v>
      </c>
      <c r="G67" s="42">
        <f>VLOOKUP($C67,'Segment IFRS17'!$B$539:$G$600,6,0)/1000</f>
        <v>-1129526.3408022963</v>
      </c>
      <c r="H67" s="132">
        <f>G67/F67-1</f>
        <v>0.35763541031275348</v>
      </c>
      <c r="I67" s="132"/>
      <c r="J67" s="42"/>
      <c r="K67" s="42">
        <f>VLOOKUP($C67,'Segment IFRS17'!$B$460:$G$531,2,0)/1000</f>
        <v>-687321.46738618426</v>
      </c>
      <c r="L67" s="42">
        <f>VLOOKUP($C67,'Segment IFRS17'!$B$539:$G$600,2,0)/1000</f>
        <v>-929672.37382229639</v>
      </c>
      <c r="M67" s="132">
        <f>L67/K67-1</f>
        <v>0.35260197438288765</v>
      </c>
      <c r="O67" s="42"/>
      <c r="P67" s="42">
        <f>VLOOKUP($C67,'Segment IFRS17'!$B$460:$G$531,3,0)/1000</f>
        <v>-97625.555999999997</v>
      </c>
      <c r="Q67" s="42">
        <f>VLOOKUP($C67,'Segment IFRS17'!$B$539:$G$600,3,0)/1000</f>
        <v>-134706.29</v>
      </c>
      <c r="S67" s="42"/>
      <c r="T67" s="42">
        <f>VLOOKUP($C67,'Segment IFRS17'!$B$460:$G$531,4,0)/1000</f>
        <v>-27140.754670000002</v>
      </c>
      <c r="U67" s="42">
        <f>VLOOKUP($C67,'Segment IFRS17'!$B$539:$G$600,4,0)/1000</f>
        <v>-39640.575050000007</v>
      </c>
      <c r="W67" s="42"/>
      <c r="X67" s="42">
        <f t="shared" si="6"/>
        <v>-124766.31067000001</v>
      </c>
      <c r="Y67" s="42">
        <f t="shared" si="6"/>
        <v>-174346.86505000002</v>
      </c>
      <c r="AB67" s="42"/>
      <c r="AC67" s="42">
        <f>VLOOKUP($C67,'Segment IFRS17'!$B$460:$G$531,5,0)/1000</f>
        <v>-19892.834870000002</v>
      </c>
      <c r="AD67" s="42">
        <f>VLOOKUP($C67,'Segment IFRS17'!$B$539:$G$600,5,0)/1000</f>
        <v>-25507.101930000001</v>
      </c>
    </row>
    <row r="68" spans="3:30" x14ac:dyDescent="0.3">
      <c r="C68" s="36" t="s">
        <v>39</v>
      </c>
      <c r="D68" s="110">
        <v>21</v>
      </c>
      <c r="E68" s="42"/>
      <c r="F68" s="42">
        <f>VLOOKUP($C68,'Segment IFRS17'!$B$460:$G$531,6,0)/1000</f>
        <v>-208533.82440112645</v>
      </c>
      <c r="G68" s="42">
        <f>VLOOKUP($C68,'Segment IFRS17'!$B$539:$G$600,6,0)/1000</f>
        <v>-300383.35525640246</v>
      </c>
      <c r="H68" s="132">
        <f>G68/F68-1</f>
        <v>0.4404538741810935</v>
      </c>
      <c r="J68" s="42"/>
      <c r="K68" s="42">
        <f>VLOOKUP($C68,'Segment IFRS17'!$B$460:$G$531,2,0)/1000</f>
        <v>-149675.97835226636</v>
      </c>
      <c r="L68" s="42">
        <f>VLOOKUP($C68,'Segment IFRS17'!$B$539:$G$600,2,0)/1000</f>
        <v>-191388.26137534066</v>
      </c>
      <c r="M68" s="132">
        <f>L68/K68-1</f>
        <v>0.27868388422959445</v>
      </c>
      <c r="O68" s="42"/>
      <c r="P68" s="42">
        <f>VLOOKUP($C68,'Segment IFRS17'!$B$460:$G$531,3,0)/1000</f>
        <v>-43946.32</v>
      </c>
      <c r="Q68" s="42">
        <f>VLOOKUP($C68,'Segment IFRS17'!$B$539:$G$600,3,0)/1000</f>
        <v>-92508.637000000002</v>
      </c>
      <c r="S68" s="42"/>
      <c r="T68" s="42">
        <f>VLOOKUP($C68,'Segment IFRS17'!$B$460:$G$531,4,0)/1000</f>
        <v>-6666.83187</v>
      </c>
      <c r="U68" s="42">
        <f>VLOOKUP($C68,'Segment IFRS17'!$B$539:$G$600,4,0)/1000</f>
        <v>-8243.4900999999991</v>
      </c>
      <c r="W68" s="42"/>
      <c r="X68" s="42">
        <f t="shared" si="6"/>
        <v>-50613.151870000002</v>
      </c>
      <c r="Y68" s="42">
        <f t="shared" si="6"/>
        <v>-100752.1271</v>
      </c>
      <c r="AB68" s="42"/>
      <c r="AC68" s="42">
        <f>VLOOKUP($C68,'Segment IFRS17'!$B$460:$G$531,5,0)/1000</f>
        <v>-8244.6941788600598</v>
      </c>
      <c r="AD68" s="42">
        <f>VLOOKUP($C68,'Segment IFRS17'!$B$539:$G$600,5,0)/1000</f>
        <v>-8242.9667810617302</v>
      </c>
    </row>
    <row r="69" spans="3:30" x14ac:dyDescent="0.3">
      <c r="C69" s="39" t="s">
        <v>93</v>
      </c>
      <c r="D69" s="109"/>
      <c r="E69" s="40"/>
      <c r="F69" s="40">
        <f>-SUM(F67:F68)/F64</f>
        <v>0.41842377322544688</v>
      </c>
      <c r="G69" s="40">
        <f>-SUM(G67:G68)/G64</f>
        <v>0.51144701604017051</v>
      </c>
      <c r="H69" s="169"/>
      <c r="J69" s="40"/>
      <c r="K69" s="40">
        <f>-SUM(K67:K68)/K64</f>
        <v>0.42315405869910289</v>
      </c>
      <c r="L69" s="40">
        <f>-SUM(L67:L68)/L64</f>
        <v>0.50839557778668942</v>
      </c>
      <c r="M69" s="169"/>
      <c r="O69" s="40"/>
      <c r="P69" s="40">
        <f>-SUM(P67:P68)/P64</f>
        <v>0.32953394696033989</v>
      </c>
      <c r="Q69" s="40">
        <f>-SUM(Q67:Q68)/Q64</f>
        <v>0.43733215087514032</v>
      </c>
      <c r="S69" s="40"/>
      <c r="T69" s="40">
        <f>-SUM(T67:T68)/T64</f>
        <v>0.46740294150001399</v>
      </c>
      <c r="U69" s="40">
        <f>-SUM(U67:U68)/U64</f>
        <v>0.81856387626396743</v>
      </c>
      <c r="W69" s="40"/>
      <c r="X69" s="40">
        <f>-SUM(X67:X68)/X64</f>
        <v>0.34940106272070565</v>
      </c>
      <c r="Y69" s="40">
        <f>-SUM(Y67:Y68)/Y64</f>
        <v>0.47591244506735575</v>
      </c>
      <c r="Z69" s="169"/>
      <c r="AB69" s="40"/>
      <c r="AC69" s="40"/>
      <c r="AD69" s="40"/>
    </row>
    <row r="70" spans="3:30" x14ac:dyDescent="0.3">
      <c r="C70" s="36" t="s">
        <v>40</v>
      </c>
      <c r="E70" s="42"/>
      <c r="F70" s="42">
        <f>VLOOKUP($C70,'Segment IFRS17'!$B$460:$G$531,6,0)/1000</f>
        <v>-98308.715880000003</v>
      </c>
      <c r="G70" s="42">
        <f>VLOOKUP($C70,'Segment IFRS17'!$B$539:$G$600,6,0)/1000</f>
        <v>-107332.68109999999</v>
      </c>
      <c r="H70" s="132">
        <f t="shared" ref="H70:H77" si="7">G70/F70-1</f>
        <v>9.179211771024498E-2</v>
      </c>
      <c r="J70" s="42"/>
      <c r="K70" s="42">
        <f>VLOOKUP($C70,'Segment IFRS17'!$B$460:$G$531,2,0)/1000</f>
        <v>-92674.721460000015</v>
      </c>
      <c r="L70" s="42">
        <f>VLOOKUP($C70,'Segment IFRS17'!$B$539:$G$600,2,0)/1000</f>
        <v>-93830.864699999991</v>
      </c>
      <c r="M70" s="132">
        <f t="shared" ref="M70:M77" si="8">L70/K70-1</f>
        <v>1.2475281519988002E-2</v>
      </c>
      <c r="O70" s="42"/>
      <c r="P70" s="42">
        <f>VLOOKUP($C70,'Segment IFRS17'!$B$460:$G$531,3,0)/1000</f>
        <v>-3755</v>
      </c>
      <c r="Q70" s="42">
        <f>VLOOKUP($C70,'Segment IFRS17'!$B$539:$G$600,3,0)/1000</f>
        <v>-9277.9869999999992</v>
      </c>
      <c r="S70" s="42"/>
      <c r="T70" s="42">
        <f>VLOOKUP($C70,'Segment IFRS17'!$B$460:$G$531,4,0)/1000</f>
        <v>-180.79938000000001</v>
      </c>
      <c r="U70" s="42">
        <f>VLOOKUP($C70,'Segment IFRS17'!$B$539:$G$600,4,0)/1000</f>
        <v>-2099.74145</v>
      </c>
      <c r="W70" s="42"/>
      <c r="X70" s="42">
        <f t="shared" ref="X70:X75" si="9">P70+T70</f>
        <v>-3935.7993799999999</v>
      </c>
      <c r="Y70" s="42">
        <f t="shared" ref="Y70:Y75" si="10">Q70+U70</f>
        <v>-11377.728449999999</v>
      </c>
      <c r="AB70" s="42"/>
      <c r="AC70" s="42">
        <f>VLOOKUP($C70,'Segment IFRS17'!$B$460:$G$531,5,0)/1000</f>
        <v>-1698.1950400000001</v>
      </c>
      <c r="AD70" s="42">
        <f>VLOOKUP($C70,'Segment IFRS17'!$B$539:$G$600,5,0)/1000</f>
        <v>-2124.0879500000001</v>
      </c>
    </row>
    <row r="71" spans="3:30" x14ac:dyDescent="0.3">
      <c r="C71" s="36" t="s">
        <v>41</v>
      </c>
      <c r="E71" s="42"/>
      <c r="F71" s="42">
        <f>VLOOKUP($C71,'Segment IFRS17'!$B$460:$G$531,6,0)/1000</f>
        <v>14800</v>
      </c>
      <c r="G71" s="42">
        <f>VLOOKUP($C71,'Segment IFRS17'!$B$539:$G$600,6,0)/1000</f>
        <v>-456.75225000000012</v>
      </c>
      <c r="H71" s="132">
        <f t="shared" si="7"/>
        <v>-1.0308616385135134</v>
      </c>
      <c r="J71" s="42"/>
      <c r="K71" s="42">
        <f>VLOOKUP($C71,'Segment IFRS17'!$B$460:$G$531,2,0)/1000</f>
        <v>15000</v>
      </c>
      <c r="L71" s="42">
        <f>VLOOKUP($C71,'Segment IFRS17'!$B$539:$G$600,2,0)/1000</f>
        <v>-1548.45865</v>
      </c>
      <c r="M71" s="132">
        <f t="shared" si="8"/>
        <v>-1.1032305766666666</v>
      </c>
      <c r="O71" s="42"/>
      <c r="P71" s="42">
        <f>VLOOKUP($C71,'Segment IFRS17'!$B$460:$G$531,3,0)/1000</f>
        <v>-200</v>
      </c>
      <c r="Q71" s="42">
        <f>VLOOKUP($C71,'Segment IFRS17'!$B$539:$G$600,3,0)/1000</f>
        <v>1120</v>
      </c>
      <c r="S71" s="42"/>
      <c r="T71" s="42">
        <f>VLOOKUP($C71,'Segment IFRS17'!$B$460:$G$531,4,0)/1000</f>
        <v>0</v>
      </c>
      <c r="U71" s="42">
        <f>VLOOKUP($C71,'Segment IFRS17'!$B$539:$G$600,4,0)/1000</f>
        <v>0</v>
      </c>
      <c r="W71" s="42"/>
      <c r="X71" s="42">
        <f t="shared" si="9"/>
        <v>-200</v>
      </c>
      <c r="Y71" s="42">
        <f t="shared" si="10"/>
        <v>1120</v>
      </c>
      <c r="AB71" s="42"/>
      <c r="AC71" s="42">
        <f>VLOOKUP($C71,'Segment IFRS17'!$B$460:$G$531,5,0)/1000</f>
        <v>0</v>
      </c>
      <c r="AD71" s="42">
        <f>VLOOKUP($C71,'Segment IFRS17'!$B$539:$G$600,5,0)/1000</f>
        <v>-28.293599999999998</v>
      </c>
    </row>
    <row r="72" spans="3:30" x14ac:dyDescent="0.3">
      <c r="C72" s="36" t="s">
        <v>42</v>
      </c>
      <c r="D72" s="110">
        <v>40</v>
      </c>
      <c r="E72" s="42"/>
      <c r="F72" s="42">
        <f>VLOOKUP($C72,'Segment IFRS17'!$B$460:$G$531,6,0)/1000</f>
        <v>-69668.014559999996</v>
      </c>
      <c r="G72" s="42">
        <f>VLOOKUP($C72,'Segment IFRS17'!$B$539:$G$600,6,0)/1000</f>
        <v>-96831.940669999996</v>
      </c>
      <c r="H72" s="132">
        <f t="shared" si="7"/>
        <v>0.38990527118589968</v>
      </c>
      <c r="J72" s="42"/>
      <c r="K72" s="42">
        <f>VLOOKUP($C72,'Segment IFRS17'!$B$460:$G$531,2,0)/1000</f>
        <v>-46924.041559999998</v>
      </c>
      <c r="L72" s="42">
        <f>VLOOKUP($C72,'Segment IFRS17'!$B$539:$G$600,2,0)/1000</f>
        <v>-72351.922250000003</v>
      </c>
      <c r="M72" s="132">
        <f t="shared" si="8"/>
        <v>0.5418945138705995</v>
      </c>
      <c r="O72" s="42"/>
      <c r="P72" s="42">
        <f>VLOOKUP($C72,'Segment IFRS17'!$B$460:$G$531,3,0)/1000</f>
        <v>-18820.05704</v>
      </c>
      <c r="Q72" s="42">
        <f>VLOOKUP($C72,'Segment IFRS17'!$B$539:$G$600,3,0)/1000</f>
        <v>-20537.308000000001</v>
      </c>
      <c r="S72" s="42"/>
      <c r="T72" s="42">
        <f>VLOOKUP($C72,'Segment IFRS17'!$B$460:$G$531,4,0)/1000</f>
        <v>-3339.1630299999997</v>
      </c>
      <c r="U72" s="42">
        <f>VLOOKUP($C72,'Segment IFRS17'!$B$539:$G$600,4,0)/1000</f>
        <v>-3559.0379900000003</v>
      </c>
      <c r="W72" s="42"/>
      <c r="X72" s="42">
        <f t="shared" si="9"/>
        <v>-22159.220069999999</v>
      </c>
      <c r="Y72" s="42">
        <f t="shared" si="10"/>
        <v>-24096.345990000002</v>
      </c>
      <c r="AB72" s="42"/>
      <c r="AC72" s="42">
        <f>VLOOKUP($C72,'Segment IFRS17'!$B$460:$G$531,5,0)/1000</f>
        <v>-584.75293000000011</v>
      </c>
      <c r="AD72" s="42">
        <f>VLOOKUP($C72,'Segment IFRS17'!$B$539:$G$600,5,0)/1000</f>
        <v>-383.67243000000002</v>
      </c>
    </row>
    <row r="73" spans="3:30" x14ac:dyDescent="0.3">
      <c r="C73" s="36" t="s">
        <v>4</v>
      </c>
      <c r="E73" s="42"/>
      <c r="F73" s="42">
        <f>VLOOKUP($C73,'Segment IFRS17'!$B$460:$G$531,6,0)/1000</f>
        <v>1487.7235904826448</v>
      </c>
      <c r="G73" s="42">
        <f>VLOOKUP($C73,'Segment IFRS17'!$B$539:$G$600,6,0)/1000</f>
        <v>658.26234879135791</v>
      </c>
      <c r="H73" s="132">
        <f t="shared" si="7"/>
        <v>-0.55753719776816502</v>
      </c>
      <c r="J73" s="42"/>
      <c r="K73" s="42">
        <f>VLOOKUP($C73,'Segment IFRS17'!$B$460:$G$531,2,0)/1000</f>
        <v>750.46289999999999</v>
      </c>
      <c r="L73" s="42">
        <f>VLOOKUP($C73,'Segment IFRS17'!$B$539:$G$600,2,0)/1000</f>
        <v>-42.224350000000001</v>
      </c>
      <c r="M73" s="132">
        <f t="shared" si="8"/>
        <v>-1.0562644069413691</v>
      </c>
      <c r="O73" s="42"/>
      <c r="P73" s="42">
        <f>VLOOKUP($C73,'Segment IFRS17'!$B$460:$G$531,3,0)/1000</f>
        <v>-2202.777</v>
      </c>
      <c r="Q73" s="42">
        <f>VLOOKUP($C73,'Segment IFRS17'!$B$539:$G$600,3,0)/1000</f>
        <v>630.798</v>
      </c>
      <c r="S73" s="42"/>
      <c r="T73" s="42">
        <f>VLOOKUP($C73,'Segment IFRS17'!$B$460:$G$531,4,0)/1000</f>
        <v>2901.88168</v>
      </c>
      <c r="U73" s="42">
        <f>VLOOKUP($C73,'Segment IFRS17'!$B$539:$G$600,4,0)/1000</f>
        <v>-53.903210000000023</v>
      </c>
      <c r="W73" s="42"/>
      <c r="X73" s="42">
        <f t="shared" si="9"/>
        <v>699.10467999999992</v>
      </c>
      <c r="Y73" s="42">
        <f t="shared" si="10"/>
        <v>576.89478999999994</v>
      </c>
      <c r="AB73" s="42"/>
      <c r="AC73" s="42">
        <f>VLOOKUP($C73,'Segment IFRS17'!$B$460:$G$531,5,0)/1000</f>
        <v>38.156010482644604</v>
      </c>
      <c r="AD73" s="42">
        <f>VLOOKUP($C73,'Segment IFRS17'!$B$539:$G$600,5,0)/1000</f>
        <v>123.59190879135802</v>
      </c>
    </row>
    <row r="74" spans="3:30" x14ac:dyDescent="0.3">
      <c r="C74" s="36" t="s">
        <v>5</v>
      </c>
      <c r="E74" s="42"/>
      <c r="F74" s="42">
        <f>VLOOKUP($C74,'Segment IFRS17'!$B$460:$G$531,6,0)/1000</f>
        <v>-3793</v>
      </c>
      <c r="G74" s="42">
        <f>VLOOKUP($C74,'Segment IFRS17'!$B$539:$G$600,6,0)/1000</f>
        <v>-4355</v>
      </c>
      <c r="H74" s="132">
        <f t="shared" si="7"/>
        <v>0.14816767730029001</v>
      </c>
      <c r="J74" s="42"/>
      <c r="K74" s="42">
        <f>VLOOKUP($C74,'Segment IFRS17'!$B$460:$G$531,2,0)/1000</f>
        <v>-3793</v>
      </c>
      <c r="L74" s="42">
        <f>VLOOKUP($C74,'Segment IFRS17'!$B$539:$G$600,2,0)/1000</f>
        <v>-4355</v>
      </c>
      <c r="M74" s="132">
        <f t="shared" si="8"/>
        <v>0.14816767730029001</v>
      </c>
      <c r="O74" s="42"/>
      <c r="P74" s="42">
        <f>VLOOKUP($C74,'Segment IFRS17'!$B$460:$G$531,3,0)/1000</f>
        <v>0</v>
      </c>
      <c r="Q74" s="42">
        <f>VLOOKUP($C74,'Segment IFRS17'!$B$539:$G$600,3,0)/1000</f>
        <v>0</v>
      </c>
      <c r="S74" s="42"/>
      <c r="T74" s="42">
        <f>VLOOKUP($C74,'Segment IFRS17'!$B$460:$G$531,4,0)/1000</f>
        <v>0</v>
      </c>
      <c r="U74" s="42">
        <f>VLOOKUP($C74,'Segment IFRS17'!$B$539:$G$600,4,0)/1000</f>
        <v>0</v>
      </c>
      <c r="W74" s="42"/>
      <c r="X74" s="42">
        <f t="shared" si="9"/>
        <v>0</v>
      </c>
      <c r="Y74" s="42">
        <f t="shared" si="10"/>
        <v>0</v>
      </c>
      <c r="AB74" s="42"/>
      <c r="AC74" s="42">
        <f>VLOOKUP($C74,'Segment IFRS17'!$B$460:$G$531,5,0)/1000</f>
        <v>0</v>
      </c>
      <c r="AD74" s="42">
        <f>VLOOKUP($C74,'Segment IFRS17'!$B$539:$G$600,5,0)/1000</f>
        <v>0</v>
      </c>
    </row>
    <row r="75" spans="3:30" x14ac:dyDescent="0.3">
      <c r="C75" s="36" t="s">
        <v>182</v>
      </c>
      <c r="D75" s="110">
        <v>22</v>
      </c>
      <c r="E75" s="42"/>
      <c r="F75" s="42">
        <f>VLOOKUP($C75,'Segment IFRS17'!$B$460:$G$531,6,0)/1000</f>
        <v>-117371.55510000003</v>
      </c>
      <c r="G75" s="42">
        <f>VLOOKUP($C75,'Segment IFRS17'!$B$539:$G$600,6,0)/1000</f>
        <v>-340684.06632000004</v>
      </c>
      <c r="H75" s="132">
        <f t="shared" si="7"/>
        <v>1.9026118468800961</v>
      </c>
      <c r="J75" s="42"/>
      <c r="K75" s="42">
        <f>VLOOKUP($C75,'Segment IFRS17'!$B$460:$G$531,2,0)/1000</f>
        <v>-120456.07559000002</v>
      </c>
      <c r="L75" s="42">
        <f>VLOOKUP($C75,'Segment IFRS17'!$B$539:$G$600,2,0)/1000</f>
        <v>-338514.77680000005</v>
      </c>
      <c r="M75" s="132">
        <f t="shared" si="8"/>
        <v>1.8102756556025699</v>
      </c>
      <c r="O75" s="42"/>
      <c r="P75" s="42">
        <f>VLOOKUP($C75,'Segment IFRS17'!$B$460:$G$531,3,0)/1000</f>
        <v>-346.14499999999998</v>
      </c>
      <c r="Q75" s="42">
        <f>VLOOKUP($C75,'Segment IFRS17'!$B$539:$G$600,3,0)/1000</f>
        <v>-49.6</v>
      </c>
      <c r="S75" s="42"/>
      <c r="T75" s="42">
        <f>VLOOKUP($C75,'Segment IFRS17'!$B$460:$G$531,4,0)/1000</f>
        <v>3486.5116799999996</v>
      </c>
      <c r="U75" s="42">
        <f>VLOOKUP($C75,'Segment IFRS17'!$B$539:$G$600,4,0)/1000</f>
        <v>-2074.7413900000001</v>
      </c>
      <c r="W75" s="42"/>
      <c r="X75" s="42">
        <f t="shared" si="9"/>
        <v>3140.3666799999996</v>
      </c>
      <c r="Y75" s="42">
        <f t="shared" si="10"/>
        <v>-2124.34139</v>
      </c>
      <c r="AB75" s="42"/>
      <c r="AC75" s="42">
        <f>VLOOKUP($C75,'Segment IFRS17'!$B$460:$G$531,5,0)/1000</f>
        <v>-55.84619</v>
      </c>
      <c r="AD75" s="42">
        <f>VLOOKUP($C75,'Segment IFRS17'!$B$539:$G$600,5,0)/1000</f>
        <v>-44.948129999999999</v>
      </c>
    </row>
    <row r="76" spans="3:30" x14ac:dyDescent="0.3">
      <c r="C76" s="43" t="s">
        <v>11</v>
      </c>
      <c r="D76" s="111"/>
      <c r="E76" s="44"/>
      <c r="F76" s="44">
        <f>F66+F67+F68+F70+F71+F72+F73+F74+F75+F65</f>
        <v>-1446076.696406828</v>
      </c>
      <c r="G76" s="44">
        <f>G66+G67+G68+G70+G71+G72+G73+G74+G75+G65</f>
        <v>-2150174.4352999073</v>
      </c>
      <c r="H76" s="170">
        <f t="shared" si="7"/>
        <v>0.48690207140644914</v>
      </c>
      <c r="J76" s="44"/>
      <c r="K76" s="44">
        <f>K66+K67+K68+K70+K71+K72+K73+K74+K75+K65</f>
        <v>-1197323.3262584507</v>
      </c>
      <c r="L76" s="44">
        <f>L66+L67+L68+L70+L71+L72+L73+L74+L75+L65</f>
        <v>-1769052.6182576371</v>
      </c>
      <c r="M76" s="170">
        <f t="shared" si="8"/>
        <v>0.47750618355177243</v>
      </c>
      <c r="N76" s="44"/>
      <c r="O76" s="44"/>
      <c r="P76" s="44">
        <f>P66+P67+P68+P70+P71+P72+P73+P74+P75+P65</f>
        <v>-182900.72503999996</v>
      </c>
      <c r="Q76" s="44">
        <f>Q66+Q67+Q68+Q70+Q71+Q72+Q73+Q74+Q75+Q65</f>
        <v>-284692.04200000002</v>
      </c>
      <c r="R76" s="44"/>
      <c r="S76" s="44"/>
      <c r="T76" s="44">
        <f>T66+T67+T68+T70+T71+T72+T73+T74+T75+T65</f>
        <v>-33067.311069999996</v>
      </c>
      <c r="U76" s="44">
        <f>U66+U67+U68+U70+U71+U72+U73+U74+U75+U65</f>
        <v>-58062.036680000005</v>
      </c>
      <c r="V76" s="44"/>
      <c r="W76" s="44"/>
      <c r="X76" s="44">
        <f>X66+X67+X68+X70+X71+X72+X73+X74+X75+X65</f>
        <v>-215968.03611000004</v>
      </c>
      <c r="Y76" s="44">
        <f>Y66+Y67+Y68+Y70+Y71+Y72+Y73+Y74+Y75+Y65</f>
        <v>-342754.07868000004</v>
      </c>
      <c r="Z76" s="170">
        <f>Y76/X76-1</f>
        <v>0.58705929291047232</v>
      </c>
      <c r="AA76" s="49"/>
      <c r="AB76" s="44"/>
      <c r="AC76" s="44">
        <f>AC66+AC67+AC68+AC70+AC71+AC72+AC73+AC74+AC75+AC65</f>
        <v>-32785.334038377412</v>
      </c>
      <c r="AD76" s="44">
        <f>AD66+AD67+AD68+AD70+AD71+AD72+AD73+AD74+AD75+AD65</f>
        <v>-38367.738362270371</v>
      </c>
    </row>
    <row r="77" spans="3:30" s="45" customFormat="1" x14ac:dyDescent="0.3">
      <c r="C77" s="88" t="s">
        <v>43</v>
      </c>
      <c r="D77" s="117"/>
      <c r="E77" s="89"/>
      <c r="F77" s="89">
        <f>F35+F57+F76+F62</f>
        <v>1040671.198691095</v>
      </c>
      <c r="G77" s="89">
        <f>G35+G57+G76+G62</f>
        <v>645637.54759059299</v>
      </c>
      <c r="H77" s="177">
        <f t="shared" si="7"/>
        <v>-0.37959506479794569</v>
      </c>
      <c r="J77" s="89"/>
      <c r="K77" s="89">
        <f>K35+K57+K76+K62</f>
        <v>780673.64324154926</v>
      </c>
      <c r="L77" s="89">
        <f>L35+L57+L76+L62</f>
        <v>436042.55601236288</v>
      </c>
      <c r="M77" s="177">
        <f t="shared" si="8"/>
        <v>-0.44145346805637398</v>
      </c>
      <c r="N77" s="90"/>
      <c r="O77" s="89"/>
      <c r="P77" s="89">
        <f>P35+P57+P76+P62</f>
        <v>246711.69366792295</v>
      </c>
      <c r="Q77" s="89">
        <f>Q35+Q57+Q76+Q62</f>
        <v>234855.68973050019</v>
      </c>
      <c r="R77" s="90"/>
      <c r="S77" s="89"/>
      <c r="T77" s="89">
        <f>T35+T57+T76+T62</f>
        <v>39263.39877</v>
      </c>
      <c r="U77" s="89">
        <f>U35+U57+U76+U62</f>
        <v>435.61577999999281</v>
      </c>
      <c r="V77" s="90"/>
      <c r="W77" s="89"/>
      <c r="X77" s="89">
        <f>X35+X57+X76+X62</f>
        <v>285975.09243792284</v>
      </c>
      <c r="Y77" s="89">
        <f>Y35+Y57+Y76+Y62</f>
        <v>235291.30551050018</v>
      </c>
      <c r="Z77" s="177">
        <f>Y77/X77-1</f>
        <v>-0.17723147318651422</v>
      </c>
      <c r="AA77" s="91"/>
      <c r="AB77" s="89"/>
      <c r="AC77" s="89">
        <f>AC35+AC57+AC76+AC62</f>
        <v>-25977.536988377418</v>
      </c>
      <c r="AD77" s="89">
        <f>AD35+AD57+AD76+AD62</f>
        <v>-25696.313932270372</v>
      </c>
    </row>
    <row r="78" spans="3:30" x14ac:dyDescent="0.3">
      <c r="C78" s="36" t="s">
        <v>6</v>
      </c>
      <c r="D78" s="110">
        <v>23</v>
      </c>
      <c r="E78" s="42"/>
      <c r="F78" s="42">
        <f>VLOOKUP($C78,'Segment IFRS17'!$B$460:$G$531,6,0)/1000</f>
        <v>-269034.68595000001</v>
      </c>
      <c r="G78" s="42">
        <f>VLOOKUP($C78,'Segment IFRS17'!$B$539:$G$600,6,0)/1000</f>
        <v>-174779.94359000001</v>
      </c>
      <c r="H78" s="132">
        <f>G78/F78-1</f>
        <v>-0.35034420200195748</v>
      </c>
      <c r="J78" s="42"/>
      <c r="K78" s="42">
        <f>VLOOKUP($C78,'Segment IFRS17'!$B$460:$G$531,2,0)/1000</f>
        <v>-210786.50553999995</v>
      </c>
      <c r="L78" s="42">
        <f>VLOOKUP($C78,'Segment IFRS17'!$B$539:$G$600,2,0)/1000</f>
        <v>-116804.30137000002</v>
      </c>
      <c r="M78" s="132">
        <f>L78/K78-1</f>
        <v>-0.44586442537786364</v>
      </c>
      <c r="O78" s="42"/>
      <c r="P78" s="42">
        <f>VLOOKUP($C78,'Segment IFRS17'!$B$460:$G$531,3,0)/1000</f>
        <v>-46859.154999999999</v>
      </c>
      <c r="Q78" s="42">
        <f>VLOOKUP($C78,'Segment IFRS17'!$B$539:$G$600,3,0)/1000</f>
        <v>-55087.749000000003</v>
      </c>
      <c r="S78" s="42"/>
      <c r="T78" s="42">
        <f>VLOOKUP($C78,'Segment IFRS17'!$B$460:$G$531,4,0)/1000</f>
        <v>-8032.6866500000006</v>
      </c>
      <c r="U78" s="42">
        <f>VLOOKUP($C78,'Segment IFRS17'!$B$539:$G$600,4,0)/1000</f>
        <v>-48.808580000000234</v>
      </c>
      <c r="W78" s="42"/>
      <c r="X78" s="42">
        <f>P78+T78</f>
        <v>-54891.841650000002</v>
      </c>
      <c r="Y78" s="42">
        <f>Q78+U78</f>
        <v>-55136.557580000001</v>
      </c>
      <c r="AB78" s="42"/>
      <c r="AC78" s="42">
        <f>VLOOKUP($C78,'Segment IFRS17'!$B$460:$G$531,5,0)/1000</f>
        <v>-3356.3387599999996</v>
      </c>
      <c r="AD78" s="42">
        <f>VLOOKUP($C78,'Segment IFRS17'!$B$539:$G$600,5,0)/1000</f>
        <v>-2839.0846399999996</v>
      </c>
    </row>
    <row r="79" spans="3:30" x14ac:dyDescent="0.3">
      <c r="C79" s="39" t="s">
        <v>65</v>
      </c>
      <c r="D79" s="109"/>
      <c r="E79" s="40"/>
      <c r="F79" s="40">
        <f>-F78/F77</f>
        <v>0.25852035329542955</v>
      </c>
      <c r="G79" s="40">
        <f>-G78/G77</f>
        <v>0.27070907545920825</v>
      </c>
      <c r="H79" s="169"/>
      <c r="J79" s="40"/>
      <c r="K79" s="40">
        <f>-K78/K77</f>
        <v>0.2700059203545831</v>
      </c>
      <c r="L79" s="40">
        <f>-L78/L77</f>
        <v>0.26787362783619756</v>
      </c>
      <c r="M79" s="169"/>
      <c r="O79" s="40"/>
      <c r="P79" s="40">
        <f>-P78/P77</f>
        <v>0.18993487622468763</v>
      </c>
      <c r="Q79" s="40">
        <f>-Q78/Q77</f>
        <v>0.23455999325889818</v>
      </c>
      <c r="S79" s="40"/>
      <c r="T79" s="40">
        <f>-T78/T77</f>
        <v>0.20458459791151698</v>
      </c>
      <c r="U79" s="40">
        <f>-U78/U77</f>
        <v>0.11204502279509029</v>
      </c>
      <c r="W79" s="40"/>
      <c r="X79" s="40">
        <f>-X78/X77</f>
        <v>0.19194623273673905</v>
      </c>
      <c r="Y79" s="40">
        <f>-Y78/Y77</f>
        <v>0.23433317036672</v>
      </c>
      <c r="Z79" s="169"/>
      <c r="AB79" s="40"/>
      <c r="AC79" s="40">
        <f>-AC78/AC77</f>
        <v>-0.12920157755916797</v>
      </c>
      <c r="AD79" s="40">
        <f>-AD78/AD77</f>
        <v>-0.11048606611373055</v>
      </c>
    </row>
    <row r="80" spans="3:30" s="45" customFormat="1" x14ac:dyDescent="0.3">
      <c r="C80" s="86" t="s">
        <v>7</v>
      </c>
      <c r="D80" s="118"/>
      <c r="E80" s="87"/>
      <c r="F80" s="87">
        <f>SUM(F77:F78)</f>
        <v>771636.51274109492</v>
      </c>
      <c r="G80" s="87">
        <f>SUM(G77:G78)</f>
        <v>470857.60400059295</v>
      </c>
      <c r="H80" s="178">
        <f>G80/F80-1</f>
        <v>-0.38979351517729632</v>
      </c>
      <c r="J80" s="87"/>
      <c r="K80" s="87">
        <f>SUM(K77:K78)</f>
        <v>569887.13770154933</v>
      </c>
      <c r="L80" s="87">
        <f>SUM(L77:L78)</f>
        <v>319238.25464236288</v>
      </c>
      <c r="M80" s="178">
        <f t="shared" ref="M80" si="11">L80/K80-1</f>
        <v>-0.43982196908337945</v>
      </c>
      <c r="N80" s="49"/>
      <c r="O80" s="87"/>
      <c r="P80" s="87">
        <f>SUM(P77:P78)</f>
        <v>199852.53866792296</v>
      </c>
      <c r="Q80" s="87">
        <f>SUM(Q77:Q78)</f>
        <v>179767.94073050018</v>
      </c>
      <c r="R80" s="49"/>
      <c r="S80" s="87"/>
      <c r="T80" s="87">
        <f>SUM(T77:T78)</f>
        <v>31230.71212</v>
      </c>
      <c r="U80" s="87">
        <f>SUM(U77:U78)</f>
        <v>386.80719999999258</v>
      </c>
      <c r="V80" s="49"/>
      <c r="W80" s="87"/>
      <c r="X80" s="87">
        <f>SUM(X77:X78)</f>
        <v>231083.25078792282</v>
      </c>
      <c r="Y80" s="87">
        <f>SUM(Y77:Y78)</f>
        <v>180154.74793050019</v>
      </c>
      <c r="Z80" s="178">
        <f>Y80/X80-1</f>
        <v>-0.22039028221981516</v>
      </c>
      <c r="AA80" s="49"/>
      <c r="AB80" s="87"/>
      <c r="AC80" s="87">
        <f>SUM(AC77:AC78)</f>
        <v>-29333.875748377417</v>
      </c>
      <c r="AD80" s="87">
        <f>SUM(AD77:AD78)</f>
        <v>-28535.398572270373</v>
      </c>
    </row>
    <row r="81" spans="3:30" x14ac:dyDescent="0.3">
      <c r="C81" s="36" t="s">
        <v>8</v>
      </c>
      <c r="E81" s="42"/>
      <c r="F81" s="42">
        <f>VLOOKUP($C81,'Segment IFRS17'!$B$460:$G$531,6,0)/1000</f>
        <v>-79337.12301439498</v>
      </c>
      <c r="G81" s="42">
        <f>VLOOKUP($C81,'Segment IFRS17'!$B$539:$G$600,6,0)/1000</f>
        <v>-125762.86521146278</v>
      </c>
      <c r="H81" s="132">
        <f>G81/F81-1</f>
        <v>0.58517047799482569</v>
      </c>
      <c r="J81" s="42"/>
      <c r="K81" s="42">
        <f>VLOOKUP($C81,'Segment IFRS17'!$B$460:$G$531,2,0)/1000</f>
        <v>-36412.279649136864</v>
      </c>
      <c r="L81" s="42">
        <f>VLOOKUP($C81,'Segment IFRS17'!$B$539:$G$600,2,0)/1000</f>
        <v>-93994.462435332156</v>
      </c>
      <c r="M81" s="132">
        <f>L81/K81-1</f>
        <v>1.5813946103086201</v>
      </c>
      <c r="O81" s="42"/>
      <c r="P81" s="42">
        <f>VLOOKUP($C81,'Segment IFRS17'!$B$460:$G$531,3,0)/1000</f>
        <v>-36757.255769458112</v>
      </c>
      <c r="Q81" s="42">
        <f>VLOOKUP($C81,'Segment IFRS17'!$B$539:$G$600,3,0)/1000</f>
        <v>-32222.729427874638</v>
      </c>
      <c r="S81" s="42"/>
      <c r="T81" s="42">
        <f>VLOOKUP($C81,'Segment IFRS17'!$B$460:$G$531,4,0)/1000</f>
        <v>-6163.7302440000003</v>
      </c>
      <c r="U81" s="42">
        <f>VLOOKUP($C81,'Segment IFRS17'!$B$539:$G$600,4,0)/1000</f>
        <v>457.73463200000833</v>
      </c>
      <c r="W81" s="42"/>
      <c r="X81" s="42">
        <f>P81+T81</f>
        <v>-42920.98601345811</v>
      </c>
      <c r="Y81" s="42">
        <f>Q81+U81</f>
        <v>-31764.994795874631</v>
      </c>
      <c r="AB81" s="42"/>
      <c r="AC81" s="42">
        <f>VLOOKUP($C81,'Segment IFRS17'!$B$460:$G$531,5,0)/1000</f>
        <v>-3.857351799999575</v>
      </c>
      <c r="AD81" s="42">
        <f>VLOOKUP($C81,'Segment IFRS17'!$B$539:$G$600,5,0)/1000</f>
        <v>-3.4079802559996244</v>
      </c>
    </row>
    <row r="82" spans="3:30" x14ac:dyDescent="0.3">
      <c r="C82" s="39" t="s">
        <v>66</v>
      </c>
      <c r="D82" s="109"/>
      <c r="E82" s="40"/>
      <c r="F82" s="40">
        <f>-F81/F80</f>
        <v>0.10281670411443418</v>
      </c>
      <c r="G82" s="40">
        <f>-G81/G80</f>
        <v>0.26709320215481624</v>
      </c>
      <c r="H82" s="169"/>
      <c r="J82" s="40"/>
      <c r="K82" s="40">
        <f>-K81/K80</f>
        <v>6.3893843605584283E-2</v>
      </c>
      <c r="L82" s="40">
        <f>-L81/L80</f>
        <v>0.29443358077694209</v>
      </c>
      <c r="M82" s="169"/>
      <c r="O82" s="40"/>
      <c r="P82" s="40">
        <f>-P81/P80</f>
        <v>0.183921885678592</v>
      </c>
      <c r="Q82" s="40">
        <f>-Q81/Q80</f>
        <v>0.17924625101080438</v>
      </c>
      <c r="S82" s="40"/>
      <c r="T82" s="40">
        <f>-T81/T80</f>
        <v>0.19736118152915177</v>
      </c>
      <c r="U82" s="40">
        <f>-U81/U80</f>
        <v>-1.1833663696022647</v>
      </c>
      <c r="W82" s="40"/>
      <c r="X82" s="40">
        <f>-X81/X80</f>
        <v>0.18573819550794246</v>
      </c>
      <c r="Y82" s="40">
        <f>-Y81/Y80</f>
        <v>0.17632060859216922</v>
      </c>
      <c r="Z82" s="169"/>
      <c r="AB82" s="40"/>
      <c r="AC82" s="40">
        <f>-AC81/AC80</f>
        <v>-1.3149819795677499E-4</v>
      </c>
      <c r="AD82" s="40">
        <f>-AD81/AD80</f>
        <v>-1.1942991605210559E-4</v>
      </c>
    </row>
    <row r="83" spans="3:30" s="45" customFormat="1" x14ac:dyDescent="0.3">
      <c r="C83" s="86" t="s">
        <v>9</v>
      </c>
      <c r="D83" s="118"/>
      <c r="E83" s="87"/>
      <c r="F83" s="87">
        <f>SUM(F80:F81)</f>
        <v>692299.38972669991</v>
      </c>
      <c r="G83" s="87">
        <f>SUM(G80:G81)</f>
        <v>345094.73878913018</v>
      </c>
      <c r="H83" s="178">
        <f>G83/F83-1</f>
        <v>-0.5015238437154137</v>
      </c>
      <c r="J83" s="87"/>
      <c r="K83" s="87">
        <f>SUM(K80:K81)</f>
        <v>533474.85805241251</v>
      </c>
      <c r="L83" s="87">
        <f>SUM(L80:L81)</f>
        <v>225243.79220703072</v>
      </c>
      <c r="M83" s="178">
        <f t="shared" ref="M83" si="12">L83/K83-1</f>
        <v>-0.57777992944345824</v>
      </c>
      <c r="N83" s="49"/>
      <c r="O83" s="87"/>
      <c r="P83" s="87">
        <f>SUM(P80:P81)</f>
        <v>163095.28289846485</v>
      </c>
      <c r="Q83" s="87">
        <f>SUM(Q80:Q81)</f>
        <v>147545.21130262554</v>
      </c>
      <c r="R83" s="172"/>
      <c r="S83" s="87"/>
      <c r="T83" s="87">
        <f>SUM(T80:T81)</f>
        <v>25066.981875999998</v>
      </c>
      <c r="U83" s="87">
        <f>SUM(U80:U81)</f>
        <v>844.54183200000091</v>
      </c>
      <c r="V83" s="49"/>
      <c r="W83" s="87"/>
      <c r="X83" s="87">
        <f>SUM(X80:X81)</f>
        <v>188162.26477446471</v>
      </c>
      <c r="Y83" s="87">
        <f>SUM(Y80:Y81)</f>
        <v>148389.75313462556</v>
      </c>
      <c r="Z83" s="178">
        <f>Y83/X83-1</f>
        <v>-0.21137347431224496</v>
      </c>
      <c r="AA83" s="49"/>
      <c r="AB83" s="87"/>
      <c r="AC83" s="87">
        <f>SUM(AC80:AC81)</f>
        <v>-29337.733100177418</v>
      </c>
      <c r="AD83" s="87">
        <f>SUM(AD80:AD81)</f>
        <v>-28538.806552526374</v>
      </c>
    </row>
    <row r="84" spans="3:30" x14ac:dyDescent="0.3">
      <c r="C84" s="59" t="s">
        <v>51</v>
      </c>
      <c r="D84" s="119"/>
      <c r="E84" s="60"/>
      <c r="F84" s="60">
        <f>'Segment IFRS17'!G527/1000-'FY I.S IFRS17'!F83</f>
        <v>0.36399999994318932</v>
      </c>
      <c r="G84" s="60">
        <f>'Segment IFRS17'!G600/1000-'FY I.S IFRS17'!G83</f>
        <v>0.15799999900627881</v>
      </c>
      <c r="H84" s="222"/>
      <c r="I84" s="59"/>
      <c r="J84" s="60"/>
      <c r="K84" s="60">
        <f>'Segment IFRS17'!C527/1000-'FY I.S IFRS17'!K83</f>
        <v>0.11800000036600977</v>
      </c>
      <c r="L84" s="60">
        <f>'Segment IFRS17'!C600/1000-'FY I.S IFRS17'!L83</f>
        <v>-0.14699999990989454</v>
      </c>
      <c r="M84" s="222"/>
      <c r="N84" s="59"/>
      <c r="O84" s="60"/>
      <c r="P84" s="60">
        <f>'Segment IFRS17'!D527/1000-'FY I.S IFRS17'!P83</f>
        <v>0</v>
      </c>
      <c r="Q84" s="60">
        <f>'Segment IFRS17'!D600/1000-'FY I.S IFRS17'!Q83</f>
        <v>-2.9103830456733704E-10</v>
      </c>
      <c r="R84" s="59"/>
      <c r="S84" s="60"/>
      <c r="T84" s="60">
        <f>'Segment IFRS17'!E527/1000-'FY I.S IFRS17'!T83</f>
        <v>0</v>
      </c>
      <c r="U84" s="60">
        <f>'Segment IFRS17'!E600/1000-'FY I.S IFRS17'!U83</f>
        <v>-6.5938365878537297E-12</v>
      </c>
      <c r="V84" s="59"/>
      <c r="W84" s="60"/>
      <c r="X84" s="60">
        <f>X83-P83-T83</f>
        <v>-1.3824319466948509E-10</v>
      </c>
      <c r="Y84" s="60">
        <f>Y83-Q83-U83</f>
        <v>1.6257217794191092E-11</v>
      </c>
      <c r="Z84" s="222"/>
      <c r="AA84" s="59"/>
      <c r="AB84" s="60"/>
      <c r="AC84" s="60">
        <f>'Segment IFRS17'!F527/1000-'FY I.S IFRS17'!AC83</f>
        <v>0.24599999999918509</v>
      </c>
      <c r="AD84" s="60">
        <f>'Segment IFRS17'!F600/1000-'FY I.S IFRS17'!AD83</f>
        <v>0.30499999999665306</v>
      </c>
    </row>
    <row r="85" spans="3:30" x14ac:dyDescent="0.3">
      <c r="C85" s="39" t="s">
        <v>83</v>
      </c>
      <c r="D85" s="109"/>
      <c r="E85" s="40"/>
      <c r="F85" s="40">
        <f>F83/AVERAGE(E100:F100)</f>
        <v>0.21695538737062173</v>
      </c>
      <c r="G85" s="40">
        <f>G83/AVERAGE(F100:G100)</f>
        <v>9.4530784699674311E-2</v>
      </c>
      <c r="H85" s="169"/>
      <c r="J85" s="40"/>
      <c r="K85" s="40">
        <f>K83/AVERAGE(J101:K101)</f>
        <v>0.1869639266895276</v>
      </c>
      <c r="L85" s="40">
        <f>L83/AVERAGE(K101:L101)</f>
        <v>7.2541200387250038E-2</v>
      </c>
      <c r="M85" s="169"/>
      <c r="O85" s="40"/>
      <c r="P85" s="40">
        <f>P83/AVERAGE(O102:P102)</f>
        <v>0.52136503380314503</v>
      </c>
      <c r="Q85" s="40">
        <f>Q83/AVERAGE(P102:Q102)</f>
        <v>0.27811772428094605</v>
      </c>
      <c r="S85" s="40"/>
      <c r="T85" s="40">
        <f>T83/AVERAGE(S103:T103)</f>
        <v>1.0109673045883152</v>
      </c>
      <c r="U85" s="40">
        <f>U83/AVERAGE(T103:U103)</f>
        <v>5.6126777232196785E-2</v>
      </c>
      <c r="W85" s="40"/>
      <c r="X85" s="40">
        <f>X83/AVERAGE(SUM(W102:W103),SUM(X102:X103))</f>
        <v>0.55732190914456758</v>
      </c>
      <c r="Y85" s="40">
        <f>Y83/AVERAGE(SUM(X102:X103),SUM(Y102:Y103))</f>
        <v>0.27199501889520578</v>
      </c>
      <c r="Z85" s="169"/>
      <c r="AB85" s="40"/>
      <c r="AC85" s="40"/>
      <c r="AD85" s="40"/>
    </row>
    <row r="86" spans="3:30" x14ac:dyDescent="0.3">
      <c r="C86" s="39" t="s">
        <v>132</v>
      </c>
      <c r="D86" s="109"/>
      <c r="E86" s="40"/>
      <c r="F86" s="40">
        <f>F83/F105</f>
        <v>0.22278645220570492</v>
      </c>
      <c r="G86" s="40">
        <f>G83/G105</f>
        <v>9.6879719463491248E-2</v>
      </c>
      <c r="H86" s="40"/>
      <c r="J86" s="40"/>
      <c r="K86" s="40">
        <f>K83/K106</f>
        <v>0.19281772084227347</v>
      </c>
      <c r="L86" s="40">
        <f>L83/L106</f>
        <v>7.363731488091381E-2</v>
      </c>
      <c r="M86" s="169"/>
      <c r="O86" s="40"/>
      <c r="P86" s="40">
        <f>P83/P107</f>
        <v>0.50765841161774916</v>
      </c>
      <c r="Q86" s="40">
        <f>Q83/Q107</f>
        <v>0.29655785170247789</v>
      </c>
      <c r="S86" s="40"/>
      <c r="T86" s="40">
        <f>T83/T108</f>
        <v>1.2883869312597174</v>
      </c>
      <c r="U86" s="40">
        <f>U83/U108</f>
        <v>0.14708045962751443</v>
      </c>
      <c r="W86" s="40"/>
      <c r="X86" s="40">
        <f>X83/SUM(X107:X108)</f>
        <v>0.55223950545467615</v>
      </c>
      <c r="Y86" s="40">
        <f>Y83/SUM(Y107:Y108)</f>
        <v>0.29485238817112591</v>
      </c>
      <c r="Z86" s="169"/>
      <c r="AB86" s="40"/>
      <c r="AC86" s="40"/>
      <c r="AD86" s="40"/>
    </row>
    <row r="87" spans="3:30" x14ac:dyDescent="0.3">
      <c r="C87" s="39" t="s">
        <v>261</v>
      </c>
      <c r="D87" s="109"/>
      <c r="E87" s="41"/>
      <c r="F87" s="41"/>
      <c r="G87" s="41"/>
      <c r="H87" s="40"/>
      <c r="J87" s="40"/>
      <c r="K87" s="40">
        <f>K80/AVERAGE(J123:K123)</f>
        <v>2.6964043877708552E-2</v>
      </c>
      <c r="L87" s="40">
        <f>L80/AVERAGE(K123:L123)</f>
        <v>1.5635535492077041E-2</v>
      </c>
      <c r="M87" s="40"/>
      <c r="O87" s="40"/>
      <c r="P87" s="40"/>
      <c r="Q87" s="40"/>
      <c r="R87" s="40"/>
      <c r="S87" s="40"/>
      <c r="T87" s="40"/>
      <c r="U87" s="40"/>
      <c r="W87" s="40"/>
      <c r="X87" s="40"/>
      <c r="Y87" s="40"/>
      <c r="Z87" s="40"/>
      <c r="AB87" s="40"/>
      <c r="AC87" s="40"/>
      <c r="AD87" s="40"/>
    </row>
    <row r="88" spans="3:30" x14ac:dyDescent="0.3">
      <c r="C88" s="45"/>
      <c r="D88" s="112"/>
      <c r="E88" s="62"/>
      <c r="F88" s="62"/>
      <c r="G88" s="62"/>
      <c r="H88" s="131"/>
      <c r="J88" s="143"/>
      <c r="K88" s="143"/>
      <c r="L88" s="143"/>
      <c r="M88" s="131"/>
      <c r="O88" s="62"/>
      <c r="P88" s="62"/>
      <c r="Q88" s="62"/>
      <c r="S88" s="62"/>
      <c r="T88" s="62"/>
      <c r="U88" s="62"/>
      <c r="W88" s="62"/>
      <c r="X88" s="62"/>
      <c r="Y88" s="62"/>
      <c r="Z88" s="131"/>
      <c r="AB88" s="62"/>
      <c r="AC88" s="62"/>
      <c r="AD88" s="62"/>
    </row>
    <row r="89" spans="3:30" x14ac:dyDescent="0.3">
      <c r="C89" s="30" t="s">
        <v>171</v>
      </c>
      <c r="D89" s="30"/>
      <c r="E89" s="30"/>
      <c r="F89" s="30"/>
      <c r="G89" s="30"/>
      <c r="H89" s="30"/>
      <c r="J89" s="62"/>
      <c r="K89" s="143"/>
      <c r="L89" s="143"/>
      <c r="M89" s="83"/>
      <c r="O89" s="62"/>
      <c r="P89" s="62"/>
      <c r="Q89" s="62"/>
      <c r="S89" s="62"/>
      <c r="T89" s="62"/>
      <c r="U89" s="62"/>
      <c r="W89" s="62"/>
      <c r="X89" s="62"/>
      <c r="Y89" s="62"/>
      <c r="Z89" s="83"/>
      <c r="AB89" s="62"/>
      <c r="AC89" s="62"/>
      <c r="AD89" s="62"/>
    </row>
    <row r="90" spans="3:30" x14ac:dyDescent="0.3">
      <c r="C90" s="63" t="s">
        <v>172</v>
      </c>
      <c r="D90" s="150"/>
      <c r="E90" s="150">
        <f>E83</f>
        <v>0</v>
      </c>
      <c r="F90" s="150">
        <f>F83</f>
        <v>692299.38972669991</v>
      </c>
      <c r="G90" s="150">
        <f>G83</f>
        <v>345094.73878913018</v>
      </c>
      <c r="H90" s="168">
        <f>G90/F90-1</f>
        <v>-0.5015238437154137</v>
      </c>
      <c r="J90" s="143"/>
      <c r="K90" s="143"/>
      <c r="L90" s="143"/>
      <c r="M90" s="212"/>
      <c r="O90" s="62"/>
      <c r="P90" s="62"/>
      <c r="Q90" s="62"/>
      <c r="S90" s="62"/>
      <c r="T90" s="62"/>
      <c r="U90" s="62"/>
      <c r="W90" s="62"/>
      <c r="X90" s="62"/>
      <c r="Y90" s="62"/>
      <c r="Z90" s="212"/>
      <c r="AB90" s="62"/>
      <c r="AC90" s="62"/>
      <c r="AD90" s="62"/>
    </row>
    <row r="91" spans="3:30" x14ac:dyDescent="0.3">
      <c r="C91" s="65" t="str">
        <f>'Quarterly I.S'!C96</f>
        <v>Net effect of new Rent standard</v>
      </c>
      <c r="D91" s="70"/>
      <c r="E91" s="70"/>
      <c r="F91" s="70">
        <f>SUM('Quarterly I.S IFRS17'!F91:I91)</f>
        <v>24277.117131756</v>
      </c>
      <c r="G91" s="70">
        <f>SUM('Quarterly I.S IFRS17'!J91:M91)</f>
        <v>47968.624182298103</v>
      </c>
      <c r="J91" s="143"/>
      <c r="K91" s="143"/>
      <c r="L91" s="143"/>
      <c r="M91" s="213"/>
      <c r="O91" s="62"/>
      <c r="P91" s="62"/>
      <c r="Q91" s="62"/>
      <c r="S91" s="62"/>
      <c r="T91" s="62"/>
      <c r="U91" s="62"/>
      <c r="W91" s="62"/>
      <c r="X91" s="62"/>
      <c r="Y91" s="62"/>
      <c r="Z91" s="213"/>
      <c r="AB91" s="62"/>
      <c r="AC91" s="62"/>
      <c r="AD91" s="62"/>
    </row>
    <row r="92" spans="3:30" x14ac:dyDescent="0.3">
      <c r="C92" s="65" t="str">
        <f>'Quarterly I.S'!C98</f>
        <v>Tech Investments</v>
      </c>
      <c r="D92" s="70"/>
      <c r="E92" s="70"/>
      <c r="F92" s="70">
        <f>SUM('Quarterly I.S IFRS17'!F92:I92)</f>
        <v>37165.678209778693</v>
      </c>
      <c r="G92" s="70">
        <f>SUM('Quarterly I.S IFRS17'!J92:M92)</f>
        <v>36700.949021767789</v>
      </c>
      <c r="J92" s="143"/>
      <c r="K92" s="143"/>
      <c r="L92" s="143"/>
      <c r="M92" s="213"/>
      <c r="O92" s="62"/>
      <c r="P92" s="62"/>
      <c r="Q92" s="62"/>
      <c r="S92" s="62"/>
      <c r="T92" s="62"/>
      <c r="U92" s="62"/>
      <c r="W92" s="62"/>
      <c r="X92" s="62"/>
      <c r="Y92" s="62"/>
      <c r="Z92" s="213"/>
      <c r="AB92" s="62"/>
      <c r="AC92" s="62"/>
      <c r="AD92" s="62"/>
    </row>
    <row r="93" spans="3:30" x14ac:dyDescent="0.3">
      <c r="C93" s="65" t="str">
        <f>'Quarterly I.S'!C100</f>
        <v>ESOP</v>
      </c>
      <c r="D93" s="70"/>
      <c r="E93" s="70"/>
      <c r="F93" s="70">
        <f>SUM('Quarterly I.S IFRS17'!F93:I93)</f>
        <v>3009</v>
      </c>
      <c r="G93" s="70">
        <f>SUM('Quarterly I.S IFRS17'!J93:M93)</f>
        <v>2671.5461782500001</v>
      </c>
      <c r="J93" s="143"/>
      <c r="K93" s="143"/>
      <c r="L93" s="143"/>
      <c r="M93" s="213"/>
      <c r="O93" s="62"/>
      <c r="P93" s="62"/>
      <c r="Q93" s="62"/>
      <c r="S93" s="62"/>
      <c r="T93" s="62"/>
      <c r="U93" s="62"/>
      <c r="W93" s="62"/>
      <c r="X93" s="62"/>
      <c r="Y93" s="62"/>
      <c r="Z93" s="213"/>
      <c r="AB93" s="62"/>
      <c r="AC93" s="62"/>
      <c r="AD93" s="62"/>
    </row>
    <row r="94" spans="3:30" x14ac:dyDescent="0.3">
      <c r="C94" s="65" t="str">
        <f>'Quarterly I.S'!C101</f>
        <v>Tax adjustments</v>
      </c>
      <c r="D94" s="70"/>
      <c r="E94" s="70"/>
      <c r="F94" s="70">
        <f>SUM('Quarterly I.S IFRS17'!F94:I94)</f>
        <v>35339.275470643479</v>
      </c>
      <c r="G94" s="70">
        <f>SUM('Quarterly I.S IFRS17'!J94:M94)</f>
        <v>37697.900213123423</v>
      </c>
      <c r="J94" s="143"/>
      <c r="K94" s="143"/>
      <c r="L94" s="143"/>
      <c r="M94" s="213"/>
      <c r="O94" s="62"/>
      <c r="P94" s="62"/>
      <c r="Q94" s="62"/>
      <c r="S94" s="62"/>
      <c r="T94" s="62"/>
      <c r="U94" s="62"/>
      <c r="W94" s="62"/>
      <c r="X94" s="62"/>
      <c r="Y94" s="62"/>
      <c r="Z94" s="213"/>
      <c r="AB94" s="62"/>
      <c r="AC94" s="62"/>
      <c r="AD94" s="62"/>
    </row>
    <row r="95" spans="3:30" x14ac:dyDescent="0.3">
      <c r="C95" s="65" t="str">
        <f>'Quarterly I.S'!C102</f>
        <v>Special provision</v>
      </c>
      <c r="D95" s="70"/>
      <c r="E95" s="70"/>
      <c r="F95" s="70">
        <f>SUM('Quarterly I.S IFRS17'!F95:I95)</f>
        <v>-21880</v>
      </c>
      <c r="G95" s="70">
        <f>SUM('Quarterly I.S IFRS17'!J95:M95)</f>
        <v>5000</v>
      </c>
      <c r="J95" s="143"/>
      <c r="K95" s="143"/>
      <c r="L95" s="143"/>
      <c r="M95" s="213"/>
      <c r="O95" s="62"/>
      <c r="P95" s="62"/>
      <c r="Q95" s="62"/>
      <c r="S95" s="62"/>
      <c r="T95" s="62"/>
      <c r="U95" s="62"/>
      <c r="W95" s="62"/>
      <c r="X95" s="62"/>
      <c r="Y95" s="62"/>
      <c r="Z95" s="213"/>
      <c r="AB95" s="62"/>
      <c r="AC95" s="62"/>
      <c r="AD95" s="62"/>
    </row>
    <row r="96" spans="3:30" ht="13.5" thickBot="1" x14ac:dyDescent="0.35">
      <c r="C96" s="151" t="s">
        <v>171</v>
      </c>
      <c r="D96" s="154"/>
      <c r="E96" s="154"/>
      <c r="F96" s="154">
        <f>SUM(F90:F95)</f>
        <v>770210.46053887811</v>
      </c>
      <c r="G96" s="154">
        <f>SUM(G90:G95)</f>
        <v>475133.75838456943</v>
      </c>
      <c r="H96" s="175">
        <f>G96/F96-1</f>
        <v>-0.38311178213271491</v>
      </c>
      <c r="J96" s="53"/>
      <c r="K96" s="53"/>
      <c r="L96" s="53"/>
      <c r="M96" s="145"/>
      <c r="O96" s="62"/>
      <c r="P96" s="62"/>
      <c r="Q96" s="62"/>
      <c r="S96" s="62"/>
      <c r="T96" s="62"/>
      <c r="U96" s="62"/>
      <c r="W96" s="62"/>
      <c r="X96" s="62"/>
      <c r="Y96" s="62"/>
      <c r="Z96" s="213"/>
      <c r="AB96" s="62"/>
      <c r="AC96" s="62"/>
      <c r="AD96" s="62"/>
    </row>
    <row r="97" spans="2:30" ht="13.5" thickTop="1" x14ac:dyDescent="0.3">
      <c r="C97" s="45"/>
      <c r="D97" s="112"/>
      <c r="E97" s="131"/>
      <c r="F97" s="131"/>
      <c r="G97" s="131"/>
      <c r="H97" s="131"/>
      <c r="J97" s="143"/>
      <c r="K97" s="143"/>
      <c r="L97" s="143"/>
      <c r="M97" s="131"/>
      <c r="O97" s="62"/>
      <c r="P97" s="62"/>
      <c r="Q97" s="62"/>
      <c r="S97" s="62"/>
      <c r="T97" s="62"/>
      <c r="U97" s="62"/>
      <c r="W97" s="62"/>
      <c r="X97" s="62"/>
      <c r="Y97" s="62"/>
      <c r="Z97" s="131"/>
      <c r="AB97" s="62"/>
      <c r="AC97" s="62"/>
      <c r="AD97" s="62"/>
    </row>
    <row r="98" spans="2:30" s="32" customFormat="1" x14ac:dyDescent="0.3">
      <c r="B98" s="29"/>
      <c r="C98" s="30" t="s">
        <v>102</v>
      </c>
      <c r="D98" s="30"/>
      <c r="E98" s="31"/>
      <c r="F98" s="31"/>
      <c r="G98" s="31"/>
      <c r="H98" s="180"/>
      <c r="J98" s="31"/>
      <c r="K98" s="31"/>
      <c r="L98" s="31"/>
      <c r="M98" s="180"/>
      <c r="O98" s="31"/>
      <c r="P98" s="31"/>
      <c r="Q98" s="31"/>
      <c r="S98" s="31"/>
      <c r="T98" s="31"/>
      <c r="U98" s="31"/>
      <c r="W98" s="31"/>
      <c r="X98" s="31"/>
      <c r="Y98" s="31"/>
      <c r="Z98" s="180"/>
      <c r="AA98" s="36"/>
      <c r="AB98" s="31"/>
      <c r="AC98" s="31"/>
      <c r="AD98" s="31"/>
    </row>
    <row r="99" spans="2:30" s="35" customFormat="1" x14ac:dyDescent="0.3">
      <c r="B99" s="33"/>
      <c r="C99" s="63" t="s">
        <v>103</v>
      </c>
      <c r="D99" s="63"/>
      <c r="E99" s="34"/>
      <c r="F99" s="34"/>
      <c r="G99" s="34"/>
      <c r="H99" s="168"/>
      <c r="J99" s="34"/>
      <c r="K99" s="34"/>
      <c r="L99" s="34"/>
      <c r="M99" s="168"/>
      <c r="O99" s="34"/>
      <c r="P99" s="34"/>
      <c r="Q99" s="34"/>
      <c r="S99" s="34"/>
      <c r="T99" s="34"/>
      <c r="U99" s="34"/>
      <c r="W99" s="34"/>
      <c r="X99" s="34"/>
      <c r="Y99" s="34"/>
      <c r="Z99" s="168"/>
      <c r="AA99" s="205"/>
      <c r="AB99" s="34"/>
      <c r="AC99" s="34"/>
      <c r="AD99" s="34"/>
    </row>
    <row r="100" spans="2:30" s="64" customFormat="1" x14ac:dyDescent="0.3">
      <c r="C100" s="65" t="s">
        <v>81</v>
      </c>
      <c r="D100" s="77"/>
      <c r="E100" s="69">
        <f>'Quarterly I.S IFRS17'!E100</f>
        <v>2904358.2520794603</v>
      </c>
      <c r="F100" s="69">
        <f>'Quarterly I.S IFRS17'!I100</f>
        <v>3477593.3382173507</v>
      </c>
      <c r="G100" s="69">
        <f>'Quarterly I.S IFRS17'!M100</f>
        <v>3823620.544339559</v>
      </c>
      <c r="H100" s="182">
        <f>G100/F100-1</f>
        <v>9.9501917696790176E-2</v>
      </c>
      <c r="J100" s="67">
        <f>$E100</f>
        <v>2904358.2520794603</v>
      </c>
      <c r="K100" s="67">
        <f t="shared" ref="K100:K103" si="13">$F100</f>
        <v>3477593.3382173507</v>
      </c>
      <c r="L100" s="67">
        <f>$G100</f>
        <v>3823620.544339559</v>
      </c>
      <c r="M100" s="182">
        <f>L100/K100-1</f>
        <v>9.9501917696790176E-2</v>
      </c>
      <c r="O100" s="67">
        <f>$E100</f>
        <v>2904358.2520794603</v>
      </c>
      <c r="P100" s="67">
        <f t="shared" ref="P100:P103" si="14">$F100</f>
        <v>3477593.3382173507</v>
      </c>
      <c r="Q100" s="67">
        <f>$G100</f>
        <v>3823620.544339559</v>
      </c>
      <c r="S100" s="67">
        <f>$E100</f>
        <v>2904358.2520794603</v>
      </c>
      <c r="T100" s="67">
        <f t="shared" ref="T100:T103" si="15">$F100</f>
        <v>3477593.3382173507</v>
      </c>
      <c r="U100" s="67">
        <f>$G100</f>
        <v>3823620.544339559</v>
      </c>
      <c r="W100" s="67">
        <f>$E100</f>
        <v>2904358.2520794603</v>
      </c>
      <c r="X100" s="67">
        <f t="shared" ref="X100:X103" si="16">$F100</f>
        <v>3477593.3382173507</v>
      </c>
      <c r="Y100" s="67">
        <f>$G100</f>
        <v>3823620.544339559</v>
      </c>
      <c r="Z100" s="182">
        <f>Y100/X100-1</f>
        <v>9.9501917696790176E-2</v>
      </c>
      <c r="AB100" s="67">
        <f>$E100</f>
        <v>2904358.2520794603</v>
      </c>
      <c r="AC100" s="67">
        <f t="shared" ref="AC100:AC103" si="17">$F100</f>
        <v>3477593.3382173507</v>
      </c>
      <c r="AD100" s="67">
        <f>$G100</f>
        <v>3823620.544339559</v>
      </c>
    </row>
    <row r="101" spans="2:30" s="64" customFormat="1" x14ac:dyDescent="0.3">
      <c r="C101" s="65" t="s">
        <v>82</v>
      </c>
      <c r="D101" s="77"/>
      <c r="E101" s="67">
        <f>E100-E102-E103</f>
        <v>2617152.4164260603</v>
      </c>
      <c r="F101" s="67">
        <f>F100-F102-F103</f>
        <v>3089561.8947073505</v>
      </c>
      <c r="G101" s="67">
        <f>G100-G102-G103</f>
        <v>3120530.8802840034</v>
      </c>
      <c r="H101" s="183">
        <f>G101/F101-1</f>
        <v>1.0023746612652484E-2</v>
      </c>
      <c r="J101" s="67">
        <f>$E101</f>
        <v>2617152.4164260603</v>
      </c>
      <c r="K101" s="67">
        <f t="shared" si="13"/>
        <v>3089561.8947073505</v>
      </c>
      <c r="L101" s="67">
        <f>$G101</f>
        <v>3120530.8802840034</v>
      </c>
      <c r="M101" s="183">
        <f>L101/K101-1</f>
        <v>1.0023746612652484E-2</v>
      </c>
      <c r="O101" s="67">
        <f>$E101</f>
        <v>2617152.4164260603</v>
      </c>
      <c r="P101" s="67">
        <f t="shared" si="14"/>
        <v>3089561.8947073505</v>
      </c>
      <c r="Q101" s="67">
        <f>$G101</f>
        <v>3120530.8802840034</v>
      </c>
      <c r="S101" s="67">
        <f>$E101</f>
        <v>2617152.4164260603</v>
      </c>
      <c r="T101" s="67">
        <f t="shared" si="15"/>
        <v>3089561.8947073505</v>
      </c>
      <c r="U101" s="67">
        <f>$G101</f>
        <v>3120530.8802840034</v>
      </c>
      <c r="W101" s="67">
        <f>$E101</f>
        <v>2617152.4164260603</v>
      </c>
      <c r="X101" s="67">
        <f t="shared" si="16"/>
        <v>3089561.8947073505</v>
      </c>
      <c r="Y101" s="67">
        <f>$G101</f>
        <v>3120530.8802840034</v>
      </c>
      <c r="Z101" s="183">
        <f>Y101/X101-1</f>
        <v>1.0023746612652484E-2</v>
      </c>
      <c r="AB101" s="67">
        <f>$E101</f>
        <v>2617152.4164260603</v>
      </c>
      <c r="AC101" s="67">
        <f t="shared" si="17"/>
        <v>3089561.8947073505</v>
      </c>
      <c r="AD101" s="67">
        <f>$G101</f>
        <v>3120530.8802840034</v>
      </c>
    </row>
    <row r="102" spans="2:30" s="64" customFormat="1" x14ac:dyDescent="0.3">
      <c r="C102" s="65" t="s">
        <v>80</v>
      </c>
      <c r="D102" s="77"/>
      <c r="E102" s="69">
        <f>'Quarterly I.S IFRS17'!E102</f>
        <v>264738.25029579998</v>
      </c>
      <c r="F102" s="69">
        <f>'Quarterly I.S IFRS17'!I102</f>
        <v>360908.93478200003</v>
      </c>
      <c r="G102" s="69">
        <f>'Quarterly I.S IFRS17'!M102</f>
        <v>700118.09385555552</v>
      </c>
      <c r="H102" s="182">
        <f>G102/F102-1</f>
        <v>0.93987465086850275</v>
      </c>
      <c r="J102" s="67">
        <f>$E102</f>
        <v>264738.25029579998</v>
      </c>
      <c r="K102" s="67">
        <f t="shared" si="13"/>
        <v>360908.93478200003</v>
      </c>
      <c r="L102" s="67">
        <f>$G102</f>
        <v>700118.09385555552</v>
      </c>
      <c r="M102" s="182">
        <f>L102/K102-1</f>
        <v>0.93987465086850275</v>
      </c>
      <c r="O102" s="67">
        <f>$E102</f>
        <v>264738.25029579998</v>
      </c>
      <c r="P102" s="67">
        <f t="shared" si="14"/>
        <v>360908.93478200003</v>
      </c>
      <c r="Q102" s="67">
        <f>$G102</f>
        <v>700118.09385555552</v>
      </c>
      <c r="S102" s="67">
        <f>$E102</f>
        <v>264738.25029579998</v>
      </c>
      <c r="T102" s="67">
        <f t="shared" si="15"/>
        <v>360908.93478200003</v>
      </c>
      <c r="U102" s="67">
        <f>$G102</f>
        <v>700118.09385555552</v>
      </c>
      <c r="W102" s="67">
        <f>$E102</f>
        <v>264738.25029579998</v>
      </c>
      <c r="X102" s="67">
        <f t="shared" si="16"/>
        <v>360908.93478200003</v>
      </c>
      <c r="Y102" s="67">
        <f>$G102</f>
        <v>700118.09385555552</v>
      </c>
      <c r="Z102" s="182">
        <f>Y102/X102-1</f>
        <v>0.93987465086850275</v>
      </c>
      <c r="AB102" s="67">
        <f>$E102</f>
        <v>264738.25029579998</v>
      </c>
      <c r="AC102" s="67">
        <f t="shared" si="17"/>
        <v>360908.93478200003</v>
      </c>
      <c r="AD102" s="67">
        <f>$G102</f>
        <v>700118.09385555552</v>
      </c>
    </row>
    <row r="103" spans="2:30" s="64" customFormat="1" x14ac:dyDescent="0.3">
      <c r="C103" s="65" t="s">
        <v>190</v>
      </c>
      <c r="D103" s="77"/>
      <c r="E103" s="69">
        <f>'Quarterly I.S IFRS17'!E103</f>
        <v>22467.585357600008</v>
      </c>
      <c r="F103" s="69">
        <f>'Quarterly I.S IFRS17'!I103</f>
        <v>27122.508728000004</v>
      </c>
      <c r="G103" s="69">
        <f>'Quarterly I.S IFRS17'!M103</f>
        <v>2971.5701999999665</v>
      </c>
      <c r="H103" s="182">
        <f>G103/F103-1</f>
        <v>-0.89043896234671471</v>
      </c>
      <c r="J103" s="67">
        <f>$E103</f>
        <v>22467.585357600008</v>
      </c>
      <c r="K103" s="67">
        <f t="shared" si="13"/>
        <v>27122.508728000004</v>
      </c>
      <c r="L103" s="67">
        <f>$G103</f>
        <v>2971.5701999999665</v>
      </c>
      <c r="M103" s="182">
        <f>L103/K103-1</f>
        <v>-0.89043896234671471</v>
      </c>
      <c r="O103" s="67">
        <f>$E103</f>
        <v>22467.585357600008</v>
      </c>
      <c r="P103" s="67">
        <f t="shared" si="14"/>
        <v>27122.508728000004</v>
      </c>
      <c r="Q103" s="67">
        <f>$G103</f>
        <v>2971.5701999999665</v>
      </c>
      <c r="S103" s="67">
        <f>$E103</f>
        <v>22467.585357600008</v>
      </c>
      <c r="T103" s="67">
        <f t="shared" si="15"/>
        <v>27122.508728000004</v>
      </c>
      <c r="U103" s="67">
        <f>$G103</f>
        <v>2971.5701999999665</v>
      </c>
      <c r="W103" s="67">
        <f>$E103</f>
        <v>22467.585357600008</v>
      </c>
      <c r="X103" s="67">
        <f t="shared" si="16"/>
        <v>27122.508728000004</v>
      </c>
      <c r="Y103" s="67">
        <f>$G103</f>
        <v>2971.5701999999665</v>
      </c>
      <c r="Z103" s="182">
        <f>Y103/X103-1</f>
        <v>-0.89043896234671471</v>
      </c>
      <c r="AB103" s="67">
        <f>$E103</f>
        <v>22467.585357600008</v>
      </c>
      <c r="AC103" s="67">
        <f t="shared" si="17"/>
        <v>27122.508728000004</v>
      </c>
      <c r="AD103" s="67">
        <f>$G103</f>
        <v>2971.5701999999665</v>
      </c>
    </row>
    <row r="104" spans="2:30" x14ac:dyDescent="0.3">
      <c r="C104" s="71"/>
      <c r="D104" s="120"/>
      <c r="E104" s="68"/>
      <c r="F104" s="248"/>
      <c r="G104" s="248"/>
      <c r="H104" s="209"/>
      <c r="J104" s="70"/>
      <c r="K104" s="70"/>
      <c r="L104" s="70"/>
      <c r="M104" s="209"/>
      <c r="O104" s="70"/>
      <c r="P104" s="70"/>
      <c r="Q104" s="70"/>
      <c r="S104" s="70"/>
      <c r="T104" s="70"/>
      <c r="U104" s="70"/>
      <c r="W104" s="70"/>
      <c r="X104" s="70"/>
      <c r="Y104" s="70"/>
      <c r="Z104" s="209"/>
      <c r="AB104" s="70"/>
      <c r="AC104" s="70"/>
      <c r="AD104" s="70"/>
    </row>
    <row r="105" spans="2:30" s="64" customFormat="1" x14ac:dyDescent="0.3">
      <c r="C105" s="65" t="s">
        <v>129</v>
      </c>
      <c r="D105" s="77"/>
      <c r="E105" s="69">
        <v>2540804.2364765615</v>
      </c>
      <c r="F105" s="69">
        <f>AVERAGE('Quarterly I.S IFRS17'!F105:I105)</f>
        <v>3107457.3111271625</v>
      </c>
      <c r="G105" s="69">
        <f>AVERAGE('Quarterly I.S IFRS17'!J105:M105)</f>
        <v>3562094.7366510262</v>
      </c>
      <c r="H105" s="182"/>
      <c r="J105" s="67">
        <f>$E105</f>
        <v>2540804.2364765615</v>
      </c>
      <c r="K105" s="67">
        <f t="shared" ref="K105:K108" si="18">$F105</f>
        <v>3107457.3111271625</v>
      </c>
      <c r="L105" s="67">
        <f>$G105</f>
        <v>3562094.7366510262</v>
      </c>
      <c r="M105" s="182"/>
      <c r="O105" s="67">
        <f>$E105</f>
        <v>2540804.2364765615</v>
      </c>
      <c r="P105" s="67">
        <f t="shared" ref="P105:P108" si="19">$F105</f>
        <v>3107457.3111271625</v>
      </c>
      <c r="Q105" s="67">
        <f>$G105</f>
        <v>3562094.7366510262</v>
      </c>
      <c r="S105" s="67">
        <f>$E105</f>
        <v>2540804.2364765615</v>
      </c>
      <c r="T105" s="67">
        <f t="shared" ref="T105:T108" si="20">$F105</f>
        <v>3107457.3111271625</v>
      </c>
      <c r="U105" s="67">
        <f>$G105</f>
        <v>3562094.7366510262</v>
      </c>
      <c r="W105" s="67">
        <f>$E105</f>
        <v>2540804.2364765615</v>
      </c>
      <c r="X105" s="67">
        <f t="shared" ref="X105:X108" si="21">$F105</f>
        <v>3107457.3111271625</v>
      </c>
      <c r="Y105" s="67">
        <f>$G105</f>
        <v>3562094.7366510262</v>
      </c>
      <c r="Z105" s="182"/>
      <c r="AB105" s="67">
        <f>$E105</f>
        <v>2540804.2364765615</v>
      </c>
      <c r="AC105" s="67">
        <f t="shared" ref="AC105:AC108" si="22">$F105</f>
        <v>3107457.3111271625</v>
      </c>
      <c r="AD105" s="67">
        <f>$G105</f>
        <v>3562094.7366510262</v>
      </c>
    </row>
    <row r="106" spans="2:30" s="64" customFormat="1" x14ac:dyDescent="0.3">
      <c r="C106" s="65" t="s">
        <v>130</v>
      </c>
      <c r="D106" s="77"/>
      <c r="E106" s="70">
        <f>E105-E107-E108</f>
        <v>-2540804.2364765615</v>
      </c>
      <c r="F106" s="70">
        <f>F105-F107-F108</f>
        <v>2766731.4794618874</v>
      </c>
      <c r="G106" s="70">
        <f>G105-G107-G108</f>
        <v>3058826.7995824502</v>
      </c>
      <c r="H106" s="181"/>
      <c r="J106" s="67">
        <f>$E106</f>
        <v>-2540804.2364765615</v>
      </c>
      <c r="K106" s="67">
        <f t="shared" si="18"/>
        <v>2766731.4794618874</v>
      </c>
      <c r="L106" s="67">
        <f>$G106</f>
        <v>3058826.7995824502</v>
      </c>
      <c r="M106" s="181"/>
      <c r="O106" s="67">
        <f>$E106</f>
        <v>-2540804.2364765615</v>
      </c>
      <c r="P106" s="67">
        <f t="shared" si="19"/>
        <v>2766731.4794618874</v>
      </c>
      <c r="Q106" s="67">
        <f>$G106</f>
        <v>3058826.7995824502</v>
      </c>
      <c r="S106" s="67">
        <f>$E106</f>
        <v>-2540804.2364765615</v>
      </c>
      <c r="T106" s="67">
        <f t="shared" si="20"/>
        <v>2766731.4794618874</v>
      </c>
      <c r="U106" s="67">
        <f>$G106</f>
        <v>3058826.7995824502</v>
      </c>
      <c r="W106" s="67">
        <f>$E106</f>
        <v>-2540804.2364765615</v>
      </c>
      <c r="X106" s="67">
        <f t="shared" si="21"/>
        <v>2766731.4794618874</v>
      </c>
      <c r="Y106" s="67">
        <f>$G106</f>
        <v>3058826.7995824502</v>
      </c>
      <c r="Z106" s="181"/>
      <c r="AB106" s="67">
        <f>$E106</f>
        <v>-2540804.2364765615</v>
      </c>
      <c r="AC106" s="67">
        <f t="shared" si="22"/>
        <v>2766731.4794618874</v>
      </c>
      <c r="AD106" s="67">
        <f>$G106</f>
        <v>3058826.7995824502</v>
      </c>
    </row>
    <row r="107" spans="2:30" s="64" customFormat="1" x14ac:dyDescent="0.3">
      <c r="C107" s="65" t="s">
        <v>131</v>
      </c>
      <c r="D107" s="77"/>
      <c r="E107" s="69">
        <v>2540804.2364765615</v>
      </c>
      <c r="F107" s="69">
        <f>AVERAGE('Quarterly I.S IFRS17'!F107:I107)</f>
        <v>321269.73406927503</v>
      </c>
      <c r="G107" s="69">
        <f>AVERAGE('Quarterly I.S IFRS17'!J107:M107)</f>
        <v>497525.89741124271</v>
      </c>
      <c r="H107" s="182"/>
      <c r="J107" s="67">
        <f>$E107</f>
        <v>2540804.2364765615</v>
      </c>
      <c r="K107" s="67">
        <f t="shared" si="18"/>
        <v>321269.73406927503</v>
      </c>
      <c r="L107" s="67">
        <f>$G107</f>
        <v>497525.89741124271</v>
      </c>
      <c r="M107" s="182"/>
      <c r="O107" s="67">
        <f>$E107</f>
        <v>2540804.2364765615</v>
      </c>
      <c r="P107" s="67">
        <f t="shared" si="19"/>
        <v>321269.73406927503</v>
      </c>
      <c r="Q107" s="67">
        <f>$G107</f>
        <v>497525.89741124271</v>
      </c>
      <c r="S107" s="67">
        <f>$E107</f>
        <v>2540804.2364765615</v>
      </c>
      <c r="T107" s="67">
        <f t="shared" si="20"/>
        <v>321269.73406927503</v>
      </c>
      <c r="U107" s="67">
        <f>$G107</f>
        <v>497525.89741124271</v>
      </c>
      <c r="W107" s="67">
        <f>$E107</f>
        <v>2540804.2364765615</v>
      </c>
      <c r="X107" s="67">
        <f t="shared" si="21"/>
        <v>321269.73406927503</v>
      </c>
      <c r="Y107" s="67">
        <f>$G107</f>
        <v>497525.89741124271</v>
      </c>
      <c r="Z107" s="182"/>
      <c r="AB107" s="67">
        <f>$E107</f>
        <v>2540804.2364765615</v>
      </c>
      <c r="AC107" s="67">
        <f t="shared" si="22"/>
        <v>321269.73406927503</v>
      </c>
      <c r="AD107" s="67">
        <f>$G107</f>
        <v>497525.89741124271</v>
      </c>
    </row>
    <row r="108" spans="2:30" s="64" customFormat="1" x14ac:dyDescent="0.3">
      <c r="C108" s="65" t="s">
        <v>191</v>
      </c>
      <c r="D108" s="77"/>
      <c r="E108" s="69">
        <v>2540804.2364765615</v>
      </c>
      <c r="F108" s="69">
        <f>AVERAGE('Quarterly I.S IFRS17'!F108:I108)</f>
        <v>19456.097595999996</v>
      </c>
      <c r="G108" s="69">
        <f>AVERAGE('Quarterly I.S IFRS17'!J108:M108)</f>
        <v>5742.0396573333255</v>
      </c>
      <c r="H108" s="182"/>
      <c r="J108" s="67">
        <f>$E108</f>
        <v>2540804.2364765615</v>
      </c>
      <c r="K108" s="67">
        <f t="shared" si="18"/>
        <v>19456.097595999996</v>
      </c>
      <c r="L108" s="67">
        <f>$G108</f>
        <v>5742.0396573333255</v>
      </c>
      <c r="M108" s="182"/>
      <c r="O108" s="67">
        <f>$E108</f>
        <v>2540804.2364765615</v>
      </c>
      <c r="P108" s="67">
        <f t="shared" si="19"/>
        <v>19456.097595999996</v>
      </c>
      <c r="Q108" s="67">
        <f>$G108</f>
        <v>5742.0396573333255</v>
      </c>
      <c r="S108" s="67">
        <f>$E108</f>
        <v>2540804.2364765615</v>
      </c>
      <c r="T108" s="67">
        <f t="shared" si="20"/>
        <v>19456.097595999996</v>
      </c>
      <c r="U108" s="67">
        <f>$G108</f>
        <v>5742.0396573333255</v>
      </c>
      <c r="W108" s="67">
        <f>$E108</f>
        <v>2540804.2364765615</v>
      </c>
      <c r="X108" s="67">
        <f t="shared" si="21"/>
        <v>19456.097595999996</v>
      </c>
      <c r="Y108" s="67">
        <f>$G108</f>
        <v>5742.0396573333255</v>
      </c>
      <c r="Z108" s="182"/>
      <c r="AB108" s="67">
        <f>$E108</f>
        <v>2540804.2364765615</v>
      </c>
      <c r="AC108" s="67">
        <f t="shared" si="22"/>
        <v>19456.097595999996</v>
      </c>
      <c r="AD108" s="67">
        <f>$G108</f>
        <v>5742.0396573333255</v>
      </c>
    </row>
    <row r="109" spans="2:30" x14ac:dyDescent="0.3">
      <c r="C109" s="39" t="s">
        <v>104</v>
      </c>
      <c r="D109" s="109"/>
      <c r="E109" s="40">
        <f t="shared" ref="E109:G110" si="23">E85</f>
        <v>0</v>
      </c>
      <c r="F109" s="40">
        <f t="shared" si="23"/>
        <v>0.21695538737062173</v>
      </c>
      <c r="G109" s="40">
        <f t="shared" si="23"/>
        <v>9.4530784699674311E-2</v>
      </c>
      <c r="H109" s="169"/>
      <c r="J109" s="40">
        <f t="shared" ref="J109:L110" si="24">J85</f>
        <v>0</v>
      </c>
      <c r="K109" s="40">
        <f t="shared" si="24"/>
        <v>0.1869639266895276</v>
      </c>
      <c r="L109" s="40">
        <f t="shared" si="24"/>
        <v>7.2541200387250038E-2</v>
      </c>
      <c r="M109" s="169"/>
      <c r="O109" s="40">
        <f t="shared" ref="O109:Q109" si="25">O85</f>
        <v>0</v>
      </c>
      <c r="P109" s="40">
        <f t="shared" si="25"/>
        <v>0.52136503380314503</v>
      </c>
      <c r="Q109" s="40">
        <f t="shared" si="25"/>
        <v>0.27811772428094605</v>
      </c>
      <c r="S109" s="40">
        <f t="shared" ref="S109:U109" si="26">S85</f>
        <v>0</v>
      </c>
      <c r="T109" s="40">
        <f t="shared" si="26"/>
        <v>1.0109673045883152</v>
      </c>
      <c r="U109" s="40">
        <f t="shared" si="26"/>
        <v>5.6126777232196785E-2</v>
      </c>
      <c r="W109" s="40">
        <f t="shared" ref="W109:Y109" si="27">W85</f>
        <v>0</v>
      </c>
      <c r="X109" s="40">
        <f t="shared" si="27"/>
        <v>0.55732190914456758</v>
      </c>
      <c r="Y109" s="40">
        <f t="shared" si="27"/>
        <v>0.27199501889520578</v>
      </c>
      <c r="Z109" s="169"/>
      <c r="AB109" s="40">
        <f t="shared" ref="AB109:AD109" si="28">AB85</f>
        <v>0</v>
      </c>
      <c r="AC109" s="40">
        <f t="shared" si="28"/>
        <v>0</v>
      </c>
      <c r="AD109" s="40">
        <f t="shared" si="28"/>
        <v>0</v>
      </c>
    </row>
    <row r="110" spans="2:30" x14ac:dyDescent="0.3">
      <c r="C110" s="39" t="s">
        <v>132</v>
      </c>
      <c r="D110" s="109"/>
      <c r="E110" s="40">
        <f t="shared" si="23"/>
        <v>0</v>
      </c>
      <c r="F110" s="40">
        <f t="shared" si="23"/>
        <v>0.22278645220570492</v>
      </c>
      <c r="G110" s="40">
        <f t="shared" si="23"/>
        <v>9.6879719463491248E-2</v>
      </c>
      <c r="H110" s="169"/>
      <c r="J110" s="40">
        <f t="shared" si="24"/>
        <v>0</v>
      </c>
      <c r="K110" s="40">
        <f t="shared" si="24"/>
        <v>0.19281772084227347</v>
      </c>
      <c r="L110" s="40">
        <f t="shared" si="24"/>
        <v>7.363731488091381E-2</v>
      </c>
      <c r="M110" s="169"/>
      <c r="O110" s="40">
        <f t="shared" ref="O110:Q110" si="29">O86</f>
        <v>0</v>
      </c>
      <c r="P110" s="40">
        <f t="shared" si="29"/>
        <v>0.50765841161774916</v>
      </c>
      <c r="Q110" s="40">
        <f t="shared" si="29"/>
        <v>0.29655785170247789</v>
      </c>
      <c r="S110" s="40">
        <f t="shared" ref="S110:U110" si="30">S86</f>
        <v>0</v>
      </c>
      <c r="T110" s="40">
        <f t="shared" si="30"/>
        <v>1.2883869312597174</v>
      </c>
      <c r="U110" s="40">
        <f t="shared" si="30"/>
        <v>0.14708045962751443</v>
      </c>
      <c r="W110" s="40">
        <f t="shared" ref="W110:Y110" si="31">W86</f>
        <v>0</v>
      </c>
      <c r="X110" s="40">
        <f t="shared" si="31"/>
        <v>0.55223950545467615</v>
      </c>
      <c r="Y110" s="40">
        <f t="shared" si="31"/>
        <v>0.29485238817112591</v>
      </c>
      <c r="Z110" s="169"/>
      <c r="AB110" s="40">
        <f t="shared" ref="AB110:AD110" si="32">AB86</f>
        <v>0</v>
      </c>
      <c r="AC110" s="40">
        <f t="shared" si="32"/>
        <v>0</v>
      </c>
      <c r="AD110" s="40">
        <f t="shared" si="32"/>
        <v>0</v>
      </c>
    </row>
    <row r="111" spans="2:30" s="64" customFormat="1" x14ac:dyDescent="0.3">
      <c r="C111" s="65"/>
      <c r="D111" s="77"/>
      <c r="E111" s="66"/>
      <c r="F111" s="66"/>
      <c r="G111" s="66"/>
      <c r="H111" s="184"/>
      <c r="J111" s="67"/>
      <c r="K111" s="67"/>
      <c r="L111" s="67"/>
      <c r="M111" s="184"/>
      <c r="O111" s="67"/>
      <c r="P111" s="67"/>
      <c r="Q111" s="67"/>
      <c r="S111" s="67"/>
      <c r="T111" s="67"/>
      <c r="U111" s="67"/>
      <c r="W111" s="67"/>
      <c r="X111" s="67"/>
      <c r="Y111" s="67"/>
      <c r="Z111" s="184"/>
      <c r="AB111" s="67"/>
      <c r="AC111" s="67"/>
      <c r="AD111" s="67"/>
    </row>
    <row r="112" spans="2:30" s="82" customFormat="1" x14ac:dyDescent="0.3">
      <c r="B112" s="81"/>
      <c r="C112" s="30" t="s">
        <v>116</v>
      </c>
      <c r="D112" s="30"/>
      <c r="E112" s="30"/>
      <c r="F112" s="30"/>
      <c r="G112" s="30"/>
      <c r="H112" s="185"/>
      <c r="J112" s="30"/>
      <c r="K112" s="30"/>
      <c r="L112" s="30"/>
      <c r="M112" s="185"/>
      <c r="O112" s="30"/>
      <c r="P112" s="30"/>
      <c r="Q112" s="30"/>
      <c r="S112" s="30"/>
      <c r="T112" s="30"/>
      <c r="U112" s="30"/>
      <c r="W112" s="30"/>
      <c r="X112" s="30"/>
      <c r="Y112" s="30"/>
      <c r="Z112" s="185"/>
      <c r="AA112" s="110"/>
      <c r="AB112" s="30"/>
      <c r="AC112" s="30"/>
      <c r="AD112" s="30"/>
    </row>
    <row r="113" spans="2:30" s="85" customFormat="1" x14ac:dyDescent="0.3">
      <c r="B113" s="84"/>
      <c r="C113" s="63" t="s">
        <v>105</v>
      </c>
      <c r="D113" s="63"/>
      <c r="E113" s="63"/>
      <c r="F113" s="63"/>
      <c r="G113" s="63"/>
      <c r="H113" s="186"/>
      <c r="J113" s="63"/>
      <c r="K113" s="63"/>
      <c r="L113" s="63"/>
      <c r="M113" s="186"/>
      <c r="O113" s="63"/>
      <c r="P113" s="63"/>
      <c r="Q113" s="63"/>
      <c r="S113" s="63"/>
      <c r="T113" s="63"/>
      <c r="U113" s="63"/>
      <c r="W113" s="63"/>
      <c r="X113" s="63"/>
      <c r="Y113" s="63"/>
      <c r="Z113" s="186"/>
      <c r="AA113" s="110"/>
      <c r="AB113" s="63"/>
      <c r="AC113" s="63"/>
      <c r="AD113" s="63"/>
    </row>
    <row r="114" spans="2:30" x14ac:dyDescent="0.3">
      <c r="C114" s="71"/>
      <c r="D114" s="120"/>
      <c r="E114" s="132"/>
      <c r="F114" s="132"/>
      <c r="G114" s="132"/>
    </row>
    <row r="115" spans="2:30" x14ac:dyDescent="0.3">
      <c r="C115" s="79" t="s">
        <v>110</v>
      </c>
      <c r="D115" s="121"/>
      <c r="E115" s="100">
        <f>E116</f>
        <v>8354568.9297779948</v>
      </c>
      <c r="F115" s="100">
        <f>F116</f>
        <v>8725704.3984800037</v>
      </c>
      <c r="G115" s="100">
        <f>G116</f>
        <v>8693308.974330008</v>
      </c>
      <c r="H115" s="187">
        <f>G115/F115-1</f>
        <v>-3.7126428618918794E-3</v>
      </c>
      <c r="J115" s="100">
        <f>J116</f>
        <v>8354568.9297779948</v>
      </c>
      <c r="K115" s="100">
        <f>K116</f>
        <v>8725704.3984800037</v>
      </c>
      <c r="L115" s="100">
        <f>L116</f>
        <v>8693308.974330008</v>
      </c>
      <c r="M115" s="187">
        <f>L115/K115-1</f>
        <v>-3.7126428618918794E-3</v>
      </c>
      <c r="O115" s="100">
        <f>O116</f>
        <v>8354568.9297779948</v>
      </c>
      <c r="P115" s="100">
        <f>P116</f>
        <v>8725704.3984800037</v>
      </c>
      <c r="Q115" s="100">
        <f>Q116</f>
        <v>8693308.974330008</v>
      </c>
      <c r="S115" s="100">
        <f>S116</f>
        <v>8354568.9297779948</v>
      </c>
      <c r="T115" s="100">
        <f>T116</f>
        <v>8725704.3984800037</v>
      </c>
      <c r="U115" s="100">
        <f>U116</f>
        <v>8693308.974330008</v>
      </c>
      <c r="W115" s="100">
        <f>W116</f>
        <v>8354568.9297779948</v>
      </c>
      <c r="X115" s="100">
        <f>X116</f>
        <v>8725704.3984800037</v>
      </c>
      <c r="Y115" s="100">
        <f>Y116</f>
        <v>8693308.974330008</v>
      </c>
      <c r="Z115" s="187">
        <f>Y115/X115-1</f>
        <v>-3.7126428618918794E-3</v>
      </c>
      <c r="AB115" s="100">
        <f>AB116</f>
        <v>8354568.9297779948</v>
      </c>
      <c r="AC115" s="100">
        <f>AC116</f>
        <v>8725704.3984800037</v>
      </c>
      <c r="AD115" s="100">
        <f>AD116</f>
        <v>8693308.974330008</v>
      </c>
    </row>
    <row r="116" spans="2:30" x14ac:dyDescent="0.3">
      <c r="C116" s="65" t="s">
        <v>106</v>
      </c>
      <c r="D116" s="77">
        <v>26</v>
      </c>
      <c r="E116" s="69">
        <f>'Quarterly I.S IFRS17'!E116</f>
        <v>8354568.9297779948</v>
      </c>
      <c r="F116" s="69">
        <f>'Quarterly I.S IFRS17'!I116</f>
        <v>8725704.3984800037</v>
      </c>
      <c r="G116" s="69">
        <f>'Quarterly I.S IFRS17'!M116</f>
        <v>8693308.974330008</v>
      </c>
      <c r="H116" s="182"/>
      <c r="J116" s="67">
        <f>$E116</f>
        <v>8354568.9297779948</v>
      </c>
      <c r="K116" s="67">
        <f>$F116</f>
        <v>8725704.3984800037</v>
      </c>
      <c r="L116" s="67">
        <f>$G116</f>
        <v>8693308.974330008</v>
      </c>
      <c r="M116" s="182"/>
      <c r="N116" s="64"/>
      <c r="O116" s="67">
        <f>$E116</f>
        <v>8354568.9297779948</v>
      </c>
      <c r="P116" s="67">
        <f>$F116</f>
        <v>8725704.3984800037</v>
      </c>
      <c r="Q116" s="67">
        <f>$G116</f>
        <v>8693308.974330008</v>
      </c>
      <c r="R116" s="64"/>
      <c r="S116" s="67">
        <f>$E116</f>
        <v>8354568.9297779948</v>
      </c>
      <c r="T116" s="67">
        <f>$F116</f>
        <v>8725704.3984800037</v>
      </c>
      <c r="U116" s="67">
        <f>$G116</f>
        <v>8693308.974330008</v>
      </c>
      <c r="V116" s="64"/>
      <c r="W116" s="67">
        <f>$E116</f>
        <v>8354568.9297779948</v>
      </c>
      <c r="X116" s="67">
        <f>$F116</f>
        <v>8725704.3984800037</v>
      </c>
      <c r="Y116" s="67">
        <f>$G116</f>
        <v>8693308.974330008</v>
      </c>
      <c r="Z116" s="182"/>
      <c r="AA116" s="64"/>
      <c r="AB116" s="67">
        <f>$E116</f>
        <v>8354568.9297779948</v>
      </c>
      <c r="AC116" s="67">
        <f>$F116</f>
        <v>8725704.3984800037</v>
      </c>
      <c r="AD116" s="67">
        <f>$G116</f>
        <v>8693308.974330008</v>
      </c>
    </row>
    <row r="117" spans="2:30" x14ac:dyDescent="0.3">
      <c r="C117" s="71"/>
      <c r="D117" s="120"/>
    </row>
    <row r="118" spans="2:30" x14ac:dyDescent="0.3">
      <c r="C118" s="80" t="s">
        <v>140</v>
      </c>
      <c r="D118" s="122"/>
      <c r="E118" s="100">
        <f>SUM(E119:E121)</f>
        <v>12798075.542949991</v>
      </c>
      <c r="F118" s="100">
        <f>SUM(F119:F121)</f>
        <v>12391804.69226999</v>
      </c>
      <c r="G118" s="100">
        <f>SUM(G119:G121)</f>
        <v>11024144.677850001</v>
      </c>
      <c r="H118" s="187">
        <f>G118/F118-1</f>
        <v>-0.11036810604940672</v>
      </c>
      <c r="J118" s="100">
        <f>SUM(J119:J121)</f>
        <v>12798075.542949991</v>
      </c>
      <c r="K118" s="100">
        <f>SUM(K119:K121)</f>
        <v>12391804.69226999</v>
      </c>
      <c r="L118" s="100">
        <f>SUM(L119:L121)</f>
        <v>11024144.677850001</v>
      </c>
      <c r="M118" s="187">
        <f>L118/K118-1</f>
        <v>-0.11036810604940672</v>
      </c>
      <c r="O118" s="100">
        <f>SUM(O119:O121)</f>
        <v>12798075.542949991</v>
      </c>
      <c r="P118" s="100">
        <f>SUM(P119:P121)</f>
        <v>12391804.69226999</v>
      </c>
      <c r="Q118" s="100">
        <f>SUM(Q119:Q121)</f>
        <v>11024144.677850001</v>
      </c>
      <c r="R118" s="100"/>
      <c r="S118" s="100">
        <f>SUM(S119:S121)</f>
        <v>12798075.542949991</v>
      </c>
      <c r="T118" s="100">
        <f>SUM(T119:T121)</f>
        <v>12391804.69226999</v>
      </c>
      <c r="U118" s="100">
        <f>SUM(U119:U121)</f>
        <v>11024144.677850001</v>
      </c>
      <c r="V118" s="100"/>
      <c r="W118" s="100">
        <f>SUM(W119:W121)</f>
        <v>12798075.542949991</v>
      </c>
      <c r="X118" s="100">
        <f>SUM(X119:X121)</f>
        <v>12391804.69226999</v>
      </c>
      <c r="Y118" s="100">
        <f>SUM(Y119:Y121)</f>
        <v>11024144.677850001</v>
      </c>
      <c r="Z118" s="187">
        <f>Y118/X118-1</f>
        <v>-0.11036810604940672</v>
      </c>
      <c r="AA118" s="70"/>
      <c r="AB118" s="100">
        <f>SUM(AB119:AB121)</f>
        <v>12798075.542949991</v>
      </c>
      <c r="AC118" s="100">
        <f>SUM(AC119:AC121)</f>
        <v>12391804.69226999</v>
      </c>
      <c r="AD118" s="100">
        <f>SUM(AD119:AD121)</f>
        <v>11024144.677850001</v>
      </c>
    </row>
    <row r="119" spans="2:30" x14ac:dyDescent="0.3">
      <c r="C119" s="71" t="s">
        <v>49</v>
      </c>
      <c r="D119" s="120">
        <v>29</v>
      </c>
      <c r="E119" s="69">
        <f>'Quarterly I.S IFRS17'!E119</f>
        <v>5998726.2465499686</v>
      </c>
      <c r="F119" s="69">
        <f>'Quarterly I.S IFRS17'!I119</f>
        <v>5413218.825049961</v>
      </c>
      <c r="G119" s="69">
        <f>'Quarterly I.S IFRS17'!M119</f>
        <v>4001360.4698499879</v>
      </c>
      <c r="H119" s="182">
        <f>G119/F119-1</f>
        <v>-0.26081678957194987</v>
      </c>
      <c r="J119" s="67">
        <f>$E119</f>
        <v>5998726.2465499686</v>
      </c>
      <c r="K119" s="67">
        <f t="shared" ref="K119:K121" si="33">$F119</f>
        <v>5413218.825049961</v>
      </c>
      <c r="L119" s="67">
        <f>$G119</f>
        <v>4001360.4698499879</v>
      </c>
      <c r="M119" s="182">
        <f>L119/K119-1</f>
        <v>-0.26081678957194987</v>
      </c>
      <c r="N119" s="64"/>
      <c r="O119" s="67">
        <f>$E119</f>
        <v>5998726.2465499686</v>
      </c>
      <c r="P119" s="67">
        <f t="shared" ref="P119:P121" si="34">$F119</f>
        <v>5413218.825049961</v>
      </c>
      <c r="Q119" s="67">
        <f>$G119</f>
        <v>4001360.4698499879</v>
      </c>
      <c r="R119" s="64"/>
      <c r="S119" s="67">
        <f>$E119</f>
        <v>5998726.2465499686</v>
      </c>
      <c r="T119" s="67">
        <f t="shared" ref="T119:T121" si="35">$F119</f>
        <v>5413218.825049961</v>
      </c>
      <c r="U119" s="67">
        <f>$G119</f>
        <v>4001360.4698499879</v>
      </c>
      <c r="V119" s="64"/>
      <c r="W119" s="67">
        <f>$E119</f>
        <v>5998726.2465499686</v>
      </c>
      <c r="X119" s="67">
        <f t="shared" ref="X119:X121" si="36">$F119</f>
        <v>5413218.825049961</v>
      </c>
      <c r="Y119" s="67">
        <f>$G119</f>
        <v>4001360.4698499879</v>
      </c>
      <c r="Z119" s="182">
        <f>Y119/X119-1</f>
        <v>-0.26081678957194987</v>
      </c>
      <c r="AA119" s="64"/>
      <c r="AB119" s="67">
        <f>$E119</f>
        <v>5998726.2465499686</v>
      </c>
      <c r="AC119" s="67">
        <f t="shared" ref="AC119:AC121" si="37">$F119</f>
        <v>5413218.825049961</v>
      </c>
      <c r="AD119" s="67">
        <f>$G119</f>
        <v>4001360.4698499879</v>
      </c>
    </row>
    <row r="120" spans="2:30" x14ac:dyDescent="0.3">
      <c r="C120" s="71" t="s">
        <v>50</v>
      </c>
      <c r="D120" s="120" t="s">
        <v>151</v>
      </c>
      <c r="E120" s="69">
        <f>'Quarterly I.S IFRS17'!E120</f>
        <v>6745142.9991400242</v>
      </c>
      <c r="F120" s="69">
        <f>'Quarterly I.S IFRS17'!I120</f>
        <v>6908075.0035100309</v>
      </c>
      <c r="G120" s="69">
        <f>'Quarterly I.S IFRS17'!M120</f>
        <v>6954678.4093500134</v>
      </c>
      <c r="H120" s="182">
        <f>G120/F120-1</f>
        <v>6.7462217500973143E-3</v>
      </c>
      <c r="J120" s="67">
        <f>$E120</f>
        <v>6745142.9991400242</v>
      </c>
      <c r="K120" s="67">
        <f t="shared" si="33"/>
        <v>6908075.0035100309</v>
      </c>
      <c r="L120" s="67">
        <f>$G120</f>
        <v>6954678.4093500134</v>
      </c>
      <c r="M120" s="182">
        <f>L120/K120-1</f>
        <v>6.7462217500973143E-3</v>
      </c>
      <c r="N120" s="64"/>
      <c r="O120" s="67">
        <f>$E120</f>
        <v>6745142.9991400242</v>
      </c>
      <c r="P120" s="67">
        <f t="shared" si="34"/>
        <v>6908075.0035100309</v>
      </c>
      <c r="Q120" s="67">
        <f>$G120</f>
        <v>6954678.4093500134</v>
      </c>
      <c r="R120" s="64"/>
      <c r="S120" s="67">
        <f>$E120</f>
        <v>6745142.9991400242</v>
      </c>
      <c r="T120" s="67">
        <f t="shared" si="35"/>
        <v>6908075.0035100309</v>
      </c>
      <c r="U120" s="67">
        <f>$G120</f>
        <v>6954678.4093500134</v>
      </c>
      <c r="V120" s="64"/>
      <c r="W120" s="67">
        <f>$E120</f>
        <v>6745142.9991400242</v>
      </c>
      <c r="X120" s="67">
        <f t="shared" si="36"/>
        <v>6908075.0035100309</v>
      </c>
      <c r="Y120" s="67">
        <f>$G120</f>
        <v>6954678.4093500134</v>
      </c>
      <c r="Z120" s="182">
        <f>Y120/X120-1</f>
        <v>6.7462217500973143E-3</v>
      </c>
      <c r="AA120" s="64"/>
      <c r="AB120" s="67">
        <f>$E120</f>
        <v>6745142.9991400242</v>
      </c>
      <c r="AC120" s="67">
        <f t="shared" si="37"/>
        <v>6908075.0035100309</v>
      </c>
      <c r="AD120" s="67">
        <f>$G120</f>
        <v>6954678.4093500134</v>
      </c>
    </row>
    <row r="121" spans="2:30" x14ac:dyDescent="0.3">
      <c r="C121" s="71" t="s">
        <v>94</v>
      </c>
      <c r="D121" s="120">
        <v>14</v>
      </c>
      <c r="E121" s="69">
        <f>'Quarterly I.S IFRS17'!E121</f>
        <v>54206.297259999999</v>
      </c>
      <c r="F121" s="69">
        <f>'Quarterly I.S IFRS17'!I121</f>
        <v>70510.863709999991</v>
      </c>
      <c r="G121" s="69">
        <f>'Quarterly I.S IFRS17'!M121</f>
        <v>68105.798649999997</v>
      </c>
      <c r="H121" s="182">
        <f>G121/F121-1</f>
        <v>-3.4109141959906331E-2</v>
      </c>
      <c r="J121" s="67">
        <f>$E121</f>
        <v>54206.297259999999</v>
      </c>
      <c r="K121" s="67">
        <f t="shared" si="33"/>
        <v>70510.863709999991</v>
      </c>
      <c r="L121" s="67">
        <f>$G121</f>
        <v>68105.798649999997</v>
      </c>
      <c r="M121" s="182">
        <f>L121/K121-1</f>
        <v>-3.4109141959906331E-2</v>
      </c>
      <c r="N121" s="64"/>
      <c r="O121" s="67">
        <f>$E121</f>
        <v>54206.297259999999</v>
      </c>
      <c r="P121" s="67">
        <f t="shared" si="34"/>
        <v>70510.863709999991</v>
      </c>
      <c r="Q121" s="67">
        <f>$G121</f>
        <v>68105.798649999997</v>
      </c>
      <c r="R121" s="64"/>
      <c r="S121" s="67">
        <f>$E121</f>
        <v>54206.297259999999</v>
      </c>
      <c r="T121" s="67">
        <f t="shared" si="35"/>
        <v>70510.863709999991</v>
      </c>
      <c r="U121" s="67">
        <f>$G121</f>
        <v>68105.798649999997</v>
      </c>
      <c r="V121" s="64"/>
      <c r="W121" s="67">
        <f>$E121</f>
        <v>54206.297259999999</v>
      </c>
      <c r="X121" s="67">
        <f t="shared" si="36"/>
        <v>70510.863709999991</v>
      </c>
      <c r="Y121" s="67">
        <f>$G121</f>
        <v>68105.798649999997</v>
      </c>
      <c r="Z121" s="182">
        <f>Y121/X121-1</f>
        <v>-3.4109141959906331E-2</v>
      </c>
      <c r="AA121" s="64"/>
      <c r="AB121" s="67">
        <f>$E121</f>
        <v>54206.297259999999</v>
      </c>
      <c r="AC121" s="67">
        <f t="shared" si="37"/>
        <v>70510.863709999991</v>
      </c>
      <c r="AD121" s="67">
        <f>$G121</f>
        <v>68105.798649999997</v>
      </c>
    </row>
    <row r="122" spans="2:30" x14ac:dyDescent="0.3">
      <c r="C122" s="101"/>
      <c r="D122" s="123"/>
    </row>
    <row r="123" spans="2:30" ht="13.5" thickBot="1" x14ac:dyDescent="0.35">
      <c r="C123" s="78" t="s">
        <v>141</v>
      </c>
      <c r="D123" s="124"/>
      <c r="E123" s="72">
        <f>E118+E115</f>
        <v>21152644.472727984</v>
      </c>
      <c r="F123" s="72">
        <f>F118+F115</f>
        <v>21117509.090749994</v>
      </c>
      <c r="G123" s="72">
        <f>G118+G115</f>
        <v>19717453.652180009</v>
      </c>
      <c r="H123" s="200">
        <f>G123/F123-1</f>
        <v>-6.6298322996022563E-2</v>
      </c>
      <c r="J123" s="72">
        <f>J118+J115</f>
        <v>21152644.472727984</v>
      </c>
      <c r="K123" s="72">
        <f>K118+K115</f>
        <v>21117509.090749994</v>
      </c>
      <c r="L123" s="72">
        <f>L118+L115</f>
        <v>19717453.652180009</v>
      </c>
      <c r="M123" s="200">
        <f>L123/K123-1</f>
        <v>-6.6298322996022563E-2</v>
      </c>
      <c r="O123" s="72">
        <f>O118+O115</f>
        <v>21152644.472727984</v>
      </c>
      <c r="P123" s="72">
        <f>P118+P115</f>
        <v>21117509.090749994</v>
      </c>
      <c r="Q123" s="72">
        <f>Q118+Q115</f>
        <v>19717453.652180009</v>
      </c>
      <c r="S123" s="72">
        <f>S118+S115</f>
        <v>21152644.472727984</v>
      </c>
      <c r="T123" s="72">
        <f>T118+T115</f>
        <v>21117509.090749994</v>
      </c>
      <c r="U123" s="72">
        <f>U118+U115</f>
        <v>19717453.652180009</v>
      </c>
      <c r="W123" s="72">
        <f>W118+W115</f>
        <v>21152644.472727984</v>
      </c>
      <c r="X123" s="72">
        <f>X118+X115</f>
        <v>21117509.090749994</v>
      </c>
      <c r="Y123" s="72">
        <f>Y118+Y115</f>
        <v>19717453.652180009</v>
      </c>
      <c r="Z123" s="200">
        <f>Y123/X123-1</f>
        <v>-6.6298322996022563E-2</v>
      </c>
      <c r="AB123" s="72">
        <f>AB118+AB115</f>
        <v>21152644.472727984</v>
      </c>
      <c r="AC123" s="72">
        <f>AC118+AC115</f>
        <v>21117509.090749994</v>
      </c>
      <c r="AD123" s="72">
        <f>AD118+AD115</f>
        <v>19717453.652180009</v>
      </c>
    </row>
    <row r="124" spans="2:30" x14ac:dyDescent="0.3">
      <c r="C124" s="39"/>
      <c r="D124" s="109"/>
      <c r="E124" s="131"/>
      <c r="F124" s="131"/>
      <c r="G124" s="131"/>
      <c r="H124" s="131"/>
      <c r="J124" s="40"/>
      <c r="K124" s="40"/>
      <c r="L124" s="40"/>
      <c r="M124" s="131"/>
      <c r="O124" s="40"/>
      <c r="P124" s="40"/>
      <c r="Q124" s="40"/>
      <c r="S124" s="40"/>
      <c r="T124" s="40"/>
      <c r="U124" s="40"/>
      <c r="W124" s="40"/>
      <c r="X124" s="40"/>
      <c r="Y124" s="40"/>
      <c r="Z124" s="131"/>
      <c r="AB124" s="40"/>
      <c r="AC124" s="40"/>
      <c r="AD124" s="40"/>
    </row>
    <row r="125" spans="2:30" x14ac:dyDescent="0.3">
      <c r="C125" s="39"/>
      <c r="D125" s="109"/>
      <c r="E125" s="131"/>
      <c r="F125" s="131"/>
      <c r="G125" s="131"/>
      <c r="H125" s="131"/>
      <c r="J125" s="40"/>
      <c r="K125" s="40"/>
      <c r="L125" s="40"/>
      <c r="M125" s="131"/>
      <c r="O125" s="40"/>
      <c r="P125" s="40"/>
      <c r="Q125" s="40"/>
      <c r="S125" s="40"/>
      <c r="T125" s="40"/>
      <c r="U125" s="40"/>
      <c r="W125" s="40"/>
      <c r="X125" s="40"/>
      <c r="Y125" s="40"/>
      <c r="Z125" s="131"/>
      <c r="AB125" s="40"/>
      <c r="AC125" s="40"/>
      <c r="AD125" s="40"/>
    </row>
    <row r="126" spans="2:30" x14ac:dyDescent="0.3">
      <c r="C126" s="39"/>
      <c r="D126" s="109"/>
      <c r="E126" s="219"/>
      <c r="F126" s="131"/>
      <c r="G126" s="131"/>
      <c r="H126" s="131"/>
      <c r="J126" s="40"/>
      <c r="K126" s="40"/>
      <c r="L126" s="40"/>
      <c r="M126" s="131"/>
      <c r="O126" s="40"/>
      <c r="P126" s="40"/>
      <c r="Q126" s="40"/>
      <c r="S126" s="40"/>
      <c r="T126" s="40"/>
      <c r="U126" s="40"/>
      <c r="W126" s="40"/>
      <c r="X126" s="40"/>
      <c r="Y126" s="40"/>
      <c r="Z126" s="131"/>
      <c r="AB126" s="40"/>
      <c r="AC126" s="40"/>
      <c r="AD126" s="40"/>
    </row>
    <row r="127" spans="2:30" s="85" customFormat="1" x14ac:dyDescent="0.3">
      <c r="B127" s="84"/>
      <c r="C127" s="63" t="s">
        <v>125</v>
      </c>
      <c r="D127" s="63"/>
      <c r="E127" s="63"/>
      <c r="F127" s="63"/>
      <c r="G127" s="63"/>
      <c r="H127" s="186"/>
      <c r="J127" s="63"/>
      <c r="K127" s="63"/>
      <c r="L127" s="63"/>
      <c r="M127" s="186"/>
      <c r="O127" s="63"/>
      <c r="P127" s="63"/>
      <c r="Q127" s="63"/>
      <c r="S127" s="63"/>
      <c r="T127" s="63"/>
      <c r="U127" s="63"/>
      <c r="W127" s="63"/>
      <c r="X127" s="63"/>
      <c r="Y127" s="63"/>
      <c r="Z127" s="186"/>
      <c r="AA127" s="110"/>
      <c r="AB127" s="63"/>
      <c r="AC127" s="63"/>
      <c r="AD127" s="63"/>
    </row>
    <row r="128" spans="2:30" x14ac:dyDescent="0.3">
      <c r="C128" s="99" t="s">
        <v>124</v>
      </c>
      <c r="D128" s="125"/>
      <c r="E128" s="47">
        <f>SUM(E129:E134)</f>
        <v>16440120.962302491</v>
      </c>
      <c r="F128" s="47">
        <f>SUM(F129:F134)</f>
        <v>11457407.821868641</v>
      </c>
      <c r="G128" s="47">
        <f>SUM(G129:G134)</f>
        <v>11588388.286329361</v>
      </c>
      <c r="H128" s="173">
        <f t="shared" ref="H128:H134" si="38">G128/F128-1</f>
        <v>1.1431945733023419E-2</v>
      </c>
      <c r="J128" s="47">
        <f>SUM(J129:J134)</f>
        <v>16440120.962302491</v>
      </c>
      <c r="K128" s="47">
        <f>SUM(K129:K134)</f>
        <v>11457407.821868641</v>
      </c>
      <c r="L128" s="47">
        <f>SUM(L129:L134)</f>
        <v>11588388.286329361</v>
      </c>
      <c r="M128" s="173">
        <f>L128/K128-1</f>
        <v>1.1431945733023419E-2</v>
      </c>
      <c r="O128" s="47">
        <f>SUM(O129:O134)</f>
        <v>16440120.962302491</v>
      </c>
      <c r="P128" s="47">
        <f>SUM(P129:P134)</f>
        <v>11457407.821868641</v>
      </c>
      <c r="Q128" s="47">
        <f>SUM(Q129:Q134)</f>
        <v>11588388.286329361</v>
      </c>
      <c r="S128" s="47">
        <f>SUM(S129:S134)</f>
        <v>16440120.962302491</v>
      </c>
      <c r="T128" s="47">
        <f>SUM(T129:T134)</f>
        <v>11457407.821868641</v>
      </c>
      <c r="U128" s="47">
        <f>SUM(U129:U134)</f>
        <v>11588388.286329361</v>
      </c>
      <c r="W128" s="47">
        <f>SUM(W129:W134)</f>
        <v>16440120.962302491</v>
      </c>
      <c r="X128" s="47">
        <f>SUM(X129:X134)</f>
        <v>11457407.821868641</v>
      </c>
      <c r="Y128" s="47">
        <f>SUM(Y129:Y134)</f>
        <v>11588388.286329361</v>
      </c>
      <c r="Z128" s="173">
        <f>Y128/X128-1</f>
        <v>1.1431945733023419E-2</v>
      </c>
      <c r="AB128" s="47">
        <f>SUM(AB129:AB134)</f>
        <v>16440120.962302491</v>
      </c>
      <c r="AC128" s="47">
        <f>SUM(AC129:AC134)</f>
        <v>11457407.821868641</v>
      </c>
      <c r="AD128" s="47">
        <f>SUM(AD129:AD134)</f>
        <v>11588388.286329361</v>
      </c>
    </row>
    <row r="129" spans="3:30" x14ac:dyDescent="0.3">
      <c r="C129" s="65" t="s">
        <v>117</v>
      </c>
      <c r="D129" s="77"/>
      <c r="E129" s="97">
        <v>9254411.5040899999</v>
      </c>
      <c r="F129" s="97">
        <f>SUM('Quarterly I.S IFRS17'!F129:I129)</f>
        <v>6078330.0694900006</v>
      </c>
      <c r="G129" s="97">
        <f>SUM('Quarterly I.S IFRS17'!J129:M129)</f>
        <v>5383821.6066100001</v>
      </c>
      <c r="H129" s="190">
        <f t="shared" si="38"/>
        <v>-0.11425974814465334</v>
      </c>
      <c r="I129" s="132"/>
      <c r="J129" s="67">
        <f t="shared" ref="J129:J134" si="39">$E129</f>
        <v>9254411.5040899999</v>
      </c>
      <c r="K129" s="67">
        <f t="shared" ref="K129:K134" si="40">$F129</f>
        <v>6078330.0694900006</v>
      </c>
      <c r="L129" s="67">
        <f t="shared" ref="L129:L134" si="41">$G129</f>
        <v>5383821.6066100001</v>
      </c>
      <c r="M129" s="190">
        <f>L129/K129-1</f>
        <v>-0.11425974814465334</v>
      </c>
      <c r="N129" s="64"/>
      <c r="O129" s="67">
        <f t="shared" ref="O129:O134" si="42">$E129</f>
        <v>9254411.5040899999</v>
      </c>
      <c r="P129" s="67">
        <f t="shared" ref="P129:P134" si="43">$F129</f>
        <v>6078330.0694900006</v>
      </c>
      <c r="Q129" s="67">
        <f t="shared" ref="Q129:Q134" si="44">$G129</f>
        <v>5383821.6066100001</v>
      </c>
      <c r="R129" s="64"/>
      <c r="S129" s="67">
        <f t="shared" ref="S129:S134" si="45">$E129</f>
        <v>9254411.5040899999</v>
      </c>
      <c r="T129" s="67">
        <f t="shared" ref="T129:T134" si="46">$F129</f>
        <v>6078330.0694900006</v>
      </c>
      <c r="U129" s="67">
        <f t="shared" ref="U129:U134" si="47">$G129</f>
        <v>5383821.6066100001</v>
      </c>
      <c r="V129" s="64"/>
      <c r="W129" s="67">
        <f t="shared" ref="W129:W134" si="48">$E129</f>
        <v>9254411.5040899999</v>
      </c>
      <c r="X129" s="67">
        <f t="shared" ref="X129:X134" si="49">$F129</f>
        <v>6078330.0694900006</v>
      </c>
      <c r="Y129" s="67">
        <f t="shared" ref="Y129:Y134" si="50">$G129</f>
        <v>5383821.6066100001</v>
      </c>
      <c r="Z129" s="190">
        <f>Y129/X129-1</f>
        <v>-0.11425974814465334</v>
      </c>
      <c r="AA129" s="64"/>
      <c r="AB129" s="67">
        <f t="shared" ref="AB129:AB134" si="51">$E129</f>
        <v>9254411.5040899999</v>
      </c>
      <c r="AC129" s="67">
        <f t="shared" ref="AC129:AC134" si="52">$F129</f>
        <v>6078330.0694900006</v>
      </c>
      <c r="AD129" s="67">
        <f t="shared" ref="AD129:AD134" si="53">$G129</f>
        <v>5383821.6066100001</v>
      </c>
    </row>
    <row r="130" spans="3:30" x14ac:dyDescent="0.3">
      <c r="C130" s="65" t="s">
        <v>119</v>
      </c>
      <c r="D130" s="77"/>
      <c r="E130" s="97">
        <v>866911.69099999988</v>
      </c>
      <c r="F130" s="97">
        <f>SUM('Quarterly I.S IFRS17'!F130:I130)</f>
        <v>683935.60705999995</v>
      </c>
      <c r="G130" s="97">
        <f>SUM('Quarterly I.S IFRS17'!J130:M130)</f>
        <v>456438.54000000004</v>
      </c>
      <c r="H130" s="190">
        <f t="shared" si="38"/>
        <v>-0.33262936555961786</v>
      </c>
      <c r="I130" s="132"/>
      <c r="J130" s="67">
        <f t="shared" si="39"/>
        <v>866911.69099999988</v>
      </c>
      <c r="K130" s="67">
        <f t="shared" si="40"/>
        <v>683935.60705999995</v>
      </c>
      <c r="L130" s="67">
        <f t="shared" si="41"/>
        <v>456438.54000000004</v>
      </c>
      <c r="M130" s="190">
        <f>L130/K130-1</f>
        <v>-0.33262936555961786</v>
      </c>
      <c r="N130" s="64"/>
      <c r="O130" s="67">
        <f t="shared" si="42"/>
        <v>866911.69099999988</v>
      </c>
      <c r="P130" s="67">
        <f t="shared" si="43"/>
        <v>683935.60705999995</v>
      </c>
      <c r="Q130" s="67">
        <f t="shared" si="44"/>
        <v>456438.54000000004</v>
      </c>
      <c r="R130" s="64"/>
      <c r="S130" s="67">
        <f t="shared" si="45"/>
        <v>866911.69099999988</v>
      </c>
      <c r="T130" s="67">
        <f t="shared" si="46"/>
        <v>683935.60705999995</v>
      </c>
      <c r="U130" s="67">
        <f t="shared" si="47"/>
        <v>456438.54000000004</v>
      </c>
      <c r="V130" s="64"/>
      <c r="W130" s="67">
        <f t="shared" si="48"/>
        <v>866911.69099999988</v>
      </c>
      <c r="X130" s="67">
        <f t="shared" si="49"/>
        <v>683935.60705999995</v>
      </c>
      <c r="Y130" s="67">
        <f t="shared" si="50"/>
        <v>456438.54000000004</v>
      </c>
      <c r="Z130" s="190">
        <f>Y130/X130-1</f>
        <v>-0.33262936555961786</v>
      </c>
      <c r="AA130" s="64"/>
      <c r="AB130" s="67">
        <f t="shared" si="51"/>
        <v>866911.69099999988</v>
      </c>
      <c r="AC130" s="67">
        <f t="shared" si="52"/>
        <v>683935.60705999995</v>
      </c>
      <c r="AD130" s="67">
        <f t="shared" si="53"/>
        <v>456438.54000000004</v>
      </c>
    </row>
    <row r="131" spans="3:30" x14ac:dyDescent="0.3">
      <c r="C131" s="65" t="s">
        <v>118</v>
      </c>
      <c r="D131" s="77"/>
      <c r="E131" s="97">
        <v>3700343.8891168106</v>
      </c>
      <c r="F131" s="97">
        <f>SUM('Quarterly I.S IFRS17'!F131:I131)</f>
        <v>1791147.2550199996</v>
      </c>
      <c r="G131" s="97">
        <f>SUM('Quarterly I.S IFRS17'!J131:M131)</f>
        <v>2051224.0854099998</v>
      </c>
      <c r="H131" s="190">
        <f t="shared" si="38"/>
        <v>0.14520125559810348</v>
      </c>
      <c r="I131" s="132"/>
      <c r="J131" s="67">
        <f t="shared" si="39"/>
        <v>3700343.8891168106</v>
      </c>
      <c r="K131" s="67">
        <f t="shared" si="40"/>
        <v>1791147.2550199996</v>
      </c>
      <c r="L131" s="67">
        <f t="shared" si="41"/>
        <v>2051224.0854099998</v>
      </c>
      <c r="M131" s="190">
        <f>L131/K131-1</f>
        <v>0.14520125559810348</v>
      </c>
      <c r="N131" s="64"/>
      <c r="O131" s="67">
        <f t="shared" si="42"/>
        <v>3700343.8891168106</v>
      </c>
      <c r="P131" s="67">
        <f t="shared" si="43"/>
        <v>1791147.2550199996</v>
      </c>
      <c r="Q131" s="67">
        <f t="shared" si="44"/>
        <v>2051224.0854099998</v>
      </c>
      <c r="R131" s="64"/>
      <c r="S131" s="67">
        <f t="shared" si="45"/>
        <v>3700343.8891168106</v>
      </c>
      <c r="T131" s="67">
        <f t="shared" si="46"/>
        <v>1791147.2550199996</v>
      </c>
      <c r="U131" s="67">
        <f t="shared" si="47"/>
        <v>2051224.0854099998</v>
      </c>
      <c r="V131" s="64"/>
      <c r="W131" s="67">
        <f t="shared" si="48"/>
        <v>3700343.8891168106</v>
      </c>
      <c r="X131" s="67">
        <f t="shared" si="49"/>
        <v>1791147.2550199996</v>
      </c>
      <c r="Y131" s="67">
        <f t="shared" si="50"/>
        <v>2051224.0854099998</v>
      </c>
      <c r="Z131" s="190">
        <f>Y131/X131-1</f>
        <v>0.14520125559810348</v>
      </c>
      <c r="AA131" s="64"/>
      <c r="AB131" s="67">
        <f t="shared" si="51"/>
        <v>3700343.8891168106</v>
      </c>
      <c r="AC131" s="67">
        <f t="shared" si="52"/>
        <v>1791147.2550199996</v>
      </c>
      <c r="AD131" s="67">
        <f t="shared" si="53"/>
        <v>2051224.0854099998</v>
      </c>
    </row>
    <row r="132" spans="3:30" x14ac:dyDescent="0.3">
      <c r="C132" s="65" t="s">
        <v>120</v>
      </c>
      <c r="D132" s="77"/>
      <c r="E132" s="97">
        <v>446000.62420568004</v>
      </c>
      <c r="F132" s="97">
        <f>SUM('Quarterly I.S IFRS17'!F132:I132)</f>
        <v>386709.42340864002</v>
      </c>
      <c r="G132" s="97">
        <f>SUM('Quarterly I.S IFRS17'!J132:M132)</f>
        <v>485368.22938935994</v>
      </c>
      <c r="H132" s="190">
        <f t="shared" si="38"/>
        <v>0.25512387340110432</v>
      </c>
      <c r="I132" s="132"/>
      <c r="J132" s="67">
        <f t="shared" si="39"/>
        <v>446000.62420568004</v>
      </c>
      <c r="K132" s="67">
        <f t="shared" si="40"/>
        <v>386709.42340864002</v>
      </c>
      <c r="L132" s="67">
        <f t="shared" si="41"/>
        <v>485368.22938935994</v>
      </c>
      <c r="M132" s="190">
        <f>L132/K132-1</f>
        <v>0.25512387340110432</v>
      </c>
      <c r="N132" s="64"/>
      <c r="O132" s="67">
        <f t="shared" si="42"/>
        <v>446000.62420568004</v>
      </c>
      <c r="P132" s="67">
        <f t="shared" si="43"/>
        <v>386709.42340864002</v>
      </c>
      <c r="Q132" s="67">
        <f t="shared" si="44"/>
        <v>485368.22938935994</v>
      </c>
      <c r="R132" s="64"/>
      <c r="S132" s="67">
        <f t="shared" si="45"/>
        <v>446000.62420568004</v>
      </c>
      <c r="T132" s="67">
        <f t="shared" si="46"/>
        <v>386709.42340864002</v>
      </c>
      <c r="U132" s="67">
        <f t="shared" si="47"/>
        <v>485368.22938935994</v>
      </c>
      <c r="V132" s="64"/>
      <c r="W132" s="67">
        <f t="shared" si="48"/>
        <v>446000.62420568004</v>
      </c>
      <c r="X132" s="67">
        <f t="shared" si="49"/>
        <v>386709.42340864002</v>
      </c>
      <c r="Y132" s="67">
        <f t="shared" si="50"/>
        <v>485368.22938935994</v>
      </c>
      <c r="Z132" s="190">
        <f>Y132/X132-1</f>
        <v>0.25512387340110432</v>
      </c>
      <c r="AA132" s="64"/>
      <c r="AB132" s="67">
        <f t="shared" si="51"/>
        <v>446000.62420568004</v>
      </c>
      <c r="AC132" s="67">
        <f t="shared" si="52"/>
        <v>386709.42340864002</v>
      </c>
      <c r="AD132" s="67">
        <f t="shared" si="53"/>
        <v>485368.22938935994</v>
      </c>
    </row>
    <row r="133" spans="3:30" x14ac:dyDescent="0.3">
      <c r="C133" s="65" t="s">
        <v>248</v>
      </c>
      <c r="D133" s="77"/>
      <c r="E133" s="97">
        <v>651070.13180999993</v>
      </c>
      <c r="F133" s="97">
        <f>SUM('Quarterly I.S IFRS17'!F133:I133)</f>
        <v>612090.32349999994</v>
      </c>
      <c r="G133" s="97">
        <f>SUM('Quarterly I.S IFRS17'!J133:M133)</f>
        <v>418898.10400000005</v>
      </c>
      <c r="H133" s="190">
        <f t="shared" si="38"/>
        <v>-0.31562697870357681</v>
      </c>
      <c r="I133" s="132"/>
      <c r="J133" s="67">
        <f t="shared" si="39"/>
        <v>651070.13180999993</v>
      </c>
      <c r="K133" s="67">
        <f t="shared" si="40"/>
        <v>612090.32349999994</v>
      </c>
      <c r="L133" s="67">
        <f t="shared" si="41"/>
        <v>418898.10400000005</v>
      </c>
      <c r="M133" s="190">
        <f>L133/K133-1</f>
        <v>-0.31562697870357681</v>
      </c>
      <c r="N133" s="64"/>
      <c r="O133" s="67">
        <f t="shared" si="42"/>
        <v>651070.13180999993</v>
      </c>
      <c r="P133" s="67">
        <f t="shared" si="43"/>
        <v>612090.32349999994</v>
      </c>
      <c r="Q133" s="67">
        <f t="shared" si="44"/>
        <v>418898.10400000005</v>
      </c>
      <c r="R133" s="64"/>
      <c r="S133" s="67">
        <f t="shared" si="45"/>
        <v>651070.13180999993</v>
      </c>
      <c r="T133" s="67">
        <f t="shared" si="46"/>
        <v>612090.32349999994</v>
      </c>
      <c r="U133" s="67">
        <f t="shared" si="47"/>
        <v>418898.10400000005</v>
      </c>
      <c r="V133" s="64"/>
      <c r="W133" s="67">
        <f t="shared" si="48"/>
        <v>651070.13180999993</v>
      </c>
      <c r="X133" s="67">
        <f t="shared" si="49"/>
        <v>612090.32349999994</v>
      </c>
      <c r="Y133" s="67">
        <f t="shared" si="50"/>
        <v>418898.10400000005</v>
      </c>
      <c r="Z133" s="190">
        <f>Y133/X133-1</f>
        <v>-0.31562697870357681</v>
      </c>
      <c r="AA133" s="64"/>
      <c r="AB133" s="67">
        <f t="shared" si="51"/>
        <v>651070.13180999993</v>
      </c>
      <c r="AC133" s="67">
        <f t="shared" si="52"/>
        <v>612090.32349999994</v>
      </c>
      <c r="AD133" s="67">
        <f t="shared" si="53"/>
        <v>418898.10400000005</v>
      </c>
    </row>
    <row r="134" spans="3:30" x14ac:dyDescent="0.3">
      <c r="C134" s="65" t="s">
        <v>168</v>
      </c>
      <c r="D134" s="77"/>
      <c r="E134" s="97">
        <v>1521383.1220799999</v>
      </c>
      <c r="F134" s="97">
        <f>SUM('Quarterly I.S IFRS17'!F134:I134)</f>
        <v>1905195.1433899999</v>
      </c>
      <c r="G134" s="97">
        <f>SUM('Quarterly I.S IFRS17'!J134:M134)</f>
        <v>2792637.7209199998</v>
      </c>
      <c r="H134" s="190">
        <f t="shared" si="38"/>
        <v>0.46580140654302382</v>
      </c>
      <c r="I134" s="132"/>
      <c r="J134" s="67">
        <f t="shared" si="39"/>
        <v>1521383.1220799999</v>
      </c>
      <c r="K134" s="67">
        <f t="shared" si="40"/>
        <v>1905195.1433899999</v>
      </c>
      <c r="L134" s="67">
        <f t="shared" si="41"/>
        <v>2792637.7209199998</v>
      </c>
      <c r="M134" s="190">
        <f>L134/K134-1</f>
        <v>0.46580140654302382</v>
      </c>
      <c r="N134" s="64"/>
      <c r="O134" s="67">
        <f t="shared" si="42"/>
        <v>1521383.1220799999</v>
      </c>
      <c r="P134" s="67">
        <f t="shared" si="43"/>
        <v>1905195.1433899999</v>
      </c>
      <c r="Q134" s="67">
        <f t="shared" si="44"/>
        <v>2792637.7209199998</v>
      </c>
      <c r="R134" s="64"/>
      <c r="S134" s="67">
        <f t="shared" si="45"/>
        <v>1521383.1220799999</v>
      </c>
      <c r="T134" s="67">
        <f t="shared" si="46"/>
        <v>1905195.1433899999</v>
      </c>
      <c r="U134" s="67">
        <f t="shared" si="47"/>
        <v>2792637.7209199998</v>
      </c>
      <c r="V134" s="64"/>
      <c r="W134" s="67">
        <f t="shared" si="48"/>
        <v>1521383.1220799999</v>
      </c>
      <c r="X134" s="67">
        <f t="shared" si="49"/>
        <v>1905195.1433899999</v>
      </c>
      <c r="Y134" s="67">
        <f t="shared" si="50"/>
        <v>2792637.7209199998</v>
      </c>
      <c r="Z134" s="190">
        <f>Y134/X134-1</f>
        <v>0.46580140654302382</v>
      </c>
      <c r="AA134" s="64"/>
      <c r="AB134" s="67">
        <f t="shared" si="51"/>
        <v>1521383.1220799999</v>
      </c>
      <c r="AC134" s="67">
        <f t="shared" si="52"/>
        <v>1905195.1433899999</v>
      </c>
      <c r="AD134" s="67">
        <f t="shared" si="53"/>
        <v>2792637.7209199998</v>
      </c>
    </row>
    <row r="135" spans="3:30" x14ac:dyDescent="0.3">
      <c r="C135" s="65"/>
      <c r="D135" s="77"/>
      <c r="E135" s="62"/>
      <c r="F135" s="62"/>
      <c r="G135" s="62"/>
      <c r="H135" s="131"/>
      <c r="J135" s="62"/>
      <c r="K135" s="62"/>
      <c r="L135" s="62"/>
      <c r="M135" s="131"/>
      <c r="O135" s="62"/>
      <c r="P135" s="62"/>
      <c r="Q135" s="62"/>
      <c r="S135" s="62"/>
      <c r="T135" s="62"/>
      <c r="U135" s="62"/>
      <c r="W135" s="62"/>
      <c r="X135" s="62"/>
      <c r="Y135" s="62"/>
      <c r="Z135" s="131"/>
      <c r="AB135" s="62"/>
      <c r="AC135" s="62"/>
      <c r="AD135" s="62"/>
    </row>
    <row r="136" spans="3:30" x14ac:dyDescent="0.3">
      <c r="C136" s="99" t="s">
        <v>123</v>
      </c>
      <c r="D136" s="125"/>
      <c r="E136" s="48">
        <f>E137</f>
        <v>165779.22</v>
      </c>
      <c r="F136" s="48">
        <f>F137</f>
        <v>172964.875</v>
      </c>
      <c r="G136" s="48">
        <f>G137</f>
        <v>217954.18693999999</v>
      </c>
      <c r="H136" s="173">
        <f>G136/F136-1</f>
        <v>0.26010663691110691</v>
      </c>
      <c r="J136" s="48">
        <f>J137</f>
        <v>165779.22</v>
      </c>
      <c r="K136" s="48">
        <f>K137</f>
        <v>172964.875</v>
      </c>
      <c r="L136" s="48">
        <f>L137</f>
        <v>217954.18693999999</v>
      </c>
      <c r="M136" s="173">
        <f>L136/K136-1</f>
        <v>0.26010663691110691</v>
      </c>
      <c r="O136" s="48">
        <f>O137</f>
        <v>165779.22</v>
      </c>
      <c r="P136" s="48">
        <f>P137</f>
        <v>172964.875</v>
      </c>
      <c r="Q136" s="48">
        <f>Q137</f>
        <v>217954.18693999999</v>
      </c>
      <c r="S136" s="48">
        <f>S137</f>
        <v>165779.22</v>
      </c>
      <c r="T136" s="48">
        <f>T137</f>
        <v>172964.875</v>
      </c>
      <c r="U136" s="48">
        <f>U137</f>
        <v>217954.18693999999</v>
      </c>
      <c r="W136" s="48">
        <f>W137</f>
        <v>165779.22</v>
      </c>
      <c r="X136" s="48">
        <f>X137</f>
        <v>172964.875</v>
      </c>
      <c r="Y136" s="48">
        <f>Y137</f>
        <v>217954.18693999999</v>
      </c>
      <c r="Z136" s="173">
        <f>Y136/X136-1</f>
        <v>0.26010663691110691</v>
      </c>
      <c r="AB136" s="48">
        <f>AB137</f>
        <v>165779.22</v>
      </c>
      <c r="AC136" s="48">
        <f>AC137</f>
        <v>172964.875</v>
      </c>
      <c r="AD136" s="48">
        <f>AD137</f>
        <v>217954.18693999999</v>
      </c>
    </row>
    <row r="137" spans="3:30" x14ac:dyDescent="0.3">
      <c r="C137" s="65" t="s">
        <v>117</v>
      </c>
      <c r="D137" s="77"/>
      <c r="E137" s="97">
        <v>165779.22</v>
      </c>
      <c r="F137" s="97">
        <f>SUM('Quarterly I.S IFRS17'!F137:I137)</f>
        <v>172964.875</v>
      </c>
      <c r="G137" s="97">
        <f>SUM('Quarterly I.S IFRS17'!J137:M137)</f>
        <v>217954.18693999999</v>
      </c>
      <c r="H137" s="190"/>
      <c r="I137" s="132"/>
      <c r="J137" s="67">
        <f>$E137</f>
        <v>165779.22</v>
      </c>
      <c r="K137" s="67">
        <f>$F137</f>
        <v>172964.875</v>
      </c>
      <c r="L137" s="67">
        <f>$G137</f>
        <v>217954.18693999999</v>
      </c>
      <c r="M137" s="190"/>
      <c r="N137" s="64"/>
      <c r="O137" s="67">
        <f>$E137</f>
        <v>165779.22</v>
      </c>
      <c r="P137" s="67">
        <f>$F137</f>
        <v>172964.875</v>
      </c>
      <c r="Q137" s="67">
        <f>$G137</f>
        <v>217954.18693999999</v>
      </c>
      <c r="R137" s="64"/>
      <c r="S137" s="67">
        <f>$E137</f>
        <v>165779.22</v>
      </c>
      <c r="T137" s="67">
        <f>$F137</f>
        <v>172964.875</v>
      </c>
      <c r="U137" s="67">
        <f>$G137</f>
        <v>217954.18693999999</v>
      </c>
      <c r="V137" s="64"/>
      <c r="W137" s="67">
        <f>$E137</f>
        <v>165779.22</v>
      </c>
      <c r="X137" s="67">
        <f>$F137</f>
        <v>172964.875</v>
      </c>
      <c r="Y137" s="67">
        <f>$G137</f>
        <v>217954.18693999999</v>
      </c>
      <c r="Z137" s="190"/>
      <c r="AA137" s="64"/>
      <c r="AB137" s="67">
        <f>$E137</f>
        <v>165779.22</v>
      </c>
      <c r="AC137" s="67">
        <f>$F137</f>
        <v>172964.875</v>
      </c>
      <c r="AD137" s="67">
        <f>$G137</f>
        <v>217954.18693999999</v>
      </c>
    </row>
    <row r="138" spans="3:30" x14ac:dyDescent="0.3">
      <c r="C138" s="65"/>
      <c r="D138" s="77"/>
      <c r="E138" s="62"/>
      <c r="F138" s="62"/>
      <c r="G138" s="62"/>
      <c r="H138" s="131"/>
      <c r="J138" s="62"/>
      <c r="K138" s="62"/>
      <c r="L138" s="62"/>
      <c r="M138" s="131"/>
      <c r="O138" s="62"/>
      <c r="P138" s="62"/>
      <c r="Q138" s="62"/>
      <c r="S138" s="62"/>
      <c r="T138" s="62"/>
      <c r="U138" s="62"/>
      <c r="W138" s="62"/>
      <c r="X138" s="62"/>
      <c r="Y138" s="62"/>
      <c r="Z138" s="131"/>
      <c r="AB138" s="62"/>
      <c r="AC138" s="62"/>
      <c r="AD138" s="62"/>
    </row>
    <row r="139" spans="3:30" ht="13.5" thickBot="1" x14ac:dyDescent="0.35">
      <c r="C139" s="74" t="s">
        <v>52</v>
      </c>
      <c r="D139" s="126"/>
      <c r="E139" s="75">
        <f>E128+E136</f>
        <v>16605900.182302492</v>
      </c>
      <c r="F139" s="75">
        <f>F128+F136</f>
        <v>11630372.696868641</v>
      </c>
      <c r="G139" s="75">
        <f>G128+G136</f>
        <v>11806342.47326936</v>
      </c>
      <c r="H139" s="191">
        <f>G139/F139-1</f>
        <v>1.5130192383954855E-2</v>
      </c>
      <c r="J139" s="75">
        <f>J128+J136</f>
        <v>16605900.182302492</v>
      </c>
      <c r="K139" s="75">
        <f>K128+K136</f>
        <v>11630372.696868641</v>
      </c>
      <c r="L139" s="75">
        <f>L128+L136</f>
        <v>11806342.47326936</v>
      </c>
      <c r="M139" s="191">
        <f>L139/K139-1</f>
        <v>1.5130192383954855E-2</v>
      </c>
      <c r="O139" s="75">
        <f>O128+O136</f>
        <v>16605900.182302492</v>
      </c>
      <c r="P139" s="75">
        <f>P128+P136</f>
        <v>11630372.696868641</v>
      </c>
      <c r="Q139" s="75">
        <f>Q128+Q136</f>
        <v>11806342.47326936</v>
      </c>
      <c r="S139" s="75">
        <f>S128+S136</f>
        <v>16605900.182302492</v>
      </c>
      <c r="T139" s="75">
        <f>T128+T136</f>
        <v>11630372.696868641</v>
      </c>
      <c r="U139" s="75">
        <f>U128+U136</f>
        <v>11806342.47326936</v>
      </c>
      <c r="W139" s="75">
        <f>W128+W136</f>
        <v>16605900.182302492</v>
      </c>
      <c r="X139" s="75">
        <f>X128+X136</f>
        <v>11630372.696868641</v>
      </c>
      <c r="Y139" s="75">
        <f>Y128+Y136</f>
        <v>11806342.47326936</v>
      </c>
      <c r="Z139" s="191">
        <f>Y139/X139-1</f>
        <v>1.5130192383954855E-2</v>
      </c>
      <c r="AB139" s="75">
        <f>AB128+AB136</f>
        <v>16605900.182302492</v>
      </c>
      <c r="AC139" s="75">
        <f>AC128+AC136</f>
        <v>11630372.696868641</v>
      </c>
      <c r="AD139" s="75">
        <f>AD128+AD136</f>
        <v>11806342.47326936</v>
      </c>
    </row>
    <row r="140" spans="3:30" x14ac:dyDescent="0.3">
      <c r="C140" s="65"/>
      <c r="D140" s="77"/>
      <c r="E140" s="131"/>
      <c r="F140" s="131"/>
      <c r="G140" s="131"/>
      <c r="H140" s="131"/>
      <c r="J140" s="62"/>
      <c r="K140" s="62"/>
      <c r="L140" s="62"/>
      <c r="M140" s="131"/>
      <c r="O140" s="62"/>
      <c r="P140" s="62"/>
      <c r="Q140" s="62"/>
      <c r="S140" s="62"/>
      <c r="T140" s="62"/>
      <c r="U140" s="62"/>
      <c r="W140" s="62"/>
      <c r="X140" s="62"/>
      <c r="Y140" s="62"/>
      <c r="Z140" s="131"/>
      <c r="AB140" s="62"/>
      <c r="AC140" s="62"/>
      <c r="AD140" s="62"/>
    </row>
    <row r="141" spans="3:30" s="45" customFormat="1" x14ac:dyDescent="0.3">
      <c r="C141" s="93" t="s">
        <v>67</v>
      </c>
      <c r="D141" s="127"/>
      <c r="E141" s="94">
        <f>SUM(E142:E143)</f>
        <v>10357212.881899996</v>
      </c>
      <c r="F141" s="94">
        <f>SUM(F142:F143)</f>
        <v>6212814.2683799993</v>
      </c>
      <c r="G141" s="94">
        <f>SUM(G142:G143)</f>
        <v>5736504.9970800001</v>
      </c>
      <c r="H141" s="192">
        <f>G141/F141-1</f>
        <v>-7.6665622168067382E-2</v>
      </c>
      <c r="J141" s="94">
        <f>$E141</f>
        <v>10357212.881899996</v>
      </c>
      <c r="K141" s="94">
        <f t="shared" ref="K141:K143" si="54">$F141</f>
        <v>6212814.2683799993</v>
      </c>
      <c r="L141" s="94">
        <f>$G141</f>
        <v>5736504.9970800001</v>
      </c>
      <c r="M141" s="192">
        <f>L141/K141-1</f>
        <v>-7.6665622168067382E-2</v>
      </c>
      <c r="O141" s="94">
        <f>$E141</f>
        <v>10357212.881899996</v>
      </c>
      <c r="P141" s="94">
        <f t="shared" ref="P141:P143" si="55">$F141</f>
        <v>6212814.2683799993</v>
      </c>
      <c r="Q141" s="94">
        <f>$G141</f>
        <v>5736504.9970800001</v>
      </c>
      <c r="S141" s="94">
        <f>$E141</f>
        <v>10357212.881899996</v>
      </c>
      <c r="T141" s="94">
        <f t="shared" ref="T141:T143" si="56">$F141</f>
        <v>6212814.2683799993</v>
      </c>
      <c r="U141" s="94">
        <f>$G141</f>
        <v>5736504.9970800001</v>
      </c>
      <c r="W141" s="94">
        <f>$E141</f>
        <v>10357212.881899996</v>
      </c>
      <c r="X141" s="94">
        <f t="shared" ref="X141:X143" si="57">$F141</f>
        <v>6212814.2683799993</v>
      </c>
      <c r="Y141" s="94">
        <f>$G141</f>
        <v>5736504.9970800001</v>
      </c>
      <c r="Z141" s="192">
        <f>Y141/X141-1</f>
        <v>-7.6665622168067382E-2</v>
      </c>
      <c r="AB141" s="94">
        <f>$E141</f>
        <v>10357212.881899996</v>
      </c>
      <c r="AC141" s="94">
        <f t="shared" ref="AC141:AC143" si="58">$F141</f>
        <v>6212814.2683799993</v>
      </c>
      <c r="AD141" s="94">
        <f>$G141</f>
        <v>5736504.9970800001</v>
      </c>
    </row>
    <row r="142" spans="3:30" x14ac:dyDescent="0.3">
      <c r="C142" s="36" t="s">
        <v>68</v>
      </c>
      <c r="E142" s="97">
        <v>10223997.289549995</v>
      </c>
      <c r="F142" s="97">
        <f>SUM('Quarterly I.S IFRS17'!F142:I142)</f>
        <v>6080790.1759899994</v>
      </c>
      <c r="G142" s="97">
        <f>SUM('Quarterly I.S IFRS17'!J142:M142)</f>
        <v>5529463.6386700002</v>
      </c>
      <c r="H142" s="190"/>
      <c r="J142" s="92">
        <f>$E142</f>
        <v>10223997.289549995</v>
      </c>
      <c r="K142" s="92">
        <f t="shared" si="54"/>
        <v>6080790.1759899994</v>
      </c>
      <c r="L142" s="92">
        <f>$G142</f>
        <v>5529463.6386700002</v>
      </c>
      <c r="M142" s="190"/>
      <c r="O142" s="92">
        <f>$E142</f>
        <v>10223997.289549995</v>
      </c>
      <c r="P142" s="92">
        <f t="shared" si="55"/>
        <v>6080790.1759899994</v>
      </c>
      <c r="Q142" s="92">
        <f>$G142</f>
        <v>5529463.6386700002</v>
      </c>
      <c r="S142" s="92">
        <f>$E142</f>
        <v>10223997.289549995</v>
      </c>
      <c r="T142" s="92">
        <f t="shared" si="56"/>
        <v>6080790.1759899994</v>
      </c>
      <c r="U142" s="92">
        <f>$G142</f>
        <v>5529463.6386700002</v>
      </c>
      <c r="W142" s="92">
        <f>$E142</f>
        <v>10223997.289549995</v>
      </c>
      <c r="X142" s="92">
        <f t="shared" si="57"/>
        <v>6080790.1759899994</v>
      </c>
      <c r="Y142" s="92">
        <f>$G142</f>
        <v>5529463.6386700002</v>
      </c>
      <c r="Z142" s="190"/>
      <c r="AB142" s="92">
        <f>$E142</f>
        <v>10223997.289549995</v>
      </c>
      <c r="AC142" s="92">
        <f t="shared" si="58"/>
        <v>6080790.1759899994</v>
      </c>
      <c r="AD142" s="92">
        <f>$G142</f>
        <v>5529463.6386700002</v>
      </c>
    </row>
    <row r="143" spans="3:30" x14ac:dyDescent="0.3">
      <c r="C143" s="36" t="s">
        <v>121</v>
      </c>
      <c r="E143" s="97">
        <v>133215.59234999999</v>
      </c>
      <c r="F143" s="97">
        <f>SUM('Quarterly I.S IFRS17'!F143:I143)</f>
        <v>132024.09239000001</v>
      </c>
      <c r="G143" s="97">
        <f>SUM('Quarterly I.S IFRS17'!J143:M143)</f>
        <v>207041.35840999999</v>
      </c>
      <c r="H143" s="190"/>
      <c r="J143" s="92">
        <f>$E143</f>
        <v>133215.59234999999</v>
      </c>
      <c r="K143" s="92">
        <f t="shared" si="54"/>
        <v>132024.09239000001</v>
      </c>
      <c r="L143" s="92">
        <f>$G143</f>
        <v>207041.35840999999</v>
      </c>
      <c r="M143" s="190"/>
      <c r="O143" s="92">
        <f>$E143</f>
        <v>133215.59234999999</v>
      </c>
      <c r="P143" s="92">
        <f t="shared" si="55"/>
        <v>132024.09239000001</v>
      </c>
      <c r="Q143" s="92">
        <f>$G143</f>
        <v>207041.35840999999</v>
      </c>
      <c r="S143" s="92">
        <f>$E143</f>
        <v>133215.59234999999</v>
      </c>
      <c r="T143" s="92">
        <f t="shared" si="56"/>
        <v>132024.09239000001</v>
      </c>
      <c r="U143" s="92">
        <f>$G143</f>
        <v>207041.35840999999</v>
      </c>
      <c r="W143" s="92">
        <f>$E143</f>
        <v>133215.59234999999</v>
      </c>
      <c r="X143" s="92">
        <f t="shared" si="57"/>
        <v>132024.09239000001</v>
      </c>
      <c r="Y143" s="92">
        <f>$G143</f>
        <v>207041.35840999999</v>
      </c>
      <c r="Z143" s="190"/>
      <c r="AB143" s="92">
        <f>$E143</f>
        <v>133215.59234999999</v>
      </c>
      <c r="AC143" s="92">
        <f t="shared" si="58"/>
        <v>132024.09239000001</v>
      </c>
      <c r="AD143" s="92">
        <f>$G143</f>
        <v>207041.35840999999</v>
      </c>
    </row>
    <row r="144" spans="3:30" x14ac:dyDescent="0.3">
      <c r="C144" s="71"/>
      <c r="D144" s="120"/>
      <c r="E144" s="246"/>
      <c r="F144" s="246"/>
      <c r="G144" s="246"/>
      <c r="H144" s="193"/>
      <c r="J144" s="70"/>
      <c r="K144" s="70"/>
      <c r="L144" s="70"/>
      <c r="M144" s="193"/>
      <c r="O144" s="70"/>
      <c r="P144" s="70"/>
      <c r="Q144" s="70"/>
      <c r="S144" s="70"/>
      <c r="T144" s="70"/>
      <c r="U144" s="70"/>
      <c r="W144" s="70"/>
      <c r="X144" s="70"/>
      <c r="Y144" s="70"/>
      <c r="Z144" s="193"/>
      <c r="AB144" s="70"/>
      <c r="AC144" s="70"/>
      <c r="AD144" s="70"/>
    </row>
    <row r="145" spans="2:30" s="35" customFormat="1" x14ac:dyDescent="0.3">
      <c r="B145" s="33"/>
      <c r="C145" s="63" t="s">
        <v>115</v>
      </c>
      <c r="D145" s="63"/>
      <c r="E145" s="34"/>
      <c r="F145" s="34"/>
      <c r="G145" s="34"/>
      <c r="H145" s="168"/>
      <c r="J145" s="34"/>
      <c r="K145" s="34"/>
      <c r="L145" s="34"/>
      <c r="M145" s="168"/>
      <c r="O145" s="34"/>
      <c r="P145" s="34"/>
      <c r="Q145" s="34"/>
      <c r="S145" s="34"/>
      <c r="T145" s="34"/>
      <c r="U145" s="34"/>
      <c r="W145" s="34"/>
      <c r="X145" s="34"/>
      <c r="Y145" s="34"/>
      <c r="Z145" s="168"/>
      <c r="AA145" s="205"/>
      <c r="AB145" s="34"/>
      <c r="AC145" s="34"/>
      <c r="AD145" s="34"/>
    </row>
    <row r="146" spans="2:30" x14ac:dyDescent="0.3">
      <c r="C146" s="79" t="s">
        <v>111</v>
      </c>
      <c r="D146" s="121"/>
      <c r="E146" s="48">
        <f>SUM(E147)</f>
        <v>6998142</v>
      </c>
      <c r="F146" s="48">
        <f>SUM(F147)</f>
        <v>7722183.1390800001</v>
      </c>
      <c r="G146" s="48">
        <f>SUM(G147)</f>
        <v>8261123.9067399995</v>
      </c>
      <c r="H146" s="173">
        <f>G146/F146-1</f>
        <v>6.9791243998417629E-2</v>
      </c>
      <c r="J146" s="100">
        <f>J147</f>
        <v>6998142</v>
      </c>
      <c r="K146" s="100">
        <f>K147</f>
        <v>7722183.1390800001</v>
      </c>
      <c r="L146" s="100">
        <f>L147</f>
        <v>8261123.9067399995</v>
      </c>
      <c r="M146" s="173">
        <f>L146/K146-1</f>
        <v>6.9791243998417629E-2</v>
      </c>
      <c r="O146" s="100">
        <f>O147</f>
        <v>6998142</v>
      </c>
      <c r="P146" s="100">
        <f>P147</f>
        <v>7722183.1390800001</v>
      </c>
      <c r="Q146" s="100">
        <f>Q147</f>
        <v>8261123.9067399995</v>
      </c>
      <c r="S146" s="100">
        <f>S147</f>
        <v>6998142</v>
      </c>
      <c r="T146" s="100">
        <f>T147</f>
        <v>7722183.1390800001</v>
      </c>
      <c r="U146" s="100">
        <f>U147</f>
        <v>8261123.9067399995</v>
      </c>
      <c r="W146" s="100">
        <f>W147</f>
        <v>6998142</v>
      </c>
      <c r="X146" s="100">
        <f>X147</f>
        <v>7722183.1390800001</v>
      </c>
      <c r="Y146" s="100">
        <f>Y147</f>
        <v>8261123.9067399995</v>
      </c>
      <c r="Z146" s="173">
        <f>Y146/X146-1</f>
        <v>6.9791243998417629E-2</v>
      </c>
      <c r="AB146" s="100">
        <f>AB147</f>
        <v>6998142</v>
      </c>
      <c r="AC146" s="100">
        <f>AC147</f>
        <v>7722183.1390800001</v>
      </c>
      <c r="AD146" s="100">
        <f>AD147</f>
        <v>8261123.9067399995</v>
      </c>
    </row>
    <row r="147" spans="2:30" x14ac:dyDescent="0.3">
      <c r="C147" s="65" t="s">
        <v>112</v>
      </c>
      <c r="D147" s="77">
        <v>37</v>
      </c>
      <c r="E147" s="97">
        <f>'Quarterly I.S IFRS17'!E147</f>
        <v>6998142</v>
      </c>
      <c r="F147" s="97">
        <f>'Quarterly I.S IFRS17'!I147</f>
        <v>7722183.1390800001</v>
      </c>
      <c r="G147" s="97">
        <f>'Quarterly I.S IFRS17'!M147</f>
        <v>8261123.9067399995</v>
      </c>
      <c r="H147" s="190"/>
      <c r="J147" s="67">
        <f>$E147</f>
        <v>6998142</v>
      </c>
      <c r="K147" s="67">
        <f>$F147</f>
        <v>7722183.1390800001</v>
      </c>
      <c r="L147" s="67">
        <f>$G147</f>
        <v>8261123.9067399995</v>
      </c>
      <c r="M147" s="190"/>
      <c r="N147" s="64"/>
      <c r="O147" s="67">
        <f>$E147</f>
        <v>6998142</v>
      </c>
      <c r="P147" s="67">
        <f>$F147</f>
        <v>7722183.1390800001</v>
      </c>
      <c r="Q147" s="67">
        <f>$G147</f>
        <v>8261123.9067399995</v>
      </c>
      <c r="R147" s="64"/>
      <c r="S147" s="67">
        <f>$E147</f>
        <v>6998142</v>
      </c>
      <c r="T147" s="67">
        <f>$F147</f>
        <v>7722183.1390800001</v>
      </c>
      <c r="U147" s="67">
        <f>$G147</f>
        <v>8261123.9067399995</v>
      </c>
      <c r="V147" s="64"/>
      <c r="W147" s="67">
        <f>$E147</f>
        <v>6998142</v>
      </c>
      <c r="X147" s="67">
        <f>$F147</f>
        <v>7722183.1390800001</v>
      </c>
      <c r="Y147" s="67">
        <f>$G147</f>
        <v>8261123.9067399995</v>
      </c>
      <c r="Z147" s="190"/>
      <c r="AA147" s="64"/>
      <c r="AB147" s="67">
        <f>$E147</f>
        <v>6998142</v>
      </c>
      <c r="AC147" s="67">
        <f>$F147</f>
        <v>7722183.1390800001</v>
      </c>
      <c r="AD147" s="67">
        <f>$G147</f>
        <v>8261123.9067399995</v>
      </c>
    </row>
    <row r="148" spans="2:30" x14ac:dyDescent="0.3">
      <c r="C148" s="65"/>
      <c r="D148" s="77"/>
      <c r="E148" s="41"/>
      <c r="F148" s="41"/>
      <c r="G148" s="41"/>
      <c r="H148" s="169"/>
      <c r="J148" s="40"/>
      <c r="K148" s="40"/>
      <c r="L148" s="40"/>
      <c r="M148" s="169"/>
      <c r="O148" s="40"/>
      <c r="P148" s="40"/>
      <c r="Q148" s="40"/>
      <c r="S148" s="40"/>
      <c r="T148" s="40"/>
      <c r="U148" s="40"/>
      <c r="W148" s="40"/>
      <c r="X148" s="40"/>
      <c r="Y148" s="40"/>
      <c r="Z148" s="169"/>
      <c r="AB148" s="40"/>
      <c r="AC148" s="40"/>
      <c r="AD148" s="40"/>
    </row>
    <row r="149" spans="2:30" x14ac:dyDescent="0.3">
      <c r="C149" s="80" t="s">
        <v>114</v>
      </c>
      <c r="D149" s="122"/>
      <c r="E149" s="48">
        <f>SUM(E150:E153)</f>
        <v>14790726.199999999</v>
      </c>
      <c r="F149" s="48">
        <f>SUM(F150:F153)</f>
        <v>14597264.453412892</v>
      </c>
      <c r="G149" s="48">
        <f>SUM(G150:G153)</f>
        <v>13305024.655996645</v>
      </c>
      <c r="H149" s="173">
        <f>G149/F149-1</f>
        <v>-8.852616197647345E-2</v>
      </c>
      <c r="J149" s="100">
        <f>SUM(J150:J153)</f>
        <v>14790726.199999999</v>
      </c>
      <c r="K149" s="100">
        <f>SUM(K150:K153)</f>
        <v>14597264.453412892</v>
      </c>
      <c r="L149" s="100">
        <f>SUM(L150:L153)</f>
        <v>13305024.655996645</v>
      </c>
      <c r="M149" s="173">
        <f>L149/K149-1</f>
        <v>-8.852616197647345E-2</v>
      </c>
      <c r="O149" s="100">
        <f>SUM(O150:O153)</f>
        <v>14790726.199999999</v>
      </c>
      <c r="P149" s="100">
        <f>SUM(P150:P153)</f>
        <v>14597264.453412892</v>
      </c>
      <c r="Q149" s="100">
        <f>SUM(Q150:Q153)</f>
        <v>13305024.655996645</v>
      </c>
      <c r="R149" s="100"/>
      <c r="S149" s="100">
        <f>SUM(S150:S153)</f>
        <v>14790726.199999999</v>
      </c>
      <c r="T149" s="100">
        <f>SUM(T150:T153)</f>
        <v>14597264.453412892</v>
      </c>
      <c r="U149" s="100">
        <f>SUM(U150:U153)</f>
        <v>13305024.655996645</v>
      </c>
      <c r="V149" s="100"/>
      <c r="W149" s="100">
        <f>SUM(W150:W153)</f>
        <v>14790726.199999999</v>
      </c>
      <c r="X149" s="100">
        <f>SUM(X150:X153)</f>
        <v>14597264.453412892</v>
      </c>
      <c r="Y149" s="100">
        <f>SUM(Y150:Y153)</f>
        <v>13305024.655996645</v>
      </c>
      <c r="Z149" s="173">
        <f>Y149/X149-1</f>
        <v>-8.852616197647345E-2</v>
      </c>
      <c r="AA149" s="70"/>
      <c r="AB149" s="100">
        <f>SUM(AB150:AB153)</f>
        <v>14790726.199999999</v>
      </c>
      <c r="AC149" s="100">
        <f>SUM(AC150:AC153)</f>
        <v>14597264.453412892</v>
      </c>
      <c r="AD149" s="100">
        <f>SUM(AD150:AD153)</f>
        <v>13305024.655996645</v>
      </c>
    </row>
    <row r="150" spans="2:30" x14ac:dyDescent="0.3">
      <c r="C150" s="77" t="s">
        <v>142</v>
      </c>
      <c r="D150" s="77">
        <v>48.2</v>
      </c>
      <c r="E150" s="97">
        <f>'Quarterly I.S IFRS17'!E150</f>
        <v>6761753</v>
      </c>
      <c r="F150" s="97">
        <f>'Quarterly I.S IFRS17'!I150</f>
        <v>6074997</v>
      </c>
      <c r="G150" s="97">
        <f>'Quarterly I.S IFRS17'!M150</f>
        <v>4605910.9079999998</v>
      </c>
      <c r="H150" s="190">
        <f>G150/F150-1</f>
        <v>-0.2418249905308596</v>
      </c>
      <c r="J150" s="67">
        <f>$E150</f>
        <v>6761753</v>
      </c>
      <c r="K150" s="67">
        <f t="shared" ref="K150:K153" si="59">$F150</f>
        <v>6074997</v>
      </c>
      <c r="L150" s="67">
        <f>$G150</f>
        <v>4605910.9079999998</v>
      </c>
      <c r="M150" s="190">
        <f>L150/K150-1</f>
        <v>-0.2418249905308596</v>
      </c>
      <c r="N150" s="64"/>
      <c r="O150" s="67">
        <f>$E150</f>
        <v>6761753</v>
      </c>
      <c r="P150" s="67">
        <f t="shared" ref="P150:P153" si="60">$F150</f>
        <v>6074997</v>
      </c>
      <c r="Q150" s="67">
        <f>$G150</f>
        <v>4605910.9079999998</v>
      </c>
      <c r="R150" s="64"/>
      <c r="S150" s="67">
        <f>$E150</f>
        <v>6761753</v>
      </c>
      <c r="T150" s="67">
        <f t="shared" ref="T150:T153" si="61">$F150</f>
        <v>6074997</v>
      </c>
      <c r="U150" s="67">
        <f>$G150</f>
        <v>4605910.9079999998</v>
      </c>
      <c r="V150" s="64"/>
      <c r="W150" s="67">
        <f>$E150</f>
        <v>6761753</v>
      </c>
      <c r="X150" s="67">
        <f t="shared" ref="X150:X153" si="62">$F150</f>
        <v>6074997</v>
      </c>
      <c r="Y150" s="67">
        <f>$G150</f>
        <v>4605910.9079999998</v>
      </c>
      <c r="Z150" s="190">
        <f>Y150/X150-1</f>
        <v>-0.2418249905308596</v>
      </c>
      <c r="AA150" s="64"/>
      <c r="AB150" s="67">
        <f>$E150</f>
        <v>6761753</v>
      </c>
      <c r="AC150" s="67">
        <f t="shared" ref="AC150:AC153" si="63">$F150</f>
        <v>6074997</v>
      </c>
      <c r="AD150" s="67">
        <f>$G150</f>
        <v>4605910.9079999998</v>
      </c>
    </row>
    <row r="151" spans="2:30" x14ac:dyDescent="0.3">
      <c r="C151" s="77" t="s">
        <v>107</v>
      </c>
      <c r="D151" s="77" t="s">
        <v>149</v>
      </c>
      <c r="E151" s="97">
        <f>'Quarterly I.S IFRS17'!E151</f>
        <v>4238136</v>
      </c>
      <c r="F151" s="97">
        <f>'Quarterly I.S IFRS17'!I151</f>
        <v>2227048</v>
      </c>
      <c r="G151" s="97">
        <f>'Quarterly I.S IFRS17'!M151</f>
        <v>946973.82076000003</v>
      </c>
      <c r="H151" s="190">
        <f>G151/F151-1</f>
        <v>-0.57478517716726363</v>
      </c>
      <c r="J151" s="67">
        <f>$E151</f>
        <v>4238136</v>
      </c>
      <c r="K151" s="67">
        <f t="shared" si="59"/>
        <v>2227048</v>
      </c>
      <c r="L151" s="67">
        <f>$G151</f>
        <v>946973.82076000003</v>
      </c>
      <c r="M151" s="190">
        <f>L151/K151-1</f>
        <v>-0.57478517716726363</v>
      </c>
      <c r="N151" s="64"/>
      <c r="O151" s="67">
        <f>$E151</f>
        <v>4238136</v>
      </c>
      <c r="P151" s="67">
        <f t="shared" si="60"/>
        <v>2227048</v>
      </c>
      <c r="Q151" s="67">
        <f>$G151</f>
        <v>946973.82076000003</v>
      </c>
      <c r="R151" s="64"/>
      <c r="S151" s="67">
        <f>$E151</f>
        <v>4238136</v>
      </c>
      <c r="T151" s="67">
        <f t="shared" si="61"/>
        <v>2227048</v>
      </c>
      <c r="U151" s="67">
        <f>$G151</f>
        <v>946973.82076000003</v>
      </c>
      <c r="V151" s="64"/>
      <c r="W151" s="67">
        <f>$E151</f>
        <v>4238136</v>
      </c>
      <c r="X151" s="67">
        <f t="shared" si="62"/>
        <v>2227048</v>
      </c>
      <c r="Y151" s="67">
        <f>$G151</f>
        <v>946973.82076000003</v>
      </c>
      <c r="Z151" s="190">
        <f>Y151/X151-1</f>
        <v>-0.57478517716726363</v>
      </c>
      <c r="AA151" s="64"/>
      <c r="AB151" s="67">
        <f>$E151</f>
        <v>4238136</v>
      </c>
      <c r="AC151" s="67">
        <f t="shared" si="63"/>
        <v>2227048</v>
      </c>
      <c r="AD151" s="67">
        <f>$G151</f>
        <v>946973.82076000003</v>
      </c>
    </row>
    <row r="152" spans="2:30" x14ac:dyDescent="0.3">
      <c r="C152" s="77" t="s">
        <v>108</v>
      </c>
      <c r="D152" s="77" t="s">
        <v>150</v>
      </c>
      <c r="E152" s="97">
        <f>'Quarterly I.S IFRS17'!E152</f>
        <v>3433078</v>
      </c>
      <c r="F152" s="97">
        <f>'Quarterly I.S IFRS17'!I152</f>
        <v>5539650</v>
      </c>
      <c r="G152" s="97">
        <f>'Quarterly I.S IFRS17'!M152</f>
        <v>6957201.2209999999</v>
      </c>
      <c r="H152" s="190">
        <f>G152/F152-1</f>
        <v>0.25589183811251615</v>
      </c>
      <c r="J152" s="67">
        <f>$E152</f>
        <v>3433078</v>
      </c>
      <c r="K152" s="67">
        <f t="shared" si="59"/>
        <v>5539650</v>
      </c>
      <c r="L152" s="67">
        <f>$G152</f>
        <v>6957201.2209999999</v>
      </c>
      <c r="M152" s="190">
        <f>L152/K152-1</f>
        <v>0.25589183811251615</v>
      </c>
      <c r="N152" s="64"/>
      <c r="O152" s="67">
        <f>$E152</f>
        <v>3433078</v>
      </c>
      <c r="P152" s="67">
        <f t="shared" si="60"/>
        <v>5539650</v>
      </c>
      <c r="Q152" s="67">
        <f>$G152</f>
        <v>6957201.2209999999</v>
      </c>
      <c r="R152" s="64"/>
      <c r="S152" s="67">
        <f>$E152</f>
        <v>3433078</v>
      </c>
      <c r="T152" s="67">
        <f t="shared" si="61"/>
        <v>5539650</v>
      </c>
      <c r="U152" s="67">
        <f>$G152</f>
        <v>6957201.2209999999</v>
      </c>
      <c r="V152" s="64"/>
      <c r="W152" s="67">
        <f>$E152</f>
        <v>3433078</v>
      </c>
      <c r="X152" s="67">
        <f t="shared" si="62"/>
        <v>5539650</v>
      </c>
      <c r="Y152" s="67">
        <f>$G152</f>
        <v>6957201.2209999999</v>
      </c>
      <c r="Z152" s="190">
        <f>Y152/X152-1</f>
        <v>0.25589183811251615</v>
      </c>
      <c r="AA152" s="64"/>
      <c r="AB152" s="67">
        <f>$E152</f>
        <v>3433078</v>
      </c>
      <c r="AC152" s="67">
        <f t="shared" si="63"/>
        <v>5539650</v>
      </c>
      <c r="AD152" s="67">
        <f>$G152</f>
        <v>6957201.2209999999</v>
      </c>
    </row>
    <row r="153" spans="2:30" x14ac:dyDescent="0.3">
      <c r="C153" s="77" t="s">
        <v>109</v>
      </c>
      <c r="D153" s="77">
        <v>46</v>
      </c>
      <c r="E153" s="97">
        <f>'Quarterly I.S IFRS17'!E153</f>
        <v>357759.2</v>
      </c>
      <c r="F153" s="97">
        <f>'Quarterly I.S IFRS17'!I153</f>
        <v>755569.45341289195</v>
      </c>
      <c r="G153" s="97">
        <f>'Quarterly I.S IFRS17'!M153</f>
        <v>794938.70623664407</v>
      </c>
      <c r="H153" s="190">
        <f>G153/F153-1</f>
        <v>5.2105405592989484E-2</v>
      </c>
      <c r="J153" s="67">
        <f>$E153</f>
        <v>357759.2</v>
      </c>
      <c r="K153" s="67">
        <f t="shared" si="59"/>
        <v>755569.45341289195</v>
      </c>
      <c r="L153" s="67">
        <f>$G153</f>
        <v>794938.70623664407</v>
      </c>
      <c r="M153" s="190">
        <f>L153/K153-1</f>
        <v>5.2105405592989484E-2</v>
      </c>
      <c r="N153" s="64"/>
      <c r="O153" s="67">
        <f>$E153</f>
        <v>357759.2</v>
      </c>
      <c r="P153" s="67">
        <f t="shared" si="60"/>
        <v>755569.45341289195</v>
      </c>
      <c r="Q153" s="67">
        <f>$G153</f>
        <v>794938.70623664407</v>
      </c>
      <c r="R153" s="64"/>
      <c r="S153" s="67">
        <f>$E153</f>
        <v>357759.2</v>
      </c>
      <c r="T153" s="67">
        <f t="shared" si="61"/>
        <v>755569.45341289195</v>
      </c>
      <c r="U153" s="67">
        <f>$G153</f>
        <v>794938.70623664407</v>
      </c>
      <c r="V153" s="64"/>
      <c r="W153" s="67">
        <f>$E153</f>
        <v>357759.2</v>
      </c>
      <c r="X153" s="67">
        <f t="shared" si="62"/>
        <v>755569.45341289195</v>
      </c>
      <c r="Y153" s="67">
        <f>$G153</f>
        <v>794938.70623664407</v>
      </c>
      <c r="Z153" s="190">
        <f>Y153/X153-1</f>
        <v>5.2105405592989484E-2</v>
      </c>
      <c r="AA153" s="64"/>
      <c r="AB153" s="67">
        <f>$E153</f>
        <v>357759.2</v>
      </c>
      <c r="AC153" s="67">
        <f t="shared" si="63"/>
        <v>755569.45341289195</v>
      </c>
      <c r="AD153" s="67">
        <f>$G153</f>
        <v>794938.70623664407</v>
      </c>
    </row>
    <row r="154" spans="2:30" x14ac:dyDescent="0.3">
      <c r="C154" s="77"/>
      <c r="D154" s="77"/>
      <c r="E154" s="41"/>
      <c r="F154" s="41"/>
      <c r="G154" s="41"/>
      <c r="H154" s="169"/>
      <c r="J154" s="40"/>
      <c r="K154" s="40"/>
      <c r="L154" s="40"/>
      <c r="M154" s="169"/>
      <c r="O154" s="40"/>
      <c r="P154" s="40"/>
      <c r="Q154" s="40"/>
      <c r="S154" s="40"/>
      <c r="T154" s="40"/>
      <c r="U154" s="40"/>
      <c r="W154" s="40"/>
      <c r="X154" s="40"/>
      <c r="Y154" s="40"/>
      <c r="Z154" s="169"/>
      <c r="AB154" s="40"/>
      <c r="AC154" s="40"/>
      <c r="AD154" s="40"/>
    </row>
    <row r="155" spans="2:30" ht="13.5" thickBot="1" x14ac:dyDescent="0.35">
      <c r="C155" s="78" t="s">
        <v>113</v>
      </c>
      <c r="D155" s="124"/>
      <c r="E155" s="102">
        <f t="shared" ref="E155:K155" si="64">E146+E149</f>
        <v>21788868.199999999</v>
      </c>
      <c r="F155" s="102">
        <f t="shared" si="64"/>
        <v>22319447.592492893</v>
      </c>
      <c r="G155" s="102">
        <f>G146+G149</f>
        <v>21566148.562736645</v>
      </c>
      <c r="H155" s="194">
        <f>G155/F155-1</f>
        <v>-3.3750791843505046E-2</v>
      </c>
      <c r="I155" s="71"/>
      <c r="J155" s="102">
        <f t="shared" si="64"/>
        <v>21788868.199999999</v>
      </c>
      <c r="K155" s="102">
        <f t="shared" si="64"/>
        <v>22319447.592492893</v>
      </c>
      <c r="L155" s="102">
        <f>L146+L149</f>
        <v>21566148.562736645</v>
      </c>
      <c r="M155" s="194">
        <f>L155/K155-1</f>
        <v>-3.3750791843505046E-2</v>
      </c>
      <c r="N155" s="71"/>
      <c r="O155" s="102">
        <f t="shared" ref="O155:Q155" si="65">O146+O149</f>
        <v>21788868.199999999</v>
      </c>
      <c r="P155" s="102">
        <f t="shared" si="65"/>
        <v>22319447.592492893</v>
      </c>
      <c r="Q155" s="102">
        <f>Q146+Q149</f>
        <v>21566148.562736645</v>
      </c>
      <c r="R155" s="100"/>
      <c r="S155" s="102">
        <f t="shared" ref="S155:U155" si="66">S146+S149</f>
        <v>21788868.199999999</v>
      </c>
      <c r="T155" s="102">
        <f t="shared" si="66"/>
        <v>22319447.592492893</v>
      </c>
      <c r="U155" s="102">
        <f>U146+U149</f>
        <v>21566148.562736645</v>
      </c>
      <c r="V155" s="100"/>
      <c r="W155" s="102">
        <f t="shared" ref="W155:Y155" si="67">W146+W149</f>
        <v>21788868.199999999</v>
      </c>
      <c r="X155" s="102">
        <f t="shared" si="67"/>
        <v>22319447.592492893</v>
      </c>
      <c r="Y155" s="102">
        <f>Y146+Y149</f>
        <v>21566148.562736645</v>
      </c>
      <c r="Z155" s="194">
        <f>Y155/X155-1</f>
        <v>-3.3750791843505046E-2</v>
      </c>
      <c r="AA155" s="70"/>
      <c r="AB155" s="102">
        <f t="shared" ref="AB155:AD155" si="68">AB146+AB149</f>
        <v>21788868.199999999</v>
      </c>
      <c r="AC155" s="102">
        <f t="shared" si="68"/>
        <v>22319447.592492893</v>
      </c>
      <c r="AD155" s="102">
        <f>AD146+AD149</f>
        <v>21566148.562736645</v>
      </c>
    </row>
    <row r="156" spans="2:30" x14ac:dyDescent="0.3">
      <c r="C156" s="65"/>
      <c r="D156" s="77"/>
      <c r="E156" s="62"/>
      <c r="F156" s="62"/>
      <c r="G156" s="62"/>
      <c r="H156" s="131"/>
      <c r="J156" s="62"/>
      <c r="K156" s="62"/>
      <c r="L156" s="62"/>
      <c r="M156" s="131"/>
      <c r="O156" s="62"/>
      <c r="P156" s="62"/>
      <c r="Q156" s="62"/>
      <c r="S156" s="62"/>
      <c r="T156" s="62"/>
      <c r="U156" s="62"/>
      <c r="W156" s="62"/>
      <c r="X156" s="62"/>
      <c r="Y156" s="62"/>
      <c r="Z156" s="131"/>
      <c r="AB156" s="62"/>
      <c r="AC156" s="62"/>
      <c r="AD156" s="62"/>
    </row>
    <row r="157" spans="2:30" s="82" customFormat="1" x14ac:dyDescent="0.3">
      <c r="B157" s="81"/>
      <c r="C157" s="30" t="s">
        <v>95</v>
      </c>
      <c r="D157" s="30"/>
      <c r="E157" s="30"/>
      <c r="F157" s="30"/>
      <c r="G157" s="30"/>
      <c r="H157" s="185"/>
      <c r="J157" s="30"/>
      <c r="K157" s="30"/>
      <c r="L157" s="30"/>
      <c r="M157" s="185"/>
      <c r="O157" s="30"/>
      <c r="P157" s="30"/>
      <c r="Q157" s="30"/>
      <c r="S157" s="30"/>
      <c r="T157" s="30"/>
      <c r="U157" s="30"/>
      <c r="W157" s="30"/>
      <c r="X157" s="30"/>
      <c r="Y157" s="30"/>
      <c r="Z157" s="185"/>
      <c r="AA157" s="110"/>
      <c r="AB157" s="30"/>
      <c r="AC157" s="30"/>
      <c r="AD157" s="30"/>
    </row>
    <row r="158" spans="2:30" s="85" customFormat="1" x14ac:dyDescent="0.3">
      <c r="B158" s="84"/>
      <c r="C158" s="63" t="s">
        <v>135</v>
      </c>
      <c r="D158" s="63"/>
      <c r="E158" s="63"/>
      <c r="F158" s="63"/>
      <c r="G158" s="63"/>
      <c r="H158" s="186"/>
      <c r="J158" s="63"/>
      <c r="K158" s="63"/>
      <c r="L158" s="63"/>
      <c r="M158" s="186"/>
      <c r="O158" s="63"/>
      <c r="P158" s="63"/>
      <c r="Q158" s="63"/>
      <c r="S158" s="63"/>
      <c r="T158" s="63"/>
      <c r="U158" s="63"/>
      <c r="W158" s="63"/>
      <c r="X158" s="63"/>
      <c r="Y158" s="63"/>
      <c r="Z158" s="186"/>
      <c r="AA158" s="110"/>
      <c r="AB158" s="63"/>
      <c r="AC158" s="63"/>
      <c r="AD158" s="63"/>
    </row>
    <row r="159" spans="2:30" x14ac:dyDescent="0.3">
      <c r="C159" s="105" t="s">
        <v>24</v>
      </c>
      <c r="D159" s="128"/>
      <c r="E159" s="106">
        <f>SUM(E160:E161)</f>
        <v>1491843.0074778239</v>
      </c>
      <c r="F159" s="106">
        <f>SUM(F160:F161)</f>
        <v>2282729.6561534717</v>
      </c>
      <c r="G159" s="106">
        <f>SUM(G160:G161)</f>
        <v>3334069.7505233912</v>
      </c>
      <c r="H159" s="195">
        <f>G159/F159-1</f>
        <v>0.46056268272323009</v>
      </c>
      <c r="J159" s="106">
        <f>SUM(J160:J161)</f>
        <v>1491843.0074778239</v>
      </c>
      <c r="K159" s="106">
        <f>SUM(K160:K161)</f>
        <v>2282729.6561534717</v>
      </c>
      <c r="L159" s="106">
        <f>SUM(L160:L161)</f>
        <v>3334069.7505233912</v>
      </c>
      <c r="M159" s="195">
        <f>L159/K159-1</f>
        <v>0.46056268272323009</v>
      </c>
      <c r="N159" s="64"/>
      <c r="O159" s="106">
        <f>SUM(O160:O161)</f>
        <v>1491843.0074778239</v>
      </c>
      <c r="P159" s="106">
        <f>SUM(P160:P161)</f>
        <v>2282729.6561534717</v>
      </c>
      <c r="Q159" s="106">
        <f>SUM(Q160:Q161)</f>
        <v>3334069.7505233912</v>
      </c>
      <c r="R159" s="64"/>
      <c r="S159" s="106">
        <f>SUM(S160:S161)</f>
        <v>1491843.0074778239</v>
      </c>
      <c r="T159" s="106">
        <f>SUM(T160:T161)</f>
        <v>2282729.6561534717</v>
      </c>
      <c r="U159" s="106">
        <f>SUM(U160:U161)</f>
        <v>3334069.7505233912</v>
      </c>
      <c r="V159" s="64"/>
      <c r="W159" s="106">
        <f>SUM(W160:W161)</f>
        <v>1491843.0074778239</v>
      </c>
      <c r="X159" s="106">
        <f>SUM(X160:X161)</f>
        <v>2282729.6561534717</v>
      </c>
      <c r="Y159" s="106">
        <f>SUM(Y160:Y161)</f>
        <v>3334069.7505233912</v>
      </c>
      <c r="Z159" s="195">
        <f>Y159/X159-1</f>
        <v>0.46056268272323009</v>
      </c>
      <c r="AA159" s="64"/>
      <c r="AB159" s="106">
        <f>SUM(AB160:AB161)</f>
        <v>1491843.0074778239</v>
      </c>
      <c r="AC159" s="106">
        <f>SUM(AC160:AC161)</f>
        <v>2282729.6561534717</v>
      </c>
      <c r="AD159" s="106">
        <f>SUM(AD160:AD161)</f>
        <v>3334069.7505233912</v>
      </c>
    </row>
    <row r="160" spans="2:30" x14ac:dyDescent="0.3">
      <c r="C160" s="65" t="s">
        <v>137</v>
      </c>
      <c r="D160" s="77"/>
      <c r="E160" s="98">
        <f>SUM('Quarterly I.S'!O167:R167)</f>
        <v>752349.53912295448</v>
      </c>
      <c r="F160" s="98">
        <f>SUM('Quarterly I.S IFRS17'!F160:I160)</f>
        <v>1020676.3718767493</v>
      </c>
      <c r="G160" s="98">
        <f>SUM('Quarterly I.S IFRS17'!J160:M160)</f>
        <v>1451966.8948181197</v>
      </c>
      <c r="H160" s="196">
        <f>G160/F160-1</f>
        <v>0.42255364660626271</v>
      </c>
      <c r="J160" s="67">
        <f>$E160</f>
        <v>752349.53912295448</v>
      </c>
      <c r="K160" s="67">
        <f>$F160</f>
        <v>1020676.3718767493</v>
      </c>
      <c r="L160" s="67">
        <f>$G160</f>
        <v>1451966.8948181197</v>
      </c>
      <c r="M160" s="196">
        <f>L160/K160-1</f>
        <v>0.42255364660626271</v>
      </c>
      <c r="N160" s="64"/>
      <c r="O160" s="67">
        <f>$E160</f>
        <v>752349.53912295448</v>
      </c>
      <c r="P160" s="67">
        <f>$F160</f>
        <v>1020676.3718767493</v>
      </c>
      <c r="Q160" s="67">
        <f>$G160</f>
        <v>1451966.8948181197</v>
      </c>
      <c r="R160" s="64"/>
      <c r="S160" s="67">
        <f>$E160</f>
        <v>752349.53912295448</v>
      </c>
      <c r="T160" s="67">
        <f>$F160</f>
        <v>1020676.3718767493</v>
      </c>
      <c r="U160" s="67">
        <f>$G160</f>
        <v>1451966.8948181197</v>
      </c>
      <c r="V160" s="64"/>
      <c r="W160" s="67">
        <f>$E160</f>
        <v>752349.53912295448</v>
      </c>
      <c r="X160" s="67">
        <f>$F160</f>
        <v>1020676.3718767493</v>
      </c>
      <c r="Y160" s="67">
        <f>$G160</f>
        <v>1451966.8948181197</v>
      </c>
      <c r="Z160" s="196">
        <f>Y160/X160-1</f>
        <v>0.42255364660626271</v>
      </c>
      <c r="AA160" s="214"/>
      <c r="AB160" s="67">
        <f>$E160</f>
        <v>752349.53912295448</v>
      </c>
      <c r="AC160" s="67">
        <f>$F160</f>
        <v>1020676.3718767493</v>
      </c>
      <c r="AD160" s="67">
        <f>$G160</f>
        <v>1451966.8948181197</v>
      </c>
    </row>
    <row r="161" spans="2:30" x14ac:dyDescent="0.3">
      <c r="C161" s="65" t="s">
        <v>138</v>
      </c>
      <c r="D161" s="77"/>
      <c r="E161" s="98">
        <f>SUM('Quarterly I.S'!O168:R168)</f>
        <v>739493.4683548694</v>
      </c>
      <c r="F161" s="98">
        <f>SUM('Quarterly I.S IFRS17'!F161:I161)</f>
        <v>1262053.2842767222</v>
      </c>
      <c r="G161" s="98">
        <f>SUM('Quarterly I.S IFRS17'!J161:M161)</f>
        <v>1882102.8557052717</v>
      </c>
      <c r="H161" s="196">
        <f>G161/F161-1</f>
        <v>0.49130221295204457</v>
      </c>
      <c r="J161" s="67">
        <f>$E161</f>
        <v>739493.4683548694</v>
      </c>
      <c r="K161" s="67">
        <f>$F161</f>
        <v>1262053.2842767222</v>
      </c>
      <c r="L161" s="67">
        <f>$G161</f>
        <v>1882102.8557052717</v>
      </c>
      <c r="M161" s="196">
        <f>L161/K161-1</f>
        <v>0.49130221295204457</v>
      </c>
      <c r="N161" s="64"/>
      <c r="O161" s="67">
        <f>$E161</f>
        <v>739493.4683548694</v>
      </c>
      <c r="P161" s="67">
        <f>$F161</f>
        <v>1262053.2842767222</v>
      </c>
      <c r="Q161" s="67">
        <f>$G161</f>
        <v>1882102.8557052717</v>
      </c>
      <c r="R161" s="64"/>
      <c r="S161" s="67">
        <f>$E161</f>
        <v>739493.4683548694</v>
      </c>
      <c r="T161" s="67">
        <f>$F161</f>
        <v>1262053.2842767222</v>
      </c>
      <c r="U161" s="67">
        <f>$G161</f>
        <v>1882102.8557052717</v>
      </c>
      <c r="V161" s="64"/>
      <c r="W161" s="67">
        <f>$E161</f>
        <v>739493.4683548694</v>
      </c>
      <c r="X161" s="67">
        <f>$F161</f>
        <v>1262053.2842767222</v>
      </c>
      <c r="Y161" s="67">
        <f>$G161</f>
        <v>1882102.8557052717</v>
      </c>
      <c r="Z161" s="196">
        <f>Y161/X161-1</f>
        <v>0.49130221295204457</v>
      </c>
      <c r="AA161" s="214"/>
      <c r="AB161" s="67">
        <f>$E161</f>
        <v>739493.4683548694</v>
      </c>
      <c r="AC161" s="67">
        <f>$F161</f>
        <v>1262053.2842767222</v>
      </c>
      <c r="AD161" s="67">
        <f>$G161</f>
        <v>1882102.8557052717</v>
      </c>
    </row>
    <row r="162" spans="2:30" x14ac:dyDescent="0.3">
      <c r="C162" s="65"/>
      <c r="D162" s="77"/>
      <c r="E162" s="149"/>
      <c r="F162" s="149"/>
      <c r="G162" s="149"/>
      <c r="H162" s="149"/>
      <c r="J162" s="67"/>
      <c r="K162" s="67"/>
      <c r="L162" s="67"/>
      <c r="M162" s="149"/>
      <c r="N162" s="64"/>
      <c r="O162" s="67"/>
      <c r="P162" s="67"/>
      <c r="Q162" s="67"/>
      <c r="R162" s="64"/>
      <c r="S162" s="67"/>
      <c r="T162" s="67"/>
      <c r="U162" s="67"/>
      <c r="V162" s="64"/>
      <c r="W162" s="67"/>
      <c r="X162" s="67"/>
      <c r="Y162" s="67"/>
      <c r="Z162" s="149"/>
      <c r="AA162" s="214"/>
      <c r="AB162" s="67"/>
      <c r="AC162" s="67"/>
      <c r="AD162" s="67"/>
    </row>
    <row r="163" spans="2:30" x14ac:dyDescent="0.3">
      <c r="C163" s="65" t="s">
        <v>170</v>
      </c>
      <c r="D163" s="77"/>
      <c r="E163" s="149">
        <f t="shared" ref="E163:G164" si="69">E160/E$159</f>
        <v>0.50430878809085289</v>
      </c>
      <c r="F163" s="149">
        <f t="shared" si="69"/>
        <v>0.44712976375689034</v>
      </c>
      <c r="G163" s="149">
        <f t="shared" si="69"/>
        <v>0.43549385689672093</v>
      </c>
      <c r="H163" s="149"/>
      <c r="J163" s="67"/>
      <c r="K163" s="67"/>
      <c r="L163" s="67"/>
      <c r="M163" s="149"/>
      <c r="N163" s="64"/>
      <c r="O163" s="67"/>
      <c r="P163" s="67"/>
      <c r="Q163" s="67"/>
      <c r="R163" s="64"/>
      <c r="S163" s="67"/>
      <c r="T163" s="67"/>
      <c r="U163" s="67"/>
      <c r="V163" s="64"/>
      <c r="W163" s="67"/>
      <c r="X163" s="67"/>
      <c r="Y163" s="67"/>
      <c r="Z163" s="149"/>
      <c r="AA163" s="214"/>
      <c r="AB163" s="67"/>
      <c r="AC163" s="67"/>
      <c r="AD163" s="67"/>
    </row>
    <row r="164" spans="2:30" x14ac:dyDescent="0.3">
      <c r="C164" s="65" t="s">
        <v>169</v>
      </c>
      <c r="D164" s="77"/>
      <c r="E164" s="149">
        <f t="shared" si="69"/>
        <v>0.49569121190914717</v>
      </c>
      <c r="F164" s="149">
        <f t="shared" si="69"/>
        <v>0.5528702362431096</v>
      </c>
      <c r="G164" s="149">
        <f t="shared" si="69"/>
        <v>0.56450614310327918</v>
      </c>
      <c r="H164" s="149"/>
      <c r="J164" s="67"/>
      <c r="K164" s="67"/>
      <c r="L164" s="67"/>
      <c r="M164" s="149"/>
      <c r="N164" s="64"/>
      <c r="O164" s="67"/>
      <c r="P164" s="67"/>
      <c r="Q164" s="67"/>
      <c r="R164" s="64"/>
      <c r="S164" s="67"/>
      <c r="T164" s="67"/>
      <c r="U164" s="67"/>
      <c r="V164" s="64"/>
      <c r="W164" s="67"/>
      <c r="X164" s="67"/>
      <c r="Y164" s="67"/>
      <c r="Z164" s="149"/>
      <c r="AA164" s="214"/>
      <c r="AB164" s="67"/>
      <c r="AC164" s="67"/>
      <c r="AD164" s="67"/>
    </row>
    <row r="165" spans="2:30" x14ac:dyDescent="0.3">
      <c r="C165" s="65"/>
      <c r="D165" s="77"/>
      <c r="E165" s="42"/>
      <c r="F165" s="42"/>
      <c r="G165" s="42"/>
      <c r="J165" s="67"/>
      <c r="K165" s="67"/>
      <c r="L165" s="67"/>
      <c r="N165" s="64"/>
      <c r="O165" s="67"/>
      <c r="P165" s="67"/>
      <c r="Q165" s="67"/>
      <c r="R165" s="64"/>
      <c r="S165" s="67"/>
      <c r="T165" s="67"/>
      <c r="U165" s="67"/>
      <c r="V165" s="64"/>
      <c r="W165" s="67"/>
      <c r="X165" s="67"/>
      <c r="Y165" s="67"/>
      <c r="AA165" s="64"/>
      <c r="AB165" s="67"/>
      <c r="AC165" s="67"/>
      <c r="AD165" s="67"/>
    </row>
    <row r="166" spans="2:30" x14ac:dyDescent="0.3">
      <c r="C166" s="105" t="s">
        <v>139</v>
      </c>
      <c r="D166" s="128"/>
      <c r="E166" s="106">
        <f>SUM(E167:E168)</f>
        <v>86610</v>
      </c>
      <c r="F166" s="106">
        <f>SUM(F167:F168)</f>
        <v>168326</v>
      </c>
      <c r="G166" s="106">
        <f>SUM(G167:G168)</f>
        <v>154578</v>
      </c>
      <c r="H166" s="195">
        <f>G166/F166-1</f>
        <v>-8.1674845240782723E-2</v>
      </c>
      <c r="J166" s="106">
        <f>SUM(J167:J168)</f>
        <v>86610</v>
      </c>
      <c r="K166" s="106">
        <f>SUM(K167:K168)</f>
        <v>168326</v>
      </c>
      <c r="L166" s="106">
        <f>SUM(L167:L168)</f>
        <v>154578</v>
      </c>
      <c r="M166" s="195">
        <f>L166/K166-1</f>
        <v>-8.1674845240782723E-2</v>
      </c>
      <c r="N166" s="64"/>
      <c r="O166" s="106">
        <f>SUM(O167:O168)</f>
        <v>86610</v>
      </c>
      <c r="P166" s="106">
        <f>SUM(P167:P168)</f>
        <v>168326</v>
      </c>
      <c r="Q166" s="106">
        <f>SUM(Q167:Q168)</f>
        <v>154578</v>
      </c>
      <c r="R166" s="64"/>
      <c r="S166" s="106">
        <f>SUM(S167:S168)</f>
        <v>86610</v>
      </c>
      <c r="T166" s="106">
        <f>SUM(T167:T168)</f>
        <v>168326</v>
      </c>
      <c r="U166" s="106">
        <f>SUM(U167:U168)</f>
        <v>154578</v>
      </c>
      <c r="V166" s="64"/>
      <c r="W166" s="106">
        <f>SUM(W167:W168)</f>
        <v>86610</v>
      </c>
      <c r="X166" s="106">
        <f>SUM(X167:X168)</f>
        <v>168326</v>
      </c>
      <c r="Y166" s="106">
        <f>SUM(Y167:Y168)</f>
        <v>154578</v>
      </c>
      <c r="Z166" s="195">
        <f>Y166/X166-1</f>
        <v>-8.1674845240782723E-2</v>
      </c>
      <c r="AA166" s="64"/>
      <c r="AB166" s="106">
        <f>SUM(AB167:AB168)</f>
        <v>86610</v>
      </c>
      <c r="AC166" s="106">
        <f>SUM(AC167:AC168)</f>
        <v>168326</v>
      </c>
      <c r="AD166" s="106">
        <f>SUM(AD167:AD168)</f>
        <v>154578</v>
      </c>
    </row>
    <row r="167" spans="2:30" x14ac:dyDescent="0.3">
      <c r="C167" s="65" t="s">
        <v>137</v>
      </c>
      <c r="D167" s="77"/>
      <c r="E167" s="98">
        <f>SUM('Quarterly I.S'!O175:R175)</f>
        <v>72263</v>
      </c>
      <c r="F167" s="98">
        <f>SUM('Quarterly I.S IFRS17'!F167:I167)</f>
        <v>135424</v>
      </c>
      <c r="G167" s="98">
        <f>SUM('Quarterly I.S IFRS17'!J167:M167)</f>
        <v>140377</v>
      </c>
      <c r="H167" s="196">
        <f>G167/F167-1</f>
        <v>3.6574019376181433E-2</v>
      </c>
      <c r="J167" s="67">
        <f>$E167</f>
        <v>72263</v>
      </c>
      <c r="K167" s="67">
        <f>$F167</f>
        <v>135424</v>
      </c>
      <c r="L167" s="67">
        <f>$G167</f>
        <v>140377</v>
      </c>
      <c r="M167" s="196">
        <f>L167/K167-1</f>
        <v>3.6574019376181433E-2</v>
      </c>
      <c r="N167" s="64"/>
      <c r="O167" s="67">
        <f>$E167</f>
        <v>72263</v>
      </c>
      <c r="P167" s="67">
        <f>$F167</f>
        <v>135424</v>
      </c>
      <c r="Q167" s="67">
        <f>$G167</f>
        <v>140377</v>
      </c>
      <c r="R167" s="64"/>
      <c r="S167" s="67">
        <f>$E167</f>
        <v>72263</v>
      </c>
      <c r="T167" s="67">
        <f>$F167</f>
        <v>135424</v>
      </c>
      <c r="U167" s="67">
        <f>$G167</f>
        <v>140377</v>
      </c>
      <c r="V167" s="64"/>
      <c r="W167" s="67">
        <f>$E167</f>
        <v>72263</v>
      </c>
      <c r="X167" s="67">
        <f>$F167</f>
        <v>135424</v>
      </c>
      <c r="Y167" s="67">
        <f>$G167</f>
        <v>140377</v>
      </c>
      <c r="Z167" s="196">
        <f>Y167/X167-1</f>
        <v>3.6574019376181433E-2</v>
      </c>
      <c r="AA167" s="64"/>
      <c r="AB167" s="67">
        <f>$E167</f>
        <v>72263</v>
      </c>
      <c r="AC167" s="67">
        <f>$F167</f>
        <v>135424</v>
      </c>
      <c r="AD167" s="67">
        <f>$G167</f>
        <v>140377</v>
      </c>
    </row>
    <row r="168" spans="2:30" x14ac:dyDescent="0.3">
      <c r="C168" s="65" t="s">
        <v>138</v>
      </c>
      <c r="D168" s="77"/>
      <c r="E168" s="98">
        <f>SUM('Quarterly I.S'!O176:R176)</f>
        <v>14347</v>
      </c>
      <c r="F168" s="98">
        <f>SUM('Quarterly I.S IFRS17'!F168:I168)</f>
        <v>32902</v>
      </c>
      <c r="G168" s="98">
        <f>SUM('Quarterly I.S IFRS17'!J168:M168)</f>
        <v>14201</v>
      </c>
      <c r="H168" s="196">
        <f>G168/F168-1</f>
        <v>-0.56838490061394442</v>
      </c>
      <c r="J168" s="67">
        <f>$E168</f>
        <v>14347</v>
      </c>
      <c r="K168" s="67">
        <f>$F168</f>
        <v>32902</v>
      </c>
      <c r="L168" s="67">
        <f>$G168</f>
        <v>14201</v>
      </c>
      <c r="M168" s="196">
        <f>L168/K168-1</f>
        <v>-0.56838490061394442</v>
      </c>
      <c r="N168" s="64"/>
      <c r="O168" s="67">
        <f>$E168</f>
        <v>14347</v>
      </c>
      <c r="P168" s="67">
        <f>$F168</f>
        <v>32902</v>
      </c>
      <c r="Q168" s="67">
        <f>$G168</f>
        <v>14201</v>
      </c>
      <c r="R168" s="64"/>
      <c r="S168" s="67">
        <f>$E168</f>
        <v>14347</v>
      </c>
      <c r="T168" s="67">
        <f>$F168</f>
        <v>32902</v>
      </c>
      <c r="U168" s="67">
        <f>$G168</f>
        <v>14201</v>
      </c>
      <c r="V168" s="64"/>
      <c r="W168" s="67">
        <f>$E168</f>
        <v>14347</v>
      </c>
      <c r="X168" s="67">
        <f>$F168</f>
        <v>32902</v>
      </c>
      <c r="Y168" s="67">
        <f>$G168</f>
        <v>14201</v>
      </c>
      <c r="Z168" s="196">
        <f>Y168/X168-1</f>
        <v>-0.56838490061394442</v>
      </c>
      <c r="AA168" s="64"/>
      <c r="AB168" s="67">
        <f>$E168</f>
        <v>14347</v>
      </c>
      <c r="AC168" s="67">
        <f>$F168</f>
        <v>32902</v>
      </c>
      <c r="AD168" s="67">
        <f>$G168</f>
        <v>14201</v>
      </c>
    </row>
    <row r="169" spans="2:30" x14ac:dyDescent="0.3">
      <c r="C169" s="65"/>
      <c r="D169" s="77"/>
      <c r="E169" s="42"/>
      <c r="F169" s="42"/>
      <c r="G169" s="42"/>
      <c r="J169" s="67"/>
      <c r="K169" s="67"/>
      <c r="L169" s="67"/>
      <c r="N169" s="64"/>
      <c r="O169" s="67"/>
      <c r="P169" s="67"/>
      <c r="Q169" s="67"/>
      <c r="R169" s="64"/>
      <c r="S169" s="67"/>
      <c r="T169" s="67"/>
      <c r="U169" s="67"/>
      <c r="V169" s="64"/>
      <c r="W169" s="67"/>
      <c r="X169" s="67"/>
      <c r="Y169" s="67"/>
      <c r="AA169" s="64"/>
      <c r="AB169" s="67"/>
      <c r="AC169" s="67"/>
      <c r="AD169" s="67"/>
    </row>
    <row r="170" spans="2:30" x14ac:dyDescent="0.3">
      <c r="C170" s="65" t="s">
        <v>122</v>
      </c>
      <c r="D170" s="77"/>
      <c r="E170" s="98">
        <f>'Quarterly I.S IFRS17'!E170</f>
        <v>895325.21000000008</v>
      </c>
      <c r="F170" s="98">
        <f>'Quarterly I.S IFRS17'!I170</f>
        <v>1232774.5019999999</v>
      </c>
      <c r="G170" s="98">
        <f>'Quarterly I.S IFRS17'!M170</f>
        <v>1795353.9670000002</v>
      </c>
      <c r="H170" s="196">
        <f>G170/F170-1</f>
        <v>0.45635228834413422</v>
      </c>
      <c r="J170" s="67">
        <f>$E170</f>
        <v>895325.21000000008</v>
      </c>
      <c r="K170" s="67">
        <f>$F170</f>
        <v>1232774.5019999999</v>
      </c>
      <c r="L170" s="67">
        <f>$G170</f>
        <v>1795353.9670000002</v>
      </c>
      <c r="M170" s="196">
        <f>L170/K170-1</f>
        <v>0.45635228834413422</v>
      </c>
      <c r="N170" s="64"/>
      <c r="O170" s="67">
        <f>$E170</f>
        <v>895325.21000000008</v>
      </c>
      <c r="P170" s="67">
        <f>$F170</f>
        <v>1232774.5019999999</v>
      </c>
      <c r="Q170" s="67">
        <f>$G170</f>
        <v>1795353.9670000002</v>
      </c>
      <c r="R170" s="64"/>
      <c r="S170" s="67">
        <f>$E170</f>
        <v>895325.21000000008</v>
      </c>
      <c r="T170" s="67">
        <f>$F170</f>
        <v>1232774.5019999999</v>
      </c>
      <c r="U170" s="67">
        <f>$G170</f>
        <v>1795353.9670000002</v>
      </c>
      <c r="V170" s="64"/>
      <c r="W170" s="67">
        <f>$E170</f>
        <v>895325.21000000008</v>
      </c>
      <c r="X170" s="67">
        <f>$F170</f>
        <v>1232774.5019999999</v>
      </c>
      <c r="Y170" s="67">
        <f>$G170</f>
        <v>1795353.9670000002</v>
      </c>
      <c r="Z170" s="196">
        <f>Y170/X170-1</f>
        <v>0.45635228834413422</v>
      </c>
      <c r="AA170" s="64"/>
      <c r="AB170" s="67">
        <f>$E170</f>
        <v>895325.21000000008</v>
      </c>
      <c r="AC170" s="67">
        <f>$F170</f>
        <v>1232774.5019999999</v>
      </c>
      <c r="AD170" s="67">
        <f>$G170</f>
        <v>1795353.9670000002</v>
      </c>
    </row>
    <row r="171" spans="2:30" x14ac:dyDescent="0.3">
      <c r="C171" s="65" t="s">
        <v>133</v>
      </c>
      <c r="D171" s="77"/>
      <c r="E171" s="98">
        <f>'Quarterly I.S IFRS17'!E171</f>
        <v>216305.49028</v>
      </c>
      <c r="F171" s="98">
        <f>'Quarterly I.S IFRS17'!I171</f>
        <v>187874.35934</v>
      </c>
      <c r="G171" s="98">
        <f>'Quarterly I.S IFRS17'!M171</f>
        <v>94925.991319999986</v>
      </c>
      <c r="H171" s="196">
        <f>G171/F171-1</f>
        <v>-0.49473684619086034</v>
      </c>
      <c r="J171" s="67">
        <f>$E171</f>
        <v>216305.49028</v>
      </c>
      <c r="K171" s="67">
        <f>$F171</f>
        <v>187874.35934</v>
      </c>
      <c r="L171" s="67">
        <f>$G171</f>
        <v>94925.991319999986</v>
      </c>
      <c r="M171" s="196">
        <f>L171/K171-1</f>
        <v>-0.49473684619086034</v>
      </c>
      <c r="O171" s="67">
        <f>$E171</f>
        <v>216305.49028</v>
      </c>
      <c r="P171" s="67">
        <f>$F171</f>
        <v>187874.35934</v>
      </c>
      <c r="Q171" s="67">
        <f>$G171</f>
        <v>94925.991319999986</v>
      </c>
      <c r="R171" s="64"/>
      <c r="S171" s="67">
        <f>$E171</f>
        <v>216305.49028</v>
      </c>
      <c r="T171" s="67">
        <f>$F171</f>
        <v>187874.35934</v>
      </c>
      <c r="U171" s="67">
        <f>$G171</f>
        <v>94925.991319999986</v>
      </c>
      <c r="V171" s="64"/>
      <c r="W171" s="67">
        <f>$E171</f>
        <v>216305.49028</v>
      </c>
      <c r="X171" s="67">
        <f>$F171</f>
        <v>187874.35934</v>
      </c>
      <c r="Y171" s="67">
        <f>$G171</f>
        <v>94925.991319999986</v>
      </c>
      <c r="Z171" s="196">
        <f>Y171/X171-1</f>
        <v>-0.49473684619086034</v>
      </c>
      <c r="AA171" s="64"/>
      <c r="AB171" s="67">
        <f>$E171</f>
        <v>216305.49028</v>
      </c>
      <c r="AC171" s="67">
        <f>$F171</f>
        <v>187874.35934</v>
      </c>
      <c r="AD171" s="67">
        <f>$G171</f>
        <v>94925.991319999986</v>
      </c>
    </row>
    <row r="172" spans="2:30" x14ac:dyDescent="0.3">
      <c r="C172" s="65"/>
      <c r="D172" s="77"/>
      <c r="E172" s="62"/>
      <c r="F172" s="62"/>
      <c r="G172" s="62"/>
      <c r="H172" s="131"/>
      <c r="J172" s="62"/>
      <c r="K172" s="62"/>
      <c r="L172" s="62"/>
      <c r="M172" s="131"/>
      <c r="O172" s="62"/>
      <c r="P172" s="62"/>
      <c r="Q172" s="62"/>
      <c r="S172" s="62"/>
      <c r="T172" s="62"/>
      <c r="U172" s="62"/>
      <c r="W172" s="62"/>
      <c r="X172" s="62"/>
      <c r="Y172" s="62"/>
      <c r="Z172" s="131"/>
      <c r="AB172" s="62"/>
      <c r="AC172" s="62"/>
      <c r="AD172" s="62"/>
    </row>
    <row r="173" spans="2:30" x14ac:dyDescent="0.3">
      <c r="C173" s="65"/>
      <c r="D173" s="77"/>
      <c r="E173" s="62"/>
      <c r="F173" s="62"/>
      <c r="G173" s="62"/>
      <c r="H173" s="131"/>
      <c r="J173" s="62"/>
      <c r="K173" s="62"/>
      <c r="L173" s="62"/>
      <c r="M173" s="131"/>
      <c r="O173" s="62"/>
      <c r="P173" s="62"/>
      <c r="Q173" s="62"/>
      <c r="S173" s="62"/>
      <c r="T173" s="62"/>
      <c r="U173" s="62"/>
      <c r="W173" s="62"/>
      <c r="X173" s="62"/>
      <c r="Y173" s="62"/>
      <c r="Z173" s="131"/>
      <c r="AB173" s="62"/>
      <c r="AC173" s="62"/>
      <c r="AD173" s="62"/>
    </row>
    <row r="174" spans="2:30" s="85" customFormat="1" x14ac:dyDescent="0.3">
      <c r="B174" s="84"/>
      <c r="C174" s="63" t="s">
        <v>136</v>
      </c>
      <c r="D174" s="63"/>
      <c r="E174" s="63"/>
      <c r="F174" s="63"/>
      <c r="G174" s="63"/>
      <c r="H174" s="186"/>
      <c r="J174" s="63"/>
      <c r="K174" s="63"/>
      <c r="L174" s="63"/>
      <c r="M174" s="186"/>
      <c r="O174" s="63"/>
      <c r="P174" s="63"/>
      <c r="Q174" s="63"/>
      <c r="S174" s="63"/>
      <c r="T174" s="63"/>
      <c r="U174" s="63"/>
      <c r="W174" s="63"/>
      <c r="X174" s="63"/>
      <c r="Y174" s="63"/>
      <c r="Z174" s="186"/>
      <c r="AA174" s="110"/>
      <c r="AB174" s="63"/>
      <c r="AC174" s="63"/>
      <c r="AD174" s="63"/>
    </row>
    <row r="175" spans="2:30" x14ac:dyDescent="0.3">
      <c r="C175" s="36" t="s">
        <v>53</v>
      </c>
      <c r="E175" s="69">
        <f>SUM('Quarterly I.S'!O183:R183)</f>
        <v>404517.09696495772</v>
      </c>
      <c r="F175" s="69">
        <f>SUM('Quarterly I.S IFRS17'!F175:I175)</f>
        <v>621822.18451156362</v>
      </c>
      <c r="G175" s="69">
        <f>SUM('Quarterly I.S IFRS17'!J175:M175)</f>
        <v>771793.44590611104</v>
      </c>
      <c r="H175" s="182">
        <f>G175/F175-1</f>
        <v>0.24118030062299667</v>
      </c>
      <c r="J175" s="70">
        <f>$E175</f>
        <v>404517.09696495772</v>
      </c>
      <c r="K175" s="70">
        <f>$F175</f>
        <v>621822.18451156362</v>
      </c>
      <c r="L175" s="70">
        <f>$G175</f>
        <v>771793.44590611104</v>
      </c>
      <c r="M175" s="182">
        <f>L175/K175-1</f>
        <v>0.24118030062299667</v>
      </c>
      <c r="O175" s="70">
        <f>$E175</f>
        <v>404517.09696495772</v>
      </c>
      <c r="P175" s="70">
        <f>$F175</f>
        <v>621822.18451156362</v>
      </c>
      <c r="Q175" s="70">
        <f>$G175</f>
        <v>771793.44590611104</v>
      </c>
      <c r="S175" s="70">
        <f>$E175</f>
        <v>404517.09696495772</v>
      </c>
      <c r="T175" s="70">
        <f>$F175</f>
        <v>621822.18451156362</v>
      </c>
      <c r="U175" s="70">
        <f>$G175</f>
        <v>771793.44590611104</v>
      </c>
      <c r="W175" s="70">
        <f>$E175</f>
        <v>404517.09696495772</v>
      </c>
      <c r="X175" s="70">
        <f>$F175</f>
        <v>621822.18451156362</v>
      </c>
      <c r="Y175" s="70">
        <f>$G175</f>
        <v>771793.44590611104</v>
      </c>
      <c r="Z175" s="182">
        <f>Y175/X175-1</f>
        <v>0.24118030062299667</v>
      </c>
      <c r="AB175" s="70">
        <f>$E175</f>
        <v>404517.09696495772</v>
      </c>
      <c r="AC175" s="70">
        <f>$F175</f>
        <v>621822.18451156362</v>
      </c>
      <c r="AD175" s="70">
        <f>$G175</f>
        <v>771793.44590611104</v>
      </c>
    </row>
    <row r="176" spans="2:30" x14ac:dyDescent="0.3">
      <c r="C176" s="36" t="s">
        <v>134</v>
      </c>
      <c r="E176" s="69">
        <f>SUM('Quarterly I.S'!O184:R184)</f>
        <v>76791</v>
      </c>
      <c r="F176" s="69">
        <f>SUM('Quarterly I.S IFRS17'!F176:I176)</f>
        <v>66499</v>
      </c>
      <c r="G176" s="69">
        <f>SUM('Quarterly I.S IFRS17'!J176:M176)</f>
        <v>134341</v>
      </c>
      <c r="H176" s="182">
        <f>G176/F176-1</f>
        <v>1.020195792417931</v>
      </c>
      <c r="J176" s="70">
        <f>$E176</f>
        <v>76791</v>
      </c>
      <c r="K176" s="70">
        <f>$F176</f>
        <v>66499</v>
      </c>
      <c r="L176" s="70">
        <f>$G176</f>
        <v>134341</v>
      </c>
      <c r="M176" s="182">
        <f>L176/K176-1</f>
        <v>1.020195792417931</v>
      </c>
      <c r="O176" s="70">
        <f>$E176</f>
        <v>76791</v>
      </c>
      <c r="P176" s="70">
        <f>$F176</f>
        <v>66499</v>
      </c>
      <c r="Q176" s="70">
        <f>$G176</f>
        <v>134341</v>
      </c>
      <c r="S176" s="70">
        <f>$E176</f>
        <v>76791</v>
      </c>
      <c r="T176" s="70">
        <f>$F176</f>
        <v>66499</v>
      </c>
      <c r="U176" s="70">
        <f>$G176</f>
        <v>134341</v>
      </c>
      <c r="W176" s="70">
        <f>$E176</f>
        <v>76791</v>
      </c>
      <c r="X176" s="70">
        <f>$F176</f>
        <v>66499</v>
      </c>
      <c r="Y176" s="70">
        <f>$G176</f>
        <v>134341</v>
      </c>
      <c r="Z176" s="182">
        <f>Y176/X176-1</f>
        <v>1.020195792417931</v>
      </c>
      <c r="AB176" s="70">
        <f>$E176</f>
        <v>76791</v>
      </c>
      <c r="AC176" s="70">
        <f>$F176</f>
        <v>66499</v>
      </c>
      <c r="AD176" s="70">
        <f>$G176</f>
        <v>134341</v>
      </c>
    </row>
    <row r="177" spans="2:30" x14ac:dyDescent="0.3">
      <c r="E177" s="69"/>
      <c r="F177" s="69"/>
      <c r="G177" s="69"/>
      <c r="H177" s="182"/>
      <c r="J177" s="70"/>
      <c r="K177" s="70"/>
      <c r="L177" s="70"/>
      <c r="M177" s="182"/>
      <c r="O177" s="70"/>
      <c r="P177" s="70"/>
      <c r="Q177" s="70"/>
      <c r="S177" s="70"/>
      <c r="T177" s="70"/>
      <c r="U177" s="70"/>
      <c r="W177" s="70"/>
      <c r="X177" s="70"/>
      <c r="Y177" s="70"/>
      <c r="Z177" s="182"/>
      <c r="AB177" s="70"/>
      <c r="AC177" s="70"/>
      <c r="AD177" s="70"/>
    </row>
    <row r="178" spans="2:30" s="82" customFormat="1" x14ac:dyDescent="0.3">
      <c r="B178" s="81"/>
      <c r="C178" s="30" t="s">
        <v>96</v>
      </c>
      <c r="D178" s="30"/>
      <c r="E178" s="30"/>
      <c r="F178" s="30"/>
      <c r="G178" s="30"/>
      <c r="H178" s="185"/>
      <c r="J178" s="30"/>
      <c r="K178" s="30"/>
      <c r="L178" s="30"/>
      <c r="M178" s="185"/>
      <c r="O178" s="30"/>
      <c r="P178" s="30"/>
      <c r="Q178" s="30"/>
      <c r="S178" s="30"/>
      <c r="T178" s="30"/>
      <c r="U178" s="30"/>
      <c r="W178" s="30"/>
      <c r="X178" s="30"/>
      <c r="Y178" s="30"/>
      <c r="Z178" s="185"/>
      <c r="AA178" s="110"/>
      <c r="AB178" s="30"/>
      <c r="AC178" s="30"/>
      <c r="AD178" s="30"/>
    </row>
    <row r="179" spans="2:30" x14ac:dyDescent="0.3">
      <c r="C179" s="36" t="s">
        <v>15</v>
      </c>
      <c r="E179" s="42"/>
      <c r="F179" s="42">
        <f>F21</f>
        <v>218654.67965330815</v>
      </c>
      <c r="G179" s="42">
        <f>G21</f>
        <v>212854.37812657788</v>
      </c>
      <c r="J179" s="42">
        <f>J21</f>
        <v>0</v>
      </c>
      <c r="K179" s="42">
        <f>K21</f>
        <v>203864.51470330817</v>
      </c>
      <c r="L179" s="42">
        <f>L21</f>
        <v>202600.7996865779</v>
      </c>
      <c r="O179" s="42">
        <f>O21</f>
        <v>0</v>
      </c>
      <c r="P179" s="42">
        <f>P21</f>
        <v>0</v>
      </c>
      <c r="Q179" s="42">
        <f>Q21</f>
        <v>0</v>
      </c>
      <c r="S179" s="42">
        <f>S21</f>
        <v>0</v>
      </c>
      <c r="T179" s="42">
        <f>T21</f>
        <v>0</v>
      </c>
      <c r="U179" s="42">
        <f>U21</f>
        <v>0</v>
      </c>
      <c r="W179" s="42">
        <f>W21</f>
        <v>0</v>
      </c>
      <c r="X179" s="42">
        <f>X21</f>
        <v>0</v>
      </c>
      <c r="Y179" s="42">
        <f>Y21</f>
        <v>0</v>
      </c>
      <c r="AB179" s="42">
        <f>AB21</f>
        <v>0</v>
      </c>
      <c r="AC179" s="42">
        <f>AC21</f>
        <v>14790.164949999998</v>
      </c>
      <c r="AD179" s="42">
        <f>AD21</f>
        <v>10253.578439999999</v>
      </c>
    </row>
    <row r="180" spans="2:30" x14ac:dyDescent="0.3">
      <c r="C180" s="36" t="s">
        <v>97</v>
      </c>
      <c r="E180" s="140"/>
      <c r="F180" s="140">
        <f>SUM('Quarterly I.S IFRS17'!F180:I180)</f>
        <v>22504</v>
      </c>
      <c r="G180" s="140">
        <f>SUM('Quarterly I.S IFRS17'!J180:M180)</f>
        <v>13120</v>
      </c>
      <c r="H180" s="198"/>
      <c r="J180" s="70">
        <f>$E180</f>
        <v>0</v>
      </c>
      <c r="K180" s="70">
        <f>$F180</f>
        <v>22504</v>
      </c>
      <c r="L180" s="70">
        <f>$G180</f>
        <v>13120</v>
      </c>
      <c r="M180" s="198"/>
      <c r="O180" s="70">
        <f>$E180</f>
        <v>0</v>
      </c>
      <c r="P180" s="70">
        <f>$F180</f>
        <v>22504</v>
      </c>
      <c r="Q180" s="70">
        <f>$G180</f>
        <v>13120</v>
      </c>
      <c r="S180" s="70">
        <f>$E180</f>
        <v>0</v>
      </c>
      <c r="T180" s="70">
        <f>$F180</f>
        <v>22504</v>
      </c>
      <c r="U180" s="70">
        <f>$G180</f>
        <v>13120</v>
      </c>
      <c r="W180" s="70">
        <f>$E180</f>
        <v>0</v>
      </c>
      <c r="X180" s="70">
        <f>$F180</f>
        <v>22504</v>
      </c>
      <c r="Y180" s="70">
        <f>$G180</f>
        <v>13120</v>
      </c>
      <c r="Z180" s="198"/>
      <c r="AB180" s="70">
        <f>$E180</f>
        <v>0</v>
      </c>
      <c r="AC180" s="70">
        <f>$F180</f>
        <v>22504</v>
      </c>
      <c r="AD180" s="70">
        <f>$G180</f>
        <v>13120</v>
      </c>
    </row>
    <row r="181" spans="2:30" x14ac:dyDescent="0.3">
      <c r="C181" s="56" t="s">
        <v>98</v>
      </c>
      <c r="E181" s="57">
        <f>E179-E180</f>
        <v>0</v>
      </c>
      <c r="F181" s="57">
        <f>F179-F180</f>
        <v>196150.67965330815</v>
      </c>
      <c r="G181" s="57">
        <f>G179-G180</f>
        <v>199734.37812657788</v>
      </c>
      <c r="H181" s="199"/>
      <c r="J181" s="57">
        <f>J179-J180</f>
        <v>0</v>
      </c>
      <c r="K181" s="57">
        <f>K179-K180</f>
        <v>181360.51470330817</v>
      </c>
      <c r="L181" s="57">
        <f>L179-L180</f>
        <v>189480.7996865779</v>
      </c>
      <c r="M181" s="199"/>
      <c r="O181" s="57">
        <f>O179-O180</f>
        <v>0</v>
      </c>
      <c r="P181" s="57">
        <f>P179-P180</f>
        <v>-22504</v>
      </c>
      <c r="Q181" s="57">
        <f>Q179-Q180</f>
        <v>-13120</v>
      </c>
      <c r="S181" s="57">
        <f>S179-S180</f>
        <v>0</v>
      </c>
      <c r="T181" s="57">
        <f>T179-T180</f>
        <v>-22504</v>
      </c>
      <c r="U181" s="57">
        <f>U179-U180</f>
        <v>-13120</v>
      </c>
      <c r="W181" s="57">
        <f>W179-W180</f>
        <v>0</v>
      </c>
      <c r="X181" s="57">
        <f>X179-X180</f>
        <v>-22504</v>
      </c>
      <c r="Y181" s="57">
        <f>Y179-Y180</f>
        <v>-13120</v>
      </c>
      <c r="Z181" s="199"/>
      <c r="AB181" s="57">
        <f>AB179-AB180</f>
        <v>0</v>
      </c>
      <c r="AC181" s="57">
        <f>AC179-AC180</f>
        <v>-7713.8350500000015</v>
      </c>
      <c r="AD181" s="57">
        <f>AD179-AD180</f>
        <v>-2866.4215600000007</v>
      </c>
    </row>
    <row r="182" spans="2:30" x14ac:dyDescent="0.3">
      <c r="H182" s="197"/>
      <c r="M182" s="197"/>
      <c r="Z182" s="197"/>
    </row>
    <row r="183" spans="2:30" x14ac:dyDescent="0.3">
      <c r="C183" s="36" t="s">
        <v>128</v>
      </c>
      <c r="E183" s="42"/>
      <c r="F183" s="42">
        <f>F24</f>
        <v>-110908.27507647724</v>
      </c>
      <c r="G183" s="42">
        <f>G24</f>
        <v>-96984.188978518534</v>
      </c>
      <c r="H183" s="197"/>
      <c r="J183" s="42">
        <f>J24</f>
        <v>0</v>
      </c>
      <c r="K183" s="42">
        <f>K24</f>
        <v>-110908.27507647724</v>
      </c>
      <c r="L183" s="42">
        <f>L24</f>
        <v>-96984.188978518534</v>
      </c>
      <c r="M183" s="197"/>
      <c r="O183" s="42">
        <f>O24</f>
        <v>0</v>
      </c>
      <c r="P183" s="42">
        <f>P24</f>
        <v>0</v>
      </c>
      <c r="Q183" s="42">
        <f>Q24</f>
        <v>0</v>
      </c>
      <c r="S183" s="42">
        <f>S24</f>
        <v>0</v>
      </c>
      <c r="T183" s="42">
        <f>T24</f>
        <v>0</v>
      </c>
      <c r="U183" s="42">
        <f>U24</f>
        <v>0</v>
      </c>
      <c r="W183" s="42">
        <f>W24</f>
        <v>0</v>
      </c>
      <c r="X183" s="42">
        <f>X24</f>
        <v>0</v>
      </c>
      <c r="Y183" s="42">
        <f>Y24</f>
        <v>0</v>
      </c>
      <c r="Z183" s="197"/>
      <c r="AB183" s="42">
        <f>AB24</f>
        <v>0</v>
      </c>
      <c r="AC183" s="42">
        <f>AC24</f>
        <v>0</v>
      </c>
      <c r="AD183" s="42">
        <f>AD24</f>
        <v>0</v>
      </c>
    </row>
    <row r="184" spans="2:30" x14ac:dyDescent="0.3">
      <c r="C184" s="36" t="s">
        <v>97</v>
      </c>
      <c r="E184" s="140"/>
      <c r="F184" s="140">
        <f>SUM('Quarterly I.S IFRS17'!F184:I184)</f>
        <v>-11467.38133</v>
      </c>
      <c r="G184" s="140">
        <f>SUM('Quarterly I.S IFRS17'!J184:M184)</f>
        <v>-7500.2144200000002</v>
      </c>
      <c r="H184" s="198"/>
      <c r="J184" s="70">
        <f>$E184</f>
        <v>0</v>
      </c>
      <c r="K184" s="70">
        <f>$F184</f>
        <v>-11467.38133</v>
      </c>
      <c r="L184" s="70">
        <f>$G184</f>
        <v>-7500.2144200000002</v>
      </c>
      <c r="M184" s="198"/>
      <c r="O184" s="70">
        <f>$E184</f>
        <v>0</v>
      </c>
      <c r="P184" s="70">
        <f>$F184</f>
        <v>-11467.38133</v>
      </c>
      <c r="Q184" s="70">
        <f>$G184</f>
        <v>-7500.2144200000002</v>
      </c>
      <c r="S184" s="70">
        <f>$E184</f>
        <v>0</v>
      </c>
      <c r="T184" s="70">
        <f>$F184</f>
        <v>-11467.38133</v>
      </c>
      <c r="U184" s="70">
        <f>$G184</f>
        <v>-7500.2144200000002</v>
      </c>
      <c r="W184" s="70">
        <f>$E184</f>
        <v>0</v>
      </c>
      <c r="X184" s="70">
        <f>$F184</f>
        <v>-11467.38133</v>
      </c>
      <c r="Y184" s="70">
        <f>$G184</f>
        <v>-7500.2144200000002</v>
      </c>
      <c r="Z184" s="198"/>
      <c r="AB184" s="70">
        <f>$E184</f>
        <v>0</v>
      </c>
      <c r="AC184" s="70">
        <f>$F184</f>
        <v>-11467.38133</v>
      </c>
      <c r="AD184" s="70">
        <f>$G184</f>
        <v>-7500.2144200000002</v>
      </c>
    </row>
    <row r="185" spans="2:30" x14ac:dyDescent="0.3">
      <c r="C185" s="56" t="s">
        <v>98</v>
      </c>
      <c r="E185" s="57">
        <f>E183-E184</f>
        <v>0</v>
      </c>
      <c r="F185" s="57">
        <f>F183-F184</f>
        <v>-99440.893746477232</v>
      </c>
      <c r="G185" s="57">
        <f>G183-G184</f>
        <v>-89483.97455851853</v>
      </c>
      <c r="H185" s="176"/>
      <c r="J185" s="57">
        <f>J183-J184</f>
        <v>0</v>
      </c>
      <c r="K185" s="57">
        <f>K183-K184</f>
        <v>-99440.893746477232</v>
      </c>
      <c r="L185" s="57">
        <f>L183-L184</f>
        <v>-89483.97455851853</v>
      </c>
      <c r="M185" s="176"/>
      <c r="O185" s="57">
        <f>O183-O184</f>
        <v>0</v>
      </c>
      <c r="P185" s="57">
        <f>P183-P184</f>
        <v>11467.38133</v>
      </c>
      <c r="Q185" s="57">
        <f>Q183-Q184</f>
        <v>7500.2144200000002</v>
      </c>
      <c r="S185" s="57">
        <f>S183-S184</f>
        <v>0</v>
      </c>
      <c r="T185" s="57">
        <f>T183-T184</f>
        <v>11467.38133</v>
      </c>
      <c r="U185" s="57">
        <f>U183-U184</f>
        <v>7500.2144200000002</v>
      </c>
      <c r="W185" s="57">
        <f>W183-W184</f>
        <v>0</v>
      </c>
      <c r="X185" s="57">
        <f>X183-X184</f>
        <v>11467.38133</v>
      </c>
      <c r="Y185" s="57">
        <f>Y183-Y184</f>
        <v>7500.2144200000002</v>
      </c>
      <c r="Z185" s="176"/>
      <c r="AB185" s="57">
        <f>AB183-AB184</f>
        <v>0</v>
      </c>
      <c r="AC185" s="57">
        <f>AC183-AC184</f>
        <v>11467.38133</v>
      </c>
      <c r="AD185" s="57">
        <f>AD183-AD184</f>
        <v>7500.2144200000002</v>
      </c>
    </row>
    <row r="188" spans="2:30" x14ac:dyDescent="0.3">
      <c r="E188" s="42"/>
    </row>
    <row r="191" spans="2:30" x14ac:dyDescent="0.3">
      <c r="E191" s="42"/>
    </row>
  </sheetData>
  <pageMargins left="0.7" right="0.7" top="1.3149999999999999" bottom="0.75" header="0.3" footer="0.3"/>
  <pageSetup paperSize="9"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7DADF-7782-4BA6-984F-836C2307CE84}">
  <sheetPr>
    <tabColor rgb="FFFF0000"/>
  </sheetPr>
  <dimension ref="B2:DP201"/>
  <sheetViews>
    <sheetView showGridLines="0" zoomScale="115" zoomScaleNormal="130" workbookViewId="0">
      <pane xSplit="3" ySplit="3" topLeftCell="N182" activePane="bottomRight" state="frozen"/>
      <selection activeCell="C82" sqref="C82"/>
      <selection pane="topRight" activeCell="C82" sqref="C82"/>
      <selection pane="bottomLeft" activeCell="C82" sqref="C82"/>
      <selection pane="bottomRight" activeCell="V188" sqref="V188"/>
    </sheetView>
  </sheetViews>
  <sheetFormatPr defaultColWidth="8.81640625" defaultRowHeight="13" x14ac:dyDescent="0.3"/>
  <cols>
    <col min="1" max="1" width="2.54296875" style="36" customWidth="1"/>
    <col min="2" max="2" width="4.1796875" style="36" bestFit="1" customWidth="1"/>
    <col min="3" max="3" width="39.1796875" style="36" bestFit="1" customWidth="1"/>
    <col min="4" max="4" width="6.54296875" style="110" bestFit="1" customWidth="1"/>
    <col min="5" max="9" width="9.54296875" style="36" bestFit="1" customWidth="1"/>
    <col min="10" max="22" width="10.453125" style="36" bestFit="1" customWidth="1"/>
    <col min="23" max="23" width="13.1796875" style="132" customWidth="1"/>
    <col min="24" max="24" width="18.81640625" style="36" bestFit="1" customWidth="1"/>
    <col min="25" max="29" width="9.54296875" style="36" bestFit="1" customWidth="1"/>
    <col min="30" max="42" width="10.453125" style="36" bestFit="1" customWidth="1"/>
    <col min="43" max="43" width="13.1796875" style="132" bestFit="1" customWidth="1"/>
    <col min="44" max="44" width="5" style="36" bestFit="1" customWidth="1"/>
    <col min="45" max="49" width="9.54296875" style="36" bestFit="1" customWidth="1"/>
    <col min="50" max="62" width="10.453125" style="36" bestFit="1" customWidth="1"/>
    <col min="63" max="63" width="3.26953125" style="36" customWidth="1"/>
    <col min="64" max="68" width="9.54296875" style="36" bestFit="1" customWidth="1"/>
    <col min="69" max="81" width="10.453125" style="36" bestFit="1" customWidth="1"/>
    <col min="82" max="82" width="1.26953125" style="36" customWidth="1"/>
    <col min="83" max="87" width="9.54296875" style="36" bestFit="1" customWidth="1"/>
    <col min="88" max="100" width="10.453125" style="36" bestFit="1" customWidth="1"/>
    <col min="101" max="101" width="13.1796875" style="132" bestFit="1" customWidth="1"/>
    <col min="102" max="102" width="5.54296875" style="36" bestFit="1" customWidth="1"/>
    <col min="103" max="107" width="9.54296875" style="36" bestFit="1" customWidth="1"/>
    <col min="108" max="120" width="10.453125" style="36" bestFit="1" customWidth="1"/>
    <col min="121" max="16384" width="8.81640625" style="36"/>
  </cols>
  <sheetData>
    <row r="2" spans="2:120" s="32" customFormat="1" ht="14.5" customHeight="1" x14ac:dyDescent="0.3">
      <c r="B2" s="139"/>
      <c r="C2" s="30" t="s">
        <v>73</v>
      </c>
      <c r="D2" s="30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67"/>
      <c r="Y2" s="31" t="s">
        <v>75</v>
      </c>
      <c r="Z2" s="31"/>
      <c r="AA2" s="31"/>
      <c r="AB2" s="31"/>
      <c r="AC2" s="31"/>
      <c r="AD2" s="31"/>
      <c r="AE2" s="31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67"/>
      <c r="AS2" s="31" t="str">
        <f>Segment!D76</f>
        <v>Insurance Activities</v>
      </c>
      <c r="AT2" s="31"/>
      <c r="AU2" s="31"/>
      <c r="AV2" s="31"/>
      <c r="AW2" s="31"/>
      <c r="AX2" s="31"/>
      <c r="AY2" s="31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L2" s="31" t="str">
        <f>Segment!E76</f>
        <v>Brokerage Activities</v>
      </c>
      <c r="BM2" s="31"/>
      <c r="BN2" s="31"/>
      <c r="BO2" s="31"/>
      <c r="BP2" s="31"/>
      <c r="BQ2" s="31"/>
      <c r="BR2" s="31"/>
      <c r="BS2" s="136"/>
      <c r="BT2" s="136"/>
      <c r="BU2" s="136"/>
      <c r="BV2" s="136"/>
      <c r="BW2" s="136"/>
      <c r="BX2" s="136"/>
      <c r="BY2" s="136"/>
      <c r="BZ2" s="136"/>
      <c r="CA2" s="136"/>
      <c r="CB2" s="136"/>
      <c r="CC2" s="136"/>
      <c r="CE2" s="31" t="s">
        <v>76</v>
      </c>
      <c r="CF2" s="31"/>
      <c r="CG2" s="31"/>
      <c r="CH2" s="31"/>
      <c r="CI2" s="31"/>
      <c r="CJ2" s="31"/>
      <c r="CK2" s="31"/>
      <c r="CL2" s="136"/>
      <c r="CM2" s="136"/>
      <c r="CN2" s="136"/>
      <c r="CO2" s="136"/>
      <c r="CP2" s="136"/>
      <c r="CQ2" s="136"/>
      <c r="CR2" s="136"/>
      <c r="CS2" s="136"/>
      <c r="CT2" s="136"/>
      <c r="CU2" s="136"/>
      <c r="CV2" s="136"/>
      <c r="CW2" s="167"/>
      <c r="CY2" s="31" t="s">
        <v>77</v>
      </c>
      <c r="CZ2" s="31"/>
      <c r="DA2" s="31"/>
      <c r="DB2" s="31"/>
      <c r="DC2" s="31"/>
      <c r="DD2" s="31"/>
      <c r="DE2" s="31"/>
      <c r="DF2" s="136"/>
      <c r="DG2" s="136"/>
      <c r="DH2" s="136"/>
      <c r="DI2" s="136"/>
      <c r="DJ2" s="136"/>
      <c r="DK2" s="136"/>
      <c r="DL2" s="136"/>
      <c r="DM2" s="136"/>
      <c r="DN2" s="136"/>
      <c r="DO2" s="136"/>
      <c r="DP2" s="136"/>
    </row>
    <row r="3" spans="2:120" s="35" customFormat="1" x14ac:dyDescent="0.3">
      <c r="B3" s="33"/>
      <c r="C3" s="34"/>
      <c r="D3" s="129" t="s">
        <v>148</v>
      </c>
      <c r="E3" s="34" t="s">
        <v>157</v>
      </c>
      <c r="F3" s="34" t="s">
        <v>158</v>
      </c>
      <c r="G3" s="34" t="s">
        <v>165</v>
      </c>
      <c r="H3" s="34" t="s">
        <v>175</v>
      </c>
      <c r="I3" s="34" t="s">
        <v>159</v>
      </c>
      <c r="J3" s="34" t="s">
        <v>160</v>
      </c>
      <c r="K3" s="34" t="s">
        <v>166</v>
      </c>
      <c r="L3" s="34" t="s">
        <v>176</v>
      </c>
      <c r="M3" s="34" t="s">
        <v>184</v>
      </c>
      <c r="N3" s="34" t="s">
        <v>188</v>
      </c>
      <c r="O3" s="34" t="s">
        <v>194</v>
      </c>
      <c r="P3" s="34" t="s">
        <v>198</v>
      </c>
      <c r="Q3" s="34" t="s">
        <v>203</v>
      </c>
      <c r="R3" s="34" t="s">
        <v>206</v>
      </c>
      <c r="S3" s="34" t="s">
        <v>215</v>
      </c>
      <c r="T3" s="34" t="s">
        <v>218</v>
      </c>
      <c r="U3" s="34" t="s">
        <v>221</v>
      </c>
      <c r="V3" s="34" t="s">
        <v>226</v>
      </c>
      <c r="W3" s="168" t="s">
        <v>242</v>
      </c>
      <c r="Y3" s="34" t="str">
        <f t="shared" ref="Y3:AQ3" si="0">E3</f>
        <v>Q3-2020</v>
      </c>
      <c r="Z3" s="34" t="str">
        <f t="shared" si="0"/>
        <v>Q4-2020</v>
      </c>
      <c r="AA3" s="34" t="str">
        <f t="shared" si="0"/>
        <v>Q1-2021</v>
      </c>
      <c r="AB3" s="34" t="str">
        <f t="shared" si="0"/>
        <v>Q2-2021</v>
      </c>
      <c r="AC3" s="34" t="str">
        <f t="shared" si="0"/>
        <v>Q3-2021</v>
      </c>
      <c r="AD3" s="34" t="str">
        <f t="shared" si="0"/>
        <v>Q4-2021</v>
      </c>
      <c r="AE3" s="34" t="str">
        <f t="shared" si="0"/>
        <v>Q1-2022</v>
      </c>
      <c r="AF3" s="34" t="str">
        <f t="shared" si="0"/>
        <v>Q2-2022</v>
      </c>
      <c r="AG3" s="34" t="str">
        <f t="shared" si="0"/>
        <v>Q3-2022</v>
      </c>
      <c r="AH3" s="34" t="str">
        <f t="shared" si="0"/>
        <v>Q4-2022</v>
      </c>
      <c r="AI3" s="34" t="str">
        <f t="shared" si="0"/>
        <v>Q1-2023</v>
      </c>
      <c r="AJ3" s="34" t="str">
        <f t="shared" si="0"/>
        <v>Q2-2023</v>
      </c>
      <c r="AK3" s="34" t="str">
        <f t="shared" si="0"/>
        <v>Q3-2023</v>
      </c>
      <c r="AL3" s="34" t="str">
        <f t="shared" si="0"/>
        <v>Q4-2023</v>
      </c>
      <c r="AM3" s="34" t="str">
        <f t="shared" si="0"/>
        <v>Q1-2024</v>
      </c>
      <c r="AN3" s="34" t="str">
        <f t="shared" si="0"/>
        <v>Q2-2024</v>
      </c>
      <c r="AO3" s="34" t="str">
        <f t="shared" si="0"/>
        <v>Q3-2024</v>
      </c>
      <c r="AP3" s="34" t="str">
        <f t="shared" si="0"/>
        <v>Q4-2024</v>
      </c>
      <c r="AQ3" s="34" t="str">
        <f t="shared" si="0"/>
        <v>Q4-24 ws. Q4-23</v>
      </c>
      <c r="AS3" s="34" t="str">
        <f t="shared" ref="AS3:BJ3" si="1">E3</f>
        <v>Q3-2020</v>
      </c>
      <c r="AT3" s="34" t="str">
        <f t="shared" si="1"/>
        <v>Q4-2020</v>
      </c>
      <c r="AU3" s="34" t="str">
        <f t="shared" si="1"/>
        <v>Q1-2021</v>
      </c>
      <c r="AV3" s="34" t="str">
        <f t="shared" si="1"/>
        <v>Q2-2021</v>
      </c>
      <c r="AW3" s="34" t="str">
        <f t="shared" si="1"/>
        <v>Q3-2021</v>
      </c>
      <c r="AX3" s="34" t="str">
        <f t="shared" si="1"/>
        <v>Q4-2021</v>
      </c>
      <c r="AY3" s="34" t="str">
        <f t="shared" si="1"/>
        <v>Q1-2022</v>
      </c>
      <c r="AZ3" s="34" t="str">
        <f t="shared" si="1"/>
        <v>Q2-2022</v>
      </c>
      <c r="BA3" s="34" t="str">
        <f t="shared" si="1"/>
        <v>Q3-2022</v>
      </c>
      <c r="BB3" s="34" t="str">
        <f t="shared" si="1"/>
        <v>Q4-2022</v>
      </c>
      <c r="BC3" s="34" t="str">
        <f t="shared" si="1"/>
        <v>Q1-2023</v>
      </c>
      <c r="BD3" s="34" t="str">
        <f t="shared" si="1"/>
        <v>Q2-2023</v>
      </c>
      <c r="BE3" s="34" t="str">
        <f t="shared" si="1"/>
        <v>Q3-2023</v>
      </c>
      <c r="BF3" s="34" t="str">
        <f t="shared" si="1"/>
        <v>Q4-2023</v>
      </c>
      <c r="BG3" s="34" t="str">
        <f t="shared" si="1"/>
        <v>Q1-2024</v>
      </c>
      <c r="BH3" s="34" t="str">
        <f t="shared" si="1"/>
        <v>Q2-2024</v>
      </c>
      <c r="BI3" s="34" t="str">
        <f t="shared" si="1"/>
        <v>Q3-2024</v>
      </c>
      <c r="BJ3" s="34" t="str">
        <f t="shared" si="1"/>
        <v>Q4-2024</v>
      </c>
      <c r="BL3" s="34" t="str">
        <f t="shared" ref="BL3:CC3" si="2">E3</f>
        <v>Q3-2020</v>
      </c>
      <c r="BM3" s="34" t="str">
        <f t="shared" si="2"/>
        <v>Q4-2020</v>
      </c>
      <c r="BN3" s="34" t="str">
        <f t="shared" si="2"/>
        <v>Q1-2021</v>
      </c>
      <c r="BO3" s="34" t="str">
        <f t="shared" si="2"/>
        <v>Q2-2021</v>
      </c>
      <c r="BP3" s="34" t="str">
        <f t="shared" si="2"/>
        <v>Q3-2021</v>
      </c>
      <c r="BQ3" s="34" t="str">
        <f t="shared" si="2"/>
        <v>Q4-2021</v>
      </c>
      <c r="BR3" s="34" t="str">
        <f t="shared" si="2"/>
        <v>Q1-2022</v>
      </c>
      <c r="BS3" s="34" t="str">
        <f t="shared" si="2"/>
        <v>Q2-2022</v>
      </c>
      <c r="BT3" s="34" t="str">
        <f t="shared" si="2"/>
        <v>Q3-2022</v>
      </c>
      <c r="BU3" s="34" t="str">
        <f t="shared" si="2"/>
        <v>Q4-2022</v>
      </c>
      <c r="BV3" s="34" t="str">
        <f t="shared" si="2"/>
        <v>Q1-2023</v>
      </c>
      <c r="BW3" s="34" t="str">
        <f t="shared" si="2"/>
        <v>Q2-2023</v>
      </c>
      <c r="BX3" s="34" t="str">
        <f t="shared" si="2"/>
        <v>Q3-2023</v>
      </c>
      <c r="BY3" s="34" t="str">
        <f t="shared" si="2"/>
        <v>Q4-2023</v>
      </c>
      <c r="BZ3" s="34" t="str">
        <f t="shared" si="2"/>
        <v>Q1-2024</v>
      </c>
      <c r="CA3" s="34" t="str">
        <f t="shared" si="2"/>
        <v>Q2-2024</v>
      </c>
      <c r="CB3" s="34" t="str">
        <f t="shared" si="2"/>
        <v>Q3-2024</v>
      </c>
      <c r="CC3" s="34" t="str">
        <f t="shared" si="2"/>
        <v>Q4-2024</v>
      </c>
      <c r="CE3" s="34" t="str">
        <f t="shared" ref="CE3:CW3" si="3">E3</f>
        <v>Q3-2020</v>
      </c>
      <c r="CF3" s="34" t="str">
        <f t="shared" si="3"/>
        <v>Q4-2020</v>
      </c>
      <c r="CG3" s="34" t="str">
        <f t="shared" si="3"/>
        <v>Q1-2021</v>
      </c>
      <c r="CH3" s="34" t="str">
        <f t="shared" si="3"/>
        <v>Q2-2021</v>
      </c>
      <c r="CI3" s="34" t="str">
        <f t="shared" si="3"/>
        <v>Q3-2021</v>
      </c>
      <c r="CJ3" s="34" t="str">
        <f t="shared" si="3"/>
        <v>Q4-2021</v>
      </c>
      <c r="CK3" s="34" t="str">
        <f t="shared" si="3"/>
        <v>Q1-2022</v>
      </c>
      <c r="CL3" s="34" t="str">
        <f t="shared" si="3"/>
        <v>Q2-2022</v>
      </c>
      <c r="CM3" s="34" t="str">
        <f t="shared" si="3"/>
        <v>Q3-2022</v>
      </c>
      <c r="CN3" s="34" t="str">
        <f t="shared" si="3"/>
        <v>Q4-2022</v>
      </c>
      <c r="CO3" s="34" t="str">
        <f t="shared" si="3"/>
        <v>Q1-2023</v>
      </c>
      <c r="CP3" s="34" t="str">
        <f t="shared" si="3"/>
        <v>Q2-2023</v>
      </c>
      <c r="CQ3" s="34" t="str">
        <f t="shared" si="3"/>
        <v>Q3-2023</v>
      </c>
      <c r="CR3" s="34" t="str">
        <f t="shared" si="3"/>
        <v>Q4-2023</v>
      </c>
      <c r="CS3" s="34" t="str">
        <f t="shared" si="3"/>
        <v>Q1-2024</v>
      </c>
      <c r="CT3" s="34" t="str">
        <f t="shared" si="3"/>
        <v>Q2-2024</v>
      </c>
      <c r="CU3" s="34" t="str">
        <f t="shared" si="3"/>
        <v>Q3-2024</v>
      </c>
      <c r="CV3" s="34" t="str">
        <f t="shared" si="3"/>
        <v>Q4-2024</v>
      </c>
      <c r="CW3" s="34" t="str">
        <f t="shared" si="3"/>
        <v>Q4-24 ws. Q4-23</v>
      </c>
      <c r="CY3" s="34" t="str">
        <f t="shared" ref="CY3:DP3" si="4">E3</f>
        <v>Q3-2020</v>
      </c>
      <c r="CZ3" s="34" t="str">
        <f t="shared" si="4"/>
        <v>Q4-2020</v>
      </c>
      <c r="DA3" s="34" t="str">
        <f t="shared" si="4"/>
        <v>Q1-2021</v>
      </c>
      <c r="DB3" s="34" t="str">
        <f t="shared" si="4"/>
        <v>Q2-2021</v>
      </c>
      <c r="DC3" s="34" t="str">
        <f t="shared" si="4"/>
        <v>Q3-2021</v>
      </c>
      <c r="DD3" s="34" t="str">
        <f t="shared" si="4"/>
        <v>Q4-2021</v>
      </c>
      <c r="DE3" s="34" t="str">
        <f t="shared" si="4"/>
        <v>Q1-2022</v>
      </c>
      <c r="DF3" s="34" t="str">
        <f t="shared" si="4"/>
        <v>Q2-2022</v>
      </c>
      <c r="DG3" s="34" t="str">
        <f t="shared" si="4"/>
        <v>Q3-2022</v>
      </c>
      <c r="DH3" s="34" t="str">
        <f t="shared" si="4"/>
        <v>Q4-2022</v>
      </c>
      <c r="DI3" s="34" t="str">
        <f t="shared" si="4"/>
        <v>Q1-2023</v>
      </c>
      <c r="DJ3" s="34" t="str">
        <f t="shared" si="4"/>
        <v>Q2-2023</v>
      </c>
      <c r="DK3" s="34" t="str">
        <f t="shared" si="4"/>
        <v>Q3-2023</v>
      </c>
      <c r="DL3" s="34" t="str">
        <f t="shared" si="4"/>
        <v>Q4-2023</v>
      </c>
      <c r="DM3" s="34" t="str">
        <f t="shared" si="4"/>
        <v>Q1-2024</v>
      </c>
      <c r="DN3" s="34" t="str">
        <f t="shared" si="4"/>
        <v>Q2-2024</v>
      </c>
      <c r="DO3" s="34" t="str">
        <f t="shared" si="4"/>
        <v>Q3-2024</v>
      </c>
      <c r="DP3" s="34" t="str">
        <f t="shared" si="4"/>
        <v>Q4-2024</v>
      </c>
    </row>
    <row r="4" spans="2:120" x14ac:dyDescent="0.3">
      <c r="C4" s="37" t="s">
        <v>74</v>
      </c>
      <c r="D4" s="107"/>
      <c r="E4" s="37"/>
      <c r="G4" s="133"/>
      <c r="H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Y4" s="37"/>
      <c r="AS4" s="37"/>
      <c r="BL4" s="37"/>
      <c r="CE4" s="37"/>
      <c r="CF4" s="38"/>
      <c r="CG4" s="38"/>
      <c r="CH4" s="38"/>
      <c r="CI4" s="38"/>
      <c r="CJ4" s="38"/>
      <c r="CY4" s="37"/>
    </row>
    <row r="5" spans="2:120" x14ac:dyDescent="0.3">
      <c r="C5" s="36" t="s">
        <v>85</v>
      </c>
      <c r="D5" s="108">
        <v>17746</v>
      </c>
      <c r="E5" s="38"/>
      <c r="F5" s="38">
        <f>VLOOKUP($C5,Segment!$AK$152:$AP$223,6,0)/1000</f>
        <v>128061.04424</v>
      </c>
      <c r="G5" s="38">
        <f>VLOOKUP($C5,Segment!$I$229:$N$300,6,0)/1000</f>
        <v>76147.898000000001</v>
      </c>
      <c r="H5" s="38">
        <f>VLOOKUP($C5,Segment!$P$229:$U$300,6,0)/1000</f>
        <v>108019.7099</v>
      </c>
      <c r="I5" s="38">
        <f>VLOOKUP($C5,Segment!$AD$229:$AI$300,6,0)/1000</f>
        <v>138481.45083000002</v>
      </c>
      <c r="J5" s="38">
        <f>VLOOKUP($C5,Segment!$AK$229:$AP$300,6,0)/1000</f>
        <v>164163.47575999997</v>
      </c>
      <c r="K5" s="38">
        <f>VLOOKUP($C5,Segment!$I$306:$N$377,6,0)/1000</f>
        <v>182082.81640000001</v>
      </c>
      <c r="L5" s="203">
        <f>VLOOKUP($C5,Segment!$P$306:$U$377,6,0)/1000</f>
        <v>167409.98976999996</v>
      </c>
      <c r="M5" s="203">
        <f>VLOOKUP($C5,Segment!$AD$306:$AI$377,6,0)/1000</f>
        <v>123552.39675</v>
      </c>
      <c r="N5" s="203">
        <f>VLOOKUP($C5,Segment!$AK$306:$AP$377,6,0)/1000</f>
        <v>294058.45255000005</v>
      </c>
      <c r="O5" s="203">
        <f>VLOOKUP($C5,Segment!$I$383:$N$454,6,0)/1000</f>
        <v>269827.49505999999</v>
      </c>
      <c r="P5" s="203">
        <f>VLOOKUP($C5,Segment!$P$383:$U$454,6,0)/1000</f>
        <v>295023.01551000006</v>
      </c>
      <c r="Q5" s="203">
        <f>VLOOKUP($C5,Segment!$AD$383:$AI$454,6,0)/1000</f>
        <v>271177.6825</v>
      </c>
      <c r="R5" s="203">
        <f>VLOOKUP($C5,Segment!$AK$383:$AP$454,6,0)/1000</f>
        <v>169744.05797000014</v>
      </c>
      <c r="S5" s="203">
        <f>VLOOKUP($C5,Segment!$I$460:$N$531,6,0)/1000</f>
        <v>95904.931389999998</v>
      </c>
      <c r="T5" s="203">
        <f>VLOOKUP($C5,Segment!$P$460:$U$531,6,0)/1000</f>
        <v>177848.84931999998</v>
      </c>
      <c r="U5" s="203">
        <f>VLOOKUP($C5,Segment!$AD$460:$AI$531,6,0)/1000</f>
        <v>263591.16657999996</v>
      </c>
      <c r="V5" s="203">
        <f>VLOOKUP($C5,Segment!$AK$460:$AP$531,6,0)/1000</f>
        <v>302632.20671999996</v>
      </c>
      <c r="W5" s="132">
        <f>V5/R5-1</f>
        <v>0.78287364128814407</v>
      </c>
      <c r="X5" s="132"/>
      <c r="Y5" s="38"/>
      <c r="Z5" s="38">
        <f>VLOOKUP($C5,Segment!$AK$152:$AP$223,2,0)/1000</f>
        <v>128061.04424</v>
      </c>
      <c r="AA5" s="38">
        <f>VLOOKUP($C5,Segment!$I$229:$N$300,2,0)/1000</f>
        <v>76147.898000000001</v>
      </c>
      <c r="AB5" s="38">
        <f>VLOOKUP($C5,Segment!$P$229:$U$300,2,0)/1000</f>
        <v>108019.7099</v>
      </c>
      <c r="AC5" s="38">
        <f>VLOOKUP($C5,Segment!$AD$229:$AI$300,2,0)/1000</f>
        <v>138481.45083000002</v>
      </c>
      <c r="AD5" s="38">
        <f>VLOOKUP($C5,Segment!$AK$229:$AP$300,2,0)/1000</f>
        <v>164163.47575999997</v>
      </c>
      <c r="AE5" s="38">
        <f>VLOOKUP($C5,Segment!$I$306:$N$377,2,0)/1000</f>
        <v>182082.81640000001</v>
      </c>
      <c r="AF5" s="38">
        <f>VLOOKUP($C5,Segment!$P$306:$U$377,2,0)/1000</f>
        <v>167409.98976999996</v>
      </c>
      <c r="AG5" s="38">
        <f>VLOOKUP($C5,Segment!$AD$306:$AI$377,2,0)/1000</f>
        <v>123552.39675</v>
      </c>
      <c r="AH5" s="38">
        <f>VLOOKUP($C5,Segment!$AK$306:$AP$377,2,0)/1000</f>
        <v>294058.45255000005</v>
      </c>
      <c r="AI5" s="203">
        <f>VLOOKUP($C5,Segment!$I$383:$N$454,2,0)/1000</f>
        <v>269827.49505999999</v>
      </c>
      <c r="AJ5" s="203">
        <f>VLOOKUP($C5,Segment!$P$383:$U$454,2,0)/1000</f>
        <v>295023.01551000006</v>
      </c>
      <c r="AK5" s="203">
        <f>VLOOKUP($C5,Segment!$AD$383:$AI$454,2,0)/1000</f>
        <v>271177.6825</v>
      </c>
      <c r="AL5" s="203">
        <f>VLOOKUP($C5,Segment!$AK$383:$AP$454,2,0)/1000</f>
        <v>169744.05797000014</v>
      </c>
      <c r="AM5" s="203">
        <f>VLOOKUP($C5,Segment!$I$460:$N$531,2,0)/1000</f>
        <v>95904.931389999998</v>
      </c>
      <c r="AN5" s="203">
        <f>VLOOKUP($C5,Segment!$P$460:$U$531,2,0)/1000</f>
        <v>177848.84931999998</v>
      </c>
      <c r="AO5" s="203">
        <f>VLOOKUP($C5,Segment!$AD$460:$AI$531,2,0)/1000</f>
        <v>263591.16657999996</v>
      </c>
      <c r="AP5" s="203">
        <f>VLOOKUP($C5,Segment!$AK$460:$AP$531,2,0)/1000</f>
        <v>302632.20671999996</v>
      </c>
      <c r="AQ5" s="132">
        <f>AP5/AL5-1</f>
        <v>0.78287364128814407</v>
      </c>
      <c r="AS5" s="38"/>
      <c r="AT5" s="38">
        <f>VLOOKUP($C5,Segment!$AK$152:$AP$223,3,0)/1000</f>
        <v>0</v>
      </c>
      <c r="AU5" s="38">
        <f>VLOOKUP($C5,Segment!$I$229:$N$300,3,0)/1000</f>
        <v>0</v>
      </c>
      <c r="AV5" s="38">
        <f>VLOOKUP($C5,Segment!$P$229:$U$300,3,0)/1000</f>
        <v>0</v>
      </c>
      <c r="AW5" s="38">
        <f>VLOOKUP($C5,Segment!$AD$229:$AI$300,3,0)/1000</f>
        <v>0</v>
      </c>
      <c r="AX5" s="38">
        <f>VLOOKUP($C5,Segment!$AK$229:$AP$300,3,0)/1000</f>
        <v>0</v>
      </c>
      <c r="AY5" s="38">
        <f>VLOOKUP($C5,Segment!$I$306:$N$377,3,0)/1000</f>
        <v>0</v>
      </c>
      <c r="AZ5" s="38">
        <f>VLOOKUP($C5,Segment!$P$306:$U$377,3,0)/1000</f>
        <v>0</v>
      </c>
      <c r="BA5" s="38">
        <f>VLOOKUP($C5,Segment!$AD$306:$AI$377,3,0)/1000</f>
        <v>0</v>
      </c>
      <c r="BB5" s="38">
        <f>VLOOKUP($C5,Segment!$AK$306:$AP$377,3,0)/1000</f>
        <v>0</v>
      </c>
      <c r="BC5" s="203">
        <f>VLOOKUP($C5,Segment!$I$383:$N$454,3,0)/1000</f>
        <v>0</v>
      </c>
      <c r="BD5" s="203">
        <f>VLOOKUP($C5,Segment!$P$383:$U$454,3,0)/1000</f>
        <v>0</v>
      </c>
      <c r="BE5" s="203">
        <f>VLOOKUP($C5,Segment!$AD$383:$AI$454,3,0)/1000</f>
        <v>0</v>
      </c>
      <c r="BF5" s="203">
        <f>VLOOKUP($C5,Segment!$AK$383:$AP$454,3,0)/1000</f>
        <v>0</v>
      </c>
      <c r="BG5" s="203">
        <f>VLOOKUP($C5,Segment!$I$460:$N$531,3,0)/1000</f>
        <v>0</v>
      </c>
      <c r="BH5" s="203">
        <f>VLOOKUP($C5,Segment!$P$460:$U$531,3,0)/1000</f>
        <v>0</v>
      </c>
      <c r="BI5" s="203">
        <f>VLOOKUP($C5,Segment!$AD$460:$AI$531,3,0)/1000</f>
        <v>0</v>
      </c>
      <c r="BJ5" s="203">
        <f>VLOOKUP($C5,Segment!$AK$460:$AP$531,3,0)/1000</f>
        <v>0</v>
      </c>
      <c r="BL5" s="38"/>
      <c r="BM5" s="38">
        <f>VLOOKUP($C5,Segment!$AK$152:$AP$223,4,0)/1000</f>
        <v>0</v>
      </c>
      <c r="BN5" s="38">
        <f>VLOOKUP($C5,Segment!$I$229:$N$300,4,0)/1000</f>
        <v>0</v>
      </c>
      <c r="BO5" s="38">
        <f>VLOOKUP($C5,Segment!$P$229:$U$300,4,0)/1000</f>
        <v>0</v>
      </c>
      <c r="BP5" s="38">
        <f>VLOOKUP($C5,Segment!$AD$229:$AI$300,4,0)/1000</f>
        <v>0</v>
      </c>
      <c r="BQ5" s="38">
        <f>VLOOKUP($C5,Segment!$AK$229:$AP$300,4,0)/1000</f>
        <v>0</v>
      </c>
      <c r="BR5" s="38">
        <f>VLOOKUP($C5,Segment!$I$306:$N$377,4,0)/1000</f>
        <v>0</v>
      </c>
      <c r="BS5" s="38">
        <f>VLOOKUP($C5,Segment!$P$306:$U$377,4,0)/1000</f>
        <v>0</v>
      </c>
      <c r="BT5" s="38">
        <f>VLOOKUP($C5,Segment!$AD$306:$AI$377,4,0)/1000</f>
        <v>0</v>
      </c>
      <c r="BU5" s="38">
        <f>VLOOKUP($C5,Segment!$AK$306:$AP$377,4,0)/1000</f>
        <v>0</v>
      </c>
      <c r="BV5" s="203">
        <f>VLOOKUP($C5,Segment!$I$383:$N$454,4,0)/1000</f>
        <v>0</v>
      </c>
      <c r="BW5" s="203">
        <f>VLOOKUP($C5,Segment!$P$383:$U$454,4,0)/1000</f>
        <v>0</v>
      </c>
      <c r="BX5" s="203">
        <f>VLOOKUP($C5,Segment!$AD$383:$AI$454,4,0)/1000</f>
        <v>0</v>
      </c>
      <c r="BY5" s="203">
        <f>VLOOKUP($C5,Segment!$AK$383:$AP$454,4,0)/1000</f>
        <v>0</v>
      </c>
      <c r="BZ5" s="203">
        <f>VLOOKUP($C5,Segment!$I$460:$N$531,4,0)/1000</f>
        <v>0</v>
      </c>
      <c r="CA5" s="203">
        <f>VLOOKUP($C5,Segment!$P$460:$U$531,4,0)/1000</f>
        <v>0</v>
      </c>
      <c r="CB5" s="203">
        <f>VLOOKUP($C5,Segment!$AD$460:$AI$531,4,0)/1000</f>
        <v>0</v>
      </c>
      <c r="CC5" s="203">
        <f>VLOOKUP($C5,Segment!$AK$460:$AP$531,4,0)/1000</f>
        <v>0</v>
      </c>
      <c r="CE5" s="38"/>
      <c r="CF5" s="38">
        <f t="shared" ref="CF5:CV5" si="5">AT5+BM5</f>
        <v>0</v>
      </c>
      <c r="CG5" s="38">
        <f t="shared" si="5"/>
        <v>0</v>
      </c>
      <c r="CH5" s="38">
        <f t="shared" si="5"/>
        <v>0</v>
      </c>
      <c r="CI5" s="38">
        <f t="shared" si="5"/>
        <v>0</v>
      </c>
      <c r="CJ5" s="38">
        <f t="shared" si="5"/>
        <v>0</v>
      </c>
      <c r="CK5" s="38">
        <f t="shared" si="5"/>
        <v>0</v>
      </c>
      <c r="CL5" s="38">
        <f t="shared" si="5"/>
        <v>0</v>
      </c>
      <c r="CM5" s="38">
        <f t="shared" si="5"/>
        <v>0</v>
      </c>
      <c r="CN5" s="38">
        <f t="shared" si="5"/>
        <v>0</v>
      </c>
      <c r="CO5" s="38">
        <f t="shared" si="5"/>
        <v>0</v>
      </c>
      <c r="CP5" s="38">
        <f t="shared" si="5"/>
        <v>0</v>
      </c>
      <c r="CQ5" s="38">
        <f t="shared" si="5"/>
        <v>0</v>
      </c>
      <c r="CR5" s="38">
        <f t="shared" si="5"/>
        <v>0</v>
      </c>
      <c r="CS5" s="38">
        <f t="shared" si="5"/>
        <v>0</v>
      </c>
      <c r="CT5" s="38">
        <f t="shared" si="5"/>
        <v>0</v>
      </c>
      <c r="CU5" s="38">
        <f t="shared" si="5"/>
        <v>0</v>
      </c>
      <c r="CV5" s="38">
        <f t="shared" si="5"/>
        <v>0</v>
      </c>
      <c r="CY5" s="38"/>
      <c r="CZ5" s="38">
        <f>VLOOKUP($C5,Segment!$AK$152:$AP$223,5,0)/1000</f>
        <v>0</v>
      </c>
      <c r="DA5" s="38">
        <f>VLOOKUP($C5,Segment!$I$229:$N$300,5,0)/1000</f>
        <v>0</v>
      </c>
      <c r="DB5" s="38">
        <f>VLOOKUP($C5,Segment!$P$229:$U$300,5,0)/1000</f>
        <v>0</v>
      </c>
      <c r="DC5" s="38">
        <f>VLOOKUP($C5,Segment!$AD$229:$AI$300,5,0)/1000</f>
        <v>0</v>
      </c>
      <c r="DD5" s="38">
        <f>VLOOKUP($C5,Segment!$AK$229:$AP$300,5,0)/1000</f>
        <v>0</v>
      </c>
      <c r="DE5" s="38">
        <f>VLOOKUP($C5,Segment!$I$306:$N$377,5,0)/1000</f>
        <v>0</v>
      </c>
      <c r="DF5" s="38">
        <f>VLOOKUP($C5,Segment!$P$306:$U$377,5,0)/1000</f>
        <v>0</v>
      </c>
      <c r="DG5" s="38">
        <f>VLOOKUP($C5,Segment!$AD$306:$AI$377,5,0)/1000</f>
        <v>0</v>
      </c>
      <c r="DH5" s="38">
        <f>VLOOKUP($C5,Segment!$AK$306:$AP$377,5,0)/1000</f>
        <v>0</v>
      </c>
      <c r="DI5" s="203">
        <f>VLOOKUP($C5,Segment!$I$383:$N$454,5,0)/1000</f>
        <v>0</v>
      </c>
      <c r="DJ5" s="203">
        <f>VLOOKUP($C5,Segment!$P$383:$U$454,5,0)/1000</f>
        <v>0</v>
      </c>
      <c r="DK5" s="203">
        <f>VLOOKUP($C5,Segment!$AD$383:$AI$454,5,0)/1000</f>
        <v>0</v>
      </c>
      <c r="DL5" s="203">
        <f>VLOOKUP($C5,Segment!$AK$383:$AP$454,5,0)/1000</f>
        <v>0</v>
      </c>
      <c r="DM5" s="203">
        <f>VLOOKUP($C5,Segment!$I$460:$N$531,5,0)/1000</f>
        <v>0</v>
      </c>
      <c r="DN5" s="203">
        <f>VLOOKUP($C5,Segment!$P$460:$U$531,5,0)/1000</f>
        <v>0</v>
      </c>
      <c r="DO5" s="203">
        <f>VLOOKUP($C5,Segment!$AD$460:$AI$531,5,0)/1000</f>
        <v>0</v>
      </c>
      <c r="DP5" s="203">
        <f>VLOOKUP($C5,Segment!$AK$460:$AP$531,5,0)/1000</f>
        <v>0</v>
      </c>
    </row>
    <row r="6" spans="2:120" x14ac:dyDescent="0.3">
      <c r="C6" s="39" t="s">
        <v>92</v>
      </c>
      <c r="D6" s="109"/>
      <c r="E6" s="40"/>
      <c r="F6" s="40">
        <f t="shared" ref="F6:V6" si="6">F5/F$149</f>
        <v>9.8948912936357838E-2</v>
      </c>
      <c r="G6" s="40">
        <f t="shared" si="6"/>
        <v>8.3148321482232085E-2</v>
      </c>
      <c r="H6" s="40">
        <f t="shared" si="6"/>
        <v>8.8918576887364015E-2</v>
      </c>
      <c r="I6" s="40">
        <f t="shared" si="6"/>
        <v>0.12088875246174691</v>
      </c>
      <c r="J6" s="40">
        <f t="shared" si="6"/>
        <v>0.10938441635560908</v>
      </c>
      <c r="K6" s="40">
        <f t="shared" si="6"/>
        <v>9.6362649846253146E-2</v>
      </c>
      <c r="L6" s="40">
        <f t="shared" si="6"/>
        <v>0.13409015981164352</v>
      </c>
      <c r="M6" s="40">
        <f t="shared" si="6"/>
        <v>0.13310966047256462</v>
      </c>
      <c r="N6" s="40">
        <f t="shared" si="6"/>
        <v>0.11202099740874792</v>
      </c>
      <c r="O6" s="40">
        <f t="shared" si="6"/>
        <v>0.11157243068482575</v>
      </c>
      <c r="P6" s="40">
        <f t="shared" si="6"/>
        <v>9.6419796258174706E-2</v>
      </c>
      <c r="Q6" s="40">
        <f t="shared" si="6"/>
        <v>0.10334477431139957</v>
      </c>
      <c r="R6" s="40">
        <f t="shared" si="6"/>
        <v>7.9999848242209903E-2</v>
      </c>
      <c r="S6" s="40">
        <f t="shared" si="6"/>
        <v>0.11129395291677735</v>
      </c>
      <c r="T6" s="40">
        <f t="shared" si="6"/>
        <v>9.8477020456993594E-2</v>
      </c>
      <c r="U6" s="40">
        <f t="shared" si="6"/>
        <v>0.18999314473969869</v>
      </c>
      <c r="V6" s="40">
        <f t="shared" si="6"/>
        <v>0.14939647515217194</v>
      </c>
      <c r="W6" s="169"/>
      <c r="Y6" s="40"/>
      <c r="Z6" s="40">
        <f t="shared" ref="Z6:AP6" si="7">Z5/Z$149</f>
        <v>9.8948912936357838E-2</v>
      </c>
      <c r="AA6" s="40">
        <f t="shared" si="7"/>
        <v>8.3148321482232085E-2</v>
      </c>
      <c r="AB6" s="40">
        <f t="shared" si="7"/>
        <v>8.8918576887364015E-2</v>
      </c>
      <c r="AC6" s="40">
        <f t="shared" si="7"/>
        <v>0.12088875246174691</v>
      </c>
      <c r="AD6" s="40">
        <f t="shared" si="7"/>
        <v>0.10938441635560908</v>
      </c>
      <c r="AE6" s="40">
        <f t="shared" si="7"/>
        <v>9.6362649846253146E-2</v>
      </c>
      <c r="AF6" s="40">
        <f t="shared" si="7"/>
        <v>0.13409015981164352</v>
      </c>
      <c r="AG6" s="40">
        <f t="shared" si="7"/>
        <v>0.13310966047256462</v>
      </c>
      <c r="AH6" s="40">
        <f t="shared" si="7"/>
        <v>0.11202099740874792</v>
      </c>
      <c r="AI6" s="40">
        <f t="shared" si="7"/>
        <v>0.11157243068482575</v>
      </c>
      <c r="AJ6" s="40">
        <f t="shared" si="7"/>
        <v>9.6419796258174706E-2</v>
      </c>
      <c r="AK6" s="40">
        <f t="shared" si="7"/>
        <v>0.10334477431139957</v>
      </c>
      <c r="AL6" s="40">
        <f t="shared" si="7"/>
        <v>7.9999848242209903E-2</v>
      </c>
      <c r="AM6" s="40">
        <f t="shared" si="7"/>
        <v>0.11129395291677735</v>
      </c>
      <c r="AN6" s="40">
        <f t="shared" si="7"/>
        <v>9.8477020456993594E-2</v>
      </c>
      <c r="AO6" s="40">
        <f t="shared" si="7"/>
        <v>0.18999314473969869</v>
      </c>
      <c r="AP6" s="40">
        <f t="shared" si="7"/>
        <v>0.14939647515217194</v>
      </c>
      <c r="AQ6" s="169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169"/>
      <c r="CY6" s="40"/>
      <c r="CZ6" s="40">
        <f t="shared" ref="CZ6:DP6" si="8">CZ5/CZ$149</f>
        <v>0</v>
      </c>
      <c r="DA6" s="40">
        <f t="shared" si="8"/>
        <v>0</v>
      </c>
      <c r="DB6" s="40">
        <f t="shared" si="8"/>
        <v>0</v>
      </c>
      <c r="DC6" s="40">
        <f t="shared" si="8"/>
        <v>0</v>
      </c>
      <c r="DD6" s="40">
        <f t="shared" si="8"/>
        <v>0</v>
      </c>
      <c r="DE6" s="40">
        <f t="shared" si="8"/>
        <v>0</v>
      </c>
      <c r="DF6" s="40">
        <f t="shared" si="8"/>
        <v>0</v>
      </c>
      <c r="DG6" s="40">
        <f t="shared" si="8"/>
        <v>0</v>
      </c>
      <c r="DH6" s="40">
        <f t="shared" si="8"/>
        <v>0</v>
      </c>
      <c r="DI6" s="40">
        <f t="shared" si="8"/>
        <v>0</v>
      </c>
      <c r="DJ6" s="40">
        <f t="shared" si="8"/>
        <v>0</v>
      </c>
      <c r="DK6" s="40">
        <f t="shared" si="8"/>
        <v>0</v>
      </c>
      <c r="DL6" s="40">
        <f t="shared" si="8"/>
        <v>0</v>
      </c>
      <c r="DM6" s="40">
        <f t="shared" si="8"/>
        <v>0</v>
      </c>
      <c r="DN6" s="40">
        <f t="shared" si="8"/>
        <v>0</v>
      </c>
      <c r="DO6" s="40">
        <f t="shared" si="8"/>
        <v>0</v>
      </c>
      <c r="DP6" s="40">
        <f t="shared" si="8"/>
        <v>0</v>
      </c>
    </row>
    <row r="7" spans="2:120" x14ac:dyDescent="0.3">
      <c r="C7" s="36" t="s">
        <v>19</v>
      </c>
      <c r="D7" s="110">
        <v>9</v>
      </c>
      <c r="E7" s="38"/>
      <c r="F7" s="38">
        <f>VLOOKUP($C7,Segment!$AK$152:$AP$223,6,0)/1000</f>
        <v>26382.174517999993</v>
      </c>
      <c r="G7" s="38">
        <f>VLOOKUP($C7,Segment!$I$229:$N$300,6,0)/1000</f>
        <v>35028.403335999996</v>
      </c>
      <c r="H7" s="38">
        <f>VLOOKUP($C7,Segment!$P$229:$U$300,6,0)/1000</f>
        <v>36999.143209720016</v>
      </c>
      <c r="I7" s="38">
        <f>VLOOKUP($C7,Segment!$AD$229:$AI$300,6,0)/1000</f>
        <v>37424.504449799984</v>
      </c>
      <c r="J7" s="38">
        <f>VLOOKUP($C7,Segment!$AK$229:$AP$300,6,0)/1000</f>
        <v>47347.380134440005</v>
      </c>
      <c r="K7" s="38">
        <f>VLOOKUP($C7,Segment!$I$306:$N$377,6,0)/1000</f>
        <v>50133.10531662</v>
      </c>
      <c r="L7" s="203">
        <f>VLOOKUP($C7,Segment!$P$306:$U$377,6,0)/1000</f>
        <v>55676.635708499991</v>
      </c>
      <c r="M7" s="203">
        <f>VLOOKUP($C7,Segment!$AD$306:$AI$377,6,0)/1000</f>
        <v>47180.521186420025</v>
      </c>
      <c r="N7" s="203">
        <f>VLOOKUP($C7,Segment!$AK$306:$AP$377,6,0)/1000</f>
        <v>46257.69083033994</v>
      </c>
      <c r="O7" s="203">
        <f>VLOOKUP($C7,Segment!$I$383:$N$454,6,0)/1000</f>
        <v>68678.466380419995</v>
      </c>
      <c r="P7" s="203">
        <f>VLOOKUP($C7,Segment!$P$383:$U$454,6,0)/1000</f>
        <v>79102.244114439964</v>
      </c>
      <c r="Q7" s="203">
        <f>VLOOKUP($C7,Segment!$AD$383:$AI$454,6,0)/1000</f>
        <v>84259.569398080057</v>
      </c>
      <c r="R7" s="203">
        <f>VLOOKUP($C7,Segment!$AK$383:$AP$454,6,0)/1000</f>
        <v>94200.256445019986</v>
      </c>
      <c r="S7" s="203">
        <f>VLOOKUP($C7,Segment!$I$460:$N$531,6,0)/1000</f>
        <v>94648.665723919985</v>
      </c>
      <c r="T7" s="203">
        <f>VLOOKUP($C7,Segment!$P$460:$U$531,6,0)/1000</f>
        <v>88721.404231200009</v>
      </c>
      <c r="U7" s="203">
        <f>VLOOKUP($C7,Segment!$AD$460:$AI$531,6,0)/1000</f>
        <v>103760.26267525998</v>
      </c>
      <c r="V7" s="203">
        <f>VLOOKUP($C7,Segment!$AK$460:$AP$531,6,0)/1000</f>
        <v>107621.48133265995</v>
      </c>
      <c r="W7" s="132">
        <f t="shared" ref="W7:W69" si="9">V7/R7-1</f>
        <v>0.14247546019657897</v>
      </c>
      <c r="X7" s="132"/>
      <c r="Y7" s="38"/>
      <c r="Z7" s="38">
        <f>VLOOKUP($C7,Segment!$AK$152:$AP$223,2,0)/1000</f>
        <v>26382.174517999993</v>
      </c>
      <c r="AA7" s="38">
        <f>VLOOKUP($C7,Segment!$I$229:$N$300,2,0)/1000</f>
        <v>35028.403335999996</v>
      </c>
      <c r="AB7" s="38">
        <f>VLOOKUP($C7,Segment!$P$229:$U$300,2,0)/1000</f>
        <v>36999.143209720016</v>
      </c>
      <c r="AC7" s="38">
        <f>VLOOKUP($C7,Segment!$AD$229:$AI$300,2,0)/1000</f>
        <v>37424.504449799984</v>
      </c>
      <c r="AD7" s="38">
        <f>VLOOKUP($C7,Segment!$AK$229:$AP$300,2,0)/1000</f>
        <v>47347.380134440005</v>
      </c>
      <c r="AE7" s="38">
        <f>VLOOKUP($C7,Segment!$I$306:$N$377,2,0)/1000</f>
        <v>50133.10531662</v>
      </c>
      <c r="AF7" s="38">
        <f>VLOOKUP($C7,Segment!$P$306:$U$377,2,0)/1000</f>
        <v>55676.635708499991</v>
      </c>
      <c r="AG7" s="38">
        <f>VLOOKUP($C7,Segment!$AD$306:$AI$377,2,0)/1000</f>
        <v>47180.521186420025</v>
      </c>
      <c r="AH7" s="38">
        <f>VLOOKUP($C7,Segment!$AK$306:$AP$377,2,0)/1000</f>
        <v>46257.69083033994</v>
      </c>
      <c r="AI7" s="38">
        <f>VLOOKUP($C7,Segment!$I$383:$N$454,2,0)/1000</f>
        <v>68678.466380419995</v>
      </c>
      <c r="AJ7" s="38">
        <f>VLOOKUP($C7,Segment!$P$383:$U$454,2,0)/1000</f>
        <v>79102.244114439964</v>
      </c>
      <c r="AK7" s="38">
        <f>VLOOKUP($C7,Segment!$AD$383:$AI$454,2,0)/1000</f>
        <v>84259.569398080057</v>
      </c>
      <c r="AL7" s="38">
        <f>VLOOKUP($C7,Segment!$AK$383:$AP$454,2,0)/1000</f>
        <v>94200.256445019986</v>
      </c>
      <c r="AM7" s="38">
        <f>VLOOKUP($C7,Segment!$I$460:$N$531,2,0)/1000</f>
        <v>94648.665723919985</v>
      </c>
      <c r="AN7" s="38">
        <f>VLOOKUP($C7,Segment!$P$460:$U$531,2,0)/1000</f>
        <v>88721.404231200009</v>
      </c>
      <c r="AO7" s="38">
        <f>VLOOKUP($C7,Segment!$AD$460:$AI$531,2,0)/1000</f>
        <v>103760.26267525998</v>
      </c>
      <c r="AP7" s="38">
        <f>VLOOKUP($C7,Segment!$AK$460:$AP$531,2,0)/1000</f>
        <v>107621.48133265995</v>
      </c>
      <c r="AQ7" s="132">
        <f>AP7/AL7-1</f>
        <v>0.14247546019657897</v>
      </c>
      <c r="AR7" s="132"/>
      <c r="AS7" s="38"/>
      <c r="AT7" s="38">
        <f>VLOOKUP($C7,Segment!$AK$152:$AP$223,3,0)/1000</f>
        <v>0</v>
      </c>
      <c r="AU7" s="38">
        <f>VLOOKUP($C7,Segment!$I$229:$N$300,3,0)/1000</f>
        <v>0</v>
      </c>
      <c r="AV7" s="38">
        <f>VLOOKUP($C7,Segment!$P$229:$U$300,3,0)/1000</f>
        <v>0</v>
      </c>
      <c r="AW7" s="38">
        <f>VLOOKUP($C7,Segment!$AD$229:$AI$300,3,0)/1000</f>
        <v>0</v>
      </c>
      <c r="AX7" s="38">
        <f>VLOOKUP($C7,Segment!$AK$229:$AP$300,3,0)/1000</f>
        <v>0</v>
      </c>
      <c r="AY7" s="38">
        <f>VLOOKUP($C7,Segment!$I$306:$N$377,3,0)/1000</f>
        <v>0</v>
      </c>
      <c r="AZ7" s="38">
        <f>VLOOKUP($C7,Segment!$P$306:$U$377,3,0)/1000</f>
        <v>0</v>
      </c>
      <c r="BA7" s="38">
        <f>VLOOKUP($C7,Segment!$AD$306:$AI$377,3,0)/1000</f>
        <v>0</v>
      </c>
      <c r="BB7" s="38">
        <f>VLOOKUP($C7,Segment!$AK$306:$AP$377,3,0)/1000</f>
        <v>0</v>
      </c>
      <c r="BC7" s="38">
        <f>VLOOKUP($C7,Segment!$I$383:$N$454,3,0)/1000</f>
        <v>0</v>
      </c>
      <c r="BD7" s="38">
        <f>VLOOKUP($C7,Segment!$P$383:$U$454,3,0)/1000</f>
        <v>0</v>
      </c>
      <c r="BE7" s="38">
        <f>VLOOKUP($C7,Segment!$AD$383:$AI$454,3,0)/1000</f>
        <v>0</v>
      </c>
      <c r="BF7" s="38">
        <f>VLOOKUP($C7,Segment!$AK$383:$AP$454,3,0)/1000</f>
        <v>0</v>
      </c>
      <c r="BG7" s="38">
        <f>VLOOKUP($C7,Segment!$I$460:$N$531,3,0)/1000</f>
        <v>0</v>
      </c>
      <c r="BH7" s="38">
        <f>VLOOKUP($C7,Segment!$P$460:$U$531,3,0)/1000</f>
        <v>0</v>
      </c>
      <c r="BI7" s="38">
        <f>VLOOKUP($C7,Segment!$AD$460:$AI$531,3,0)/1000</f>
        <v>0</v>
      </c>
      <c r="BJ7" s="38">
        <f>VLOOKUP($C7,Segment!$AK$460:$AP$531,3,0)/1000</f>
        <v>0</v>
      </c>
      <c r="BL7" s="38"/>
      <c r="BM7" s="38">
        <f>VLOOKUP($C7,Segment!$AK$152:$AP$223,4,0)/1000</f>
        <v>0</v>
      </c>
      <c r="BN7" s="38">
        <f>VLOOKUP($C7,Segment!$I$229:$N$300,4,0)/1000</f>
        <v>0</v>
      </c>
      <c r="BO7" s="38">
        <f>VLOOKUP($C7,Segment!$P$229:$U$300,4,0)/1000</f>
        <v>0</v>
      </c>
      <c r="BP7" s="38">
        <f>VLOOKUP($C7,Segment!$AD$229:$AI$300,4,0)/1000</f>
        <v>0</v>
      </c>
      <c r="BQ7" s="38">
        <f>VLOOKUP($C7,Segment!$AK$229:$AP$300,4,0)/1000</f>
        <v>0</v>
      </c>
      <c r="BR7" s="38">
        <f>VLOOKUP($C7,Segment!$I$306:$N$377,4,0)/1000</f>
        <v>0</v>
      </c>
      <c r="BS7" s="38">
        <f>VLOOKUP($C7,Segment!$P$306:$U$377,4,0)/1000</f>
        <v>0</v>
      </c>
      <c r="BT7" s="38">
        <f>VLOOKUP($C7,Segment!$AD$306:$AI$377,4,0)/1000</f>
        <v>0</v>
      </c>
      <c r="BU7" s="38">
        <f>VLOOKUP($C7,Segment!$AK$306:$AP$377,4,0)/1000</f>
        <v>0</v>
      </c>
      <c r="BV7" s="38">
        <f>VLOOKUP($C7,Segment!$I$383:$N$454,4,0)/1000</f>
        <v>0</v>
      </c>
      <c r="BW7" s="38">
        <f>VLOOKUP($C7,Segment!$P$383:$U$454,4,0)/1000</f>
        <v>0</v>
      </c>
      <c r="BX7" s="38">
        <f>VLOOKUP($C7,Segment!$AD$383:$AI$454,4,0)/1000</f>
        <v>0</v>
      </c>
      <c r="BY7" s="38">
        <f>VLOOKUP($C7,Segment!$AK$383:$AP$454,4,0)/1000</f>
        <v>0</v>
      </c>
      <c r="BZ7" s="38">
        <f>VLOOKUP($C7,Segment!$I$460:$N$531,4,0)/1000</f>
        <v>0</v>
      </c>
      <c r="CA7" s="38">
        <f>VLOOKUP($C7,Segment!$P$460:$U$531,4,0)/1000</f>
        <v>0</v>
      </c>
      <c r="CB7" s="38">
        <f>VLOOKUP($C7,Segment!$AD$460:$AI$531,4,0)/1000</f>
        <v>0</v>
      </c>
      <c r="CC7" s="38">
        <f>VLOOKUP($C7,Segment!$AK$460:$AP$531,4,0)/1000</f>
        <v>0</v>
      </c>
      <c r="CE7" s="38"/>
      <c r="CF7" s="38">
        <f t="shared" ref="CF7:CV7" si="10">AT7+BM7</f>
        <v>0</v>
      </c>
      <c r="CG7" s="38">
        <f t="shared" si="10"/>
        <v>0</v>
      </c>
      <c r="CH7" s="38">
        <f t="shared" si="10"/>
        <v>0</v>
      </c>
      <c r="CI7" s="38">
        <f t="shared" si="10"/>
        <v>0</v>
      </c>
      <c r="CJ7" s="38">
        <f t="shared" si="10"/>
        <v>0</v>
      </c>
      <c r="CK7" s="38">
        <f t="shared" si="10"/>
        <v>0</v>
      </c>
      <c r="CL7" s="38">
        <f t="shared" si="10"/>
        <v>0</v>
      </c>
      <c r="CM7" s="38">
        <f t="shared" si="10"/>
        <v>0</v>
      </c>
      <c r="CN7" s="38">
        <f t="shared" si="10"/>
        <v>0</v>
      </c>
      <c r="CO7" s="38">
        <f t="shared" si="10"/>
        <v>0</v>
      </c>
      <c r="CP7" s="38">
        <f t="shared" si="10"/>
        <v>0</v>
      </c>
      <c r="CQ7" s="38">
        <f t="shared" si="10"/>
        <v>0</v>
      </c>
      <c r="CR7" s="38">
        <f t="shared" si="10"/>
        <v>0</v>
      </c>
      <c r="CS7" s="38">
        <f t="shared" si="10"/>
        <v>0</v>
      </c>
      <c r="CT7" s="38">
        <f t="shared" si="10"/>
        <v>0</v>
      </c>
      <c r="CU7" s="38">
        <f t="shared" si="10"/>
        <v>0</v>
      </c>
      <c r="CV7" s="38">
        <f t="shared" si="10"/>
        <v>0</v>
      </c>
      <c r="CY7" s="38"/>
      <c r="CZ7" s="38">
        <f>VLOOKUP($C7,Segment!$AK$152:$AP$223,5,0)/1000</f>
        <v>0</v>
      </c>
      <c r="DA7" s="38">
        <f>VLOOKUP($C7,Segment!$I$229:$N$300,5,0)/1000</f>
        <v>0</v>
      </c>
      <c r="DB7" s="38">
        <f>VLOOKUP($C7,Segment!$P$229:$U$300,5,0)/1000</f>
        <v>0</v>
      </c>
      <c r="DC7" s="38">
        <f>VLOOKUP($C7,Segment!$AD$229:$AI$300,5,0)/1000</f>
        <v>0</v>
      </c>
      <c r="DD7" s="38">
        <f>VLOOKUP($C7,Segment!$AK$229:$AP$300,5,0)/1000</f>
        <v>0</v>
      </c>
      <c r="DE7" s="38">
        <f>VLOOKUP($C7,Segment!$I$306:$N$377,5,0)/1000</f>
        <v>0</v>
      </c>
      <c r="DF7" s="38">
        <f>VLOOKUP($C7,Segment!$P$306:$U$377,5,0)/1000</f>
        <v>0</v>
      </c>
      <c r="DG7" s="38">
        <f>VLOOKUP($C7,Segment!$AD$306:$AI$377,5,0)/1000</f>
        <v>0</v>
      </c>
      <c r="DH7" s="38">
        <f>VLOOKUP($C7,Segment!$AK$306:$AP$377,5,0)/1000</f>
        <v>0</v>
      </c>
      <c r="DI7" s="38">
        <f>VLOOKUP($C7,Segment!$I$383:$N$454,5,0)/1000</f>
        <v>0</v>
      </c>
      <c r="DJ7" s="38">
        <f>VLOOKUP($C7,Segment!$P$383:$U$454,5,0)/1000</f>
        <v>0</v>
      </c>
      <c r="DK7" s="38">
        <f>VLOOKUP($C7,Segment!$AD$383:$AI$454,5,0)/1000</f>
        <v>0</v>
      </c>
      <c r="DL7" s="38">
        <f>VLOOKUP($C7,Segment!$AK$383:$AP$454,5,0)/1000</f>
        <v>0</v>
      </c>
      <c r="DM7" s="38">
        <f>VLOOKUP($C7,Segment!$I$460:$N$531,5,0)/1000</f>
        <v>0</v>
      </c>
      <c r="DN7" s="38">
        <f>VLOOKUP($C7,Segment!$P$460:$U$531,5,0)/1000</f>
        <v>0</v>
      </c>
      <c r="DO7" s="38">
        <f>VLOOKUP($C7,Segment!$AD$460:$AI$531,5,0)/1000</f>
        <v>0</v>
      </c>
      <c r="DP7" s="38">
        <f>VLOOKUP($C7,Segment!$AK$460:$AP$531,5,0)/1000</f>
        <v>0</v>
      </c>
    </row>
    <row r="8" spans="2:120" x14ac:dyDescent="0.3">
      <c r="C8" s="39" t="s">
        <v>57</v>
      </c>
      <c r="D8" s="109"/>
      <c r="E8" s="40"/>
      <c r="F8" s="40">
        <f t="shared" ref="F8:V8" si="11">F7/AVERAGE(E125:F125)*4</f>
        <v>2.0962579893734932E-2</v>
      </c>
      <c r="G8" s="40">
        <f t="shared" si="11"/>
        <v>2.4354007083044703E-2</v>
      </c>
      <c r="H8" s="40">
        <f t="shared" si="11"/>
        <v>2.3889198384579386E-2</v>
      </c>
      <c r="I8" s="40">
        <f t="shared" si="11"/>
        <v>2.2943125469730291E-2</v>
      </c>
      <c r="J8" s="40">
        <f t="shared" si="11"/>
        <v>2.7199546746043309E-2</v>
      </c>
      <c r="K8" s="40">
        <f t="shared" si="11"/>
        <v>2.7274010716194275E-2</v>
      </c>
      <c r="L8" s="40">
        <f t="shared" si="11"/>
        <v>2.9168531175095245E-2</v>
      </c>
      <c r="M8" s="40">
        <f t="shared" si="11"/>
        <v>2.470766108672489E-2</v>
      </c>
      <c r="N8" s="40">
        <f t="shared" si="11"/>
        <v>2.2328781454223449E-2</v>
      </c>
      <c r="O8" s="40">
        <f t="shared" si="11"/>
        <v>2.8648972262267033E-2</v>
      </c>
      <c r="P8" s="40">
        <f t="shared" si="11"/>
        <v>2.9058472157414483E-2</v>
      </c>
      <c r="Q8" s="40">
        <f t="shared" si="11"/>
        <v>2.7768020956172167E-2</v>
      </c>
      <c r="R8" s="40">
        <f t="shared" si="11"/>
        <v>2.9638897421445442E-2</v>
      </c>
      <c r="S8" s="40">
        <f t="shared" si="11"/>
        <v>3.0520207149143899E-2</v>
      </c>
      <c r="T8" s="40">
        <f t="shared" si="11"/>
        <v>2.9263143131499483E-2</v>
      </c>
      <c r="U8" s="40">
        <f t="shared" si="11"/>
        <v>3.4347111294651483E-2</v>
      </c>
      <c r="V8" s="40">
        <f t="shared" si="11"/>
        <v>3.5407863651913028E-2</v>
      </c>
      <c r="W8" s="169"/>
      <c r="Y8" s="40"/>
      <c r="Z8" s="40">
        <f t="shared" ref="Z8:AP8" si="12">Z7/AVERAGE(Y125:Z125)*4</f>
        <v>2.0962579893734932E-2</v>
      </c>
      <c r="AA8" s="40">
        <f t="shared" si="12"/>
        <v>2.4354007083044703E-2</v>
      </c>
      <c r="AB8" s="40">
        <f t="shared" si="12"/>
        <v>2.3889198384579386E-2</v>
      </c>
      <c r="AC8" s="40">
        <f t="shared" si="12"/>
        <v>2.2943125469730291E-2</v>
      </c>
      <c r="AD8" s="40">
        <f t="shared" si="12"/>
        <v>2.7199546746043309E-2</v>
      </c>
      <c r="AE8" s="40">
        <f t="shared" si="12"/>
        <v>2.7274010716194275E-2</v>
      </c>
      <c r="AF8" s="40">
        <f t="shared" si="12"/>
        <v>2.9168531175095245E-2</v>
      </c>
      <c r="AG8" s="40">
        <f t="shared" si="12"/>
        <v>2.470766108672489E-2</v>
      </c>
      <c r="AH8" s="40">
        <f t="shared" si="12"/>
        <v>2.2328781454223449E-2</v>
      </c>
      <c r="AI8" s="40">
        <f t="shared" si="12"/>
        <v>2.8648972262267033E-2</v>
      </c>
      <c r="AJ8" s="40">
        <f t="shared" si="12"/>
        <v>2.9058472157414483E-2</v>
      </c>
      <c r="AK8" s="40">
        <f t="shared" si="12"/>
        <v>2.7768020956172167E-2</v>
      </c>
      <c r="AL8" s="40">
        <f t="shared" si="12"/>
        <v>2.9638897421445442E-2</v>
      </c>
      <c r="AM8" s="40">
        <f t="shared" si="12"/>
        <v>3.0520207149143899E-2</v>
      </c>
      <c r="AN8" s="40">
        <f t="shared" si="12"/>
        <v>2.9263143131499483E-2</v>
      </c>
      <c r="AO8" s="40">
        <f t="shared" si="12"/>
        <v>3.4347111294651483E-2</v>
      </c>
      <c r="AP8" s="40">
        <f t="shared" si="12"/>
        <v>3.5407863651913028E-2</v>
      </c>
      <c r="AQ8" s="169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169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</row>
    <row r="9" spans="2:120" x14ac:dyDescent="0.3">
      <c r="C9" s="36" t="s">
        <v>86</v>
      </c>
      <c r="D9" s="110">
        <v>10</v>
      </c>
      <c r="E9" s="38"/>
      <c r="F9" s="38">
        <f>VLOOKUP($C9,Segment!$AK$152:$AP$223,6,0)/1000</f>
        <v>17432.021560000107</v>
      </c>
      <c r="G9" s="38">
        <f>VLOOKUP($C9,Segment!$I$229:$N$300,6,0)/1000</f>
        <v>760.61500000000001</v>
      </c>
      <c r="H9" s="38">
        <f>VLOOKUP($C9,Segment!$P$229:$U$300,6,0)/1000</f>
        <v>-467.14207000015676</v>
      </c>
      <c r="I9" s="38">
        <f>VLOOKUP($C9,Segment!$AD$229:$AI$300,6,0)/1000</f>
        <v>-5550.8456699998005</v>
      </c>
      <c r="J9" s="38">
        <f>VLOOKUP($C9,Segment!$AK$229:$AP$300,6,0)/1000</f>
        <v>-7112.4977200000585</v>
      </c>
      <c r="K9" s="38">
        <f>VLOOKUP($C9,Segment!$I$306:$N$377,6,0)/1000</f>
        <v>-7345.2577100000226</v>
      </c>
      <c r="L9" s="203">
        <f>VLOOKUP($C9,Segment!$P$306:$U$377,6,0)/1000</f>
        <v>-2877.2509200000009</v>
      </c>
      <c r="M9" s="203">
        <f>VLOOKUP($C9,Segment!$AD$306:$AI$377,6,0)/1000</f>
        <v>-4215.8838700000179</v>
      </c>
      <c r="N9" s="203">
        <f>VLOOKUP($C9,Segment!$AK$306:$AP$377,6,0)/1000</f>
        <v>-2320.5811199999303</v>
      </c>
      <c r="O9" s="203">
        <f>VLOOKUP($C9,Segment!$I$383:$N$454,6,0)/1000</f>
        <v>-2943.0471999999882</v>
      </c>
      <c r="P9" s="203">
        <f>VLOOKUP($C9,Segment!$P$383:$U$454,6,0)/1000</f>
        <v>4035.3163799999988</v>
      </c>
      <c r="Q9" s="203">
        <f>VLOOKUP($C9,Segment!$AD$383:$AI$454,6,0)/1000</f>
        <v>3131.9179899999667</v>
      </c>
      <c r="R9" s="203">
        <f>VLOOKUP($C9,Segment!$AK$383:$AP$454,6,0)/1000</f>
        <v>4345.2807200000361</v>
      </c>
      <c r="S9" s="203">
        <f>VLOOKUP($C9,Segment!$I$460:$N$531,6,0)/1000</f>
        <v>4275.5908099999988</v>
      </c>
      <c r="T9" s="203">
        <f>VLOOKUP($C9,Segment!$P$460:$U$531,6,0)/1000</f>
        <v>3906.5286899999955</v>
      </c>
      <c r="U9" s="203">
        <f>VLOOKUP($C9,Segment!$AD$460:$AI$531,6,0)/1000</f>
        <v>4002.5249999999983</v>
      </c>
      <c r="V9" s="203">
        <f>VLOOKUP($C9,Segment!$AK$460:$AP$531,6,0)/1000</f>
        <v>5605.3160800000132</v>
      </c>
      <c r="W9" s="132">
        <f t="shared" si="9"/>
        <v>0.28997789583545397</v>
      </c>
      <c r="Y9" s="38"/>
      <c r="Z9" s="38">
        <f>VLOOKUP($C9,Segment!$AK$152:$AP$223,2,0)/1000</f>
        <v>17432.021560000107</v>
      </c>
      <c r="AA9" s="38">
        <f>VLOOKUP($C9,Segment!$I$229:$N$300,2,0)/1000</f>
        <v>760.61500000000001</v>
      </c>
      <c r="AB9" s="38">
        <f>VLOOKUP($C9,Segment!$P$229:$U$300,2,0)/1000</f>
        <v>-467.14207000015676</v>
      </c>
      <c r="AC9" s="38">
        <f>VLOOKUP($C9,Segment!$AD$229:$AI$300,2,0)/1000</f>
        <v>-5550.8456699998005</v>
      </c>
      <c r="AD9" s="38">
        <f>VLOOKUP($C9,Segment!$AK$229:$AP$300,2,0)/1000</f>
        <v>-7112.4977200000585</v>
      </c>
      <c r="AE9" s="38">
        <f>VLOOKUP($C9,Segment!$I$306:$N$377,2,0)/1000</f>
        <v>-7345.2577100000226</v>
      </c>
      <c r="AF9" s="38">
        <f>VLOOKUP($C9,Segment!$P$306:$U$377,2,0)/1000</f>
        <v>-2877.2509200000009</v>
      </c>
      <c r="AG9" s="38">
        <f>VLOOKUP($C9,Segment!$AD$306:$AI$377,2,0)/1000</f>
        <v>-4215.8838700000179</v>
      </c>
      <c r="AH9" s="38">
        <f>VLOOKUP($C9,Segment!$AK$306:$AP$377,2,0)/1000</f>
        <v>-2320.5811199999303</v>
      </c>
      <c r="AI9" s="38">
        <f>VLOOKUP($C9,Segment!$I$383:$N$454,2,0)/1000</f>
        <v>-2943.0471999999882</v>
      </c>
      <c r="AJ9" s="38">
        <f>VLOOKUP($C9,Segment!$P$383:$U$454,2,0)/1000</f>
        <v>4035.3163799999988</v>
      </c>
      <c r="AK9" s="38">
        <f>VLOOKUP($C9,Segment!$AD$383:$AI$454,2,0)/1000</f>
        <v>3131.9179899999667</v>
      </c>
      <c r="AL9" s="38">
        <f>VLOOKUP($C9,Segment!$AK$383:$AP$454,2,0)/1000</f>
        <v>4345.2807200000361</v>
      </c>
      <c r="AM9" s="38">
        <f>VLOOKUP($C9,Segment!$I$460:$N$531,2,0)/1000</f>
        <v>4275.5908099999988</v>
      </c>
      <c r="AN9" s="38">
        <f>VLOOKUP($C9,Segment!$P$460:$U$531,2,0)/1000</f>
        <v>3906.5286899999955</v>
      </c>
      <c r="AO9" s="38">
        <f>VLOOKUP($C9,Segment!$AD$460:$AI$531,2,0)/1000</f>
        <v>4002.5249999999983</v>
      </c>
      <c r="AP9" s="38">
        <f>VLOOKUP($C9,Segment!$AK$460:$AP$531,2,0)/1000</f>
        <v>5605.3160800000132</v>
      </c>
      <c r="AQ9" s="132">
        <f>AP9/AL9-1</f>
        <v>0.28997789583545397</v>
      </c>
      <c r="AS9" s="38"/>
      <c r="AT9" s="38">
        <f>VLOOKUP($C9,Segment!$AK$152:$AP$223,3,0)/1000</f>
        <v>0</v>
      </c>
      <c r="AU9" s="38">
        <f>VLOOKUP($C9,Segment!$I$229:$N$300,3,0)/1000</f>
        <v>0</v>
      </c>
      <c r="AV9" s="38">
        <f>VLOOKUP($C9,Segment!$P$229:$U$300,3,0)/1000</f>
        <v>0</v>
      </c>
      <c r="AW9" s="38">
        <f>VLOOKUP($C9,Segment!$AD$229:$AI$300,3,0)/1000</f>
        <v>0</v>
      </c>
      <c r="AX9" s="38">
        <f>VLOOKUP($C9,Segment!$AK$229:$AP$300,3,0)/1000</f>
        <v>0</v>
      </c>
      <c r="AY9" s="38">
        <f>VLOOKUP($C9,Segment!$I$306:$N$377,3,0)/1000</f>
        <v>0</v>
      </c>
      <c r="AZ9" s="38">
        <f>VLOOKUP($C9,Segment!$P$306:$U$377,3,0)/1000</f>
        <v>0</v>
      </c>
      <c r="BA9" s="38">
        <f>VLOOKUP($C9,Segment!$AD$306:$AI$377,3,0)/1000</f>
        <v>0</v>
      </c>
      <c r="BB9" s="38">
        <f>VLOOKUP($C9,Segment!$AK$306:$AP$377,3,0)/1000</f>
        <v>0</v>
      </c>
      <c r="BC9" s="38">
        <f>VLOOKUP($C9,Segment!$I$383:$N$454,3,0)/1000</f>
        <v>0</v>
      </c>
      <c r="BD9" s="38">
        <f>VLOOKUP($C9,Segment!$P$383:$U$454,3,0)/1000</f>
        <v>0</v>
      </c>
      <c r="BE9" s="38">
        <f>VLOOKUP($C9,Segment!$AD$383:$AI$454,3,0)/1000</f>
        <v>0</v>
      </c>
      <c r="BF9" s="38">
        <f>VLOOKUP($C9,Segment!$AK$383:$AP$454,3,0)/1000</f>
        <v>0</v>
      </c>
      <c r="BG9" s="38">
        <f>VLOOKUP($C9,Segment!$I$460:$N$531,3,0)/1000</f>
        <v>0</v>
      </c>
      <c r="BH9" s="38">
        <f>VLOOKUP($C9,Segment!$P$460:$U$531,3,0)/1000</f>
        <v>0</v>
      </c>
      <c r="BI9" s="38">
        <f>VLOOKUP($C9,Segment!$AD$460:$AI$531,3,0)/1000</f>
        <v>0</v>
      </c>
      <c r="BJ9" s="38">
        <f>VLOOKUP($C9,Segment!$AK$460:$AP$531,3,0)/1000</f>
        <v>0</v>
      </c>
      <c r="BL9" s="38"/>
      <c r="BM9" s="38">
        <f>VLOOKUP($C9,Segment!$AK$152:$AP$223,4,0)/1000</f>
        <v>0</v>
      </c>
      <c r="BN9" s="38">
        <f>VLOOKUP($C9,Segment!$I$229:$N$300,4,0)/1000</f>
        <v>0</v>
      </c>
      <c r="BO9" s="38">
        <f>VLOOKUP($C9,Segment!$P$229:$U$300,4,0)/1000</f>
        <v>0</v>
      </c>
      <c r="BP9" s="38">
        <f>VLOOKUP($C9,Segment!$AD$229:$AI$300,4,0)/1000</f>
        <v>0</v>
      </c>
      <c r="BQ9" s="38">
        <f>VLOOKUP($C9,Segment!$AK$229:$AP$300,4,0)/1000</f>
        <v>0</v>
      </c>
      <c r="BR9" s="38">
        <f>VLOOKUP($C9,Segment!$I$306:$N$377,4,0)/1000</f>
        <v>0</v>
      </c>
      <c r="BS9" s="38">
        <f>VLOOKUP($C9,Segment!$P$306:$U$377,4,0)/1000</f>
        <v>0</v>
      </c>
      <c r="BT9" s="38">
        <f>VLOOKUP($C9,Segment!$AD$306:$AI$377,4,0)/1000</f>
        <v>0</v>
      </c>
      <c r="BU9" s="38">
        <f>VLOOKUP($C9,Segment!$AK$306:$AP$377,4,0)/1000</f>
        <v>0</v>
      </c>
      <c r="BV9" s="38">
        <f>VLOOKUP($C9,Segment!$I$383:$N$454,4,0)/1000</f>
        <v>0</v>
      </c>
      <c r="BW9" s="38">
        <f>VLOOKUP($C9,Segment!$P$383:$U$454,4,0)/1000</f>
        <v>0</v>
      </c>
      <c r="BX9" s="38">
        <f>VLOOKUP($C9,Segment!$AD$383:$AI$454,4,0)/1000</f>
        <v>0</v>
      </c>
      <c r="BY9" s="38">
        <f>VLOOKUP($C9,Segment!$AK$383:$AP$454,4,0)/1000</f>
        <v>0</v>
      </c>
      <c r="BZ9" s="38">
        <f>VLOOKUP($C9,Segment!$I$460:$N$531,4,0)/1000</f>
        <v>0</v>
      </c>
      <c r="CA9" s="38">
        <f>VLOOKUP($C9,Segment!$P$460:$U$531,4,0)/1000</f>
        <v>0</v>
      </c>
      <c r="CB9" s="38">
        <f>VLOOKUP($C9,Segment!$AD$460:$AI$531,4,0)/1000</f>
        <v>0</v>
      </c>
      <c r="CC9" s="38">
        <f>VLOOKUP($C9,Segment!$AK$460:$AP$531,4,0)/1000</f>
        <v>0</v>
      </c>
      <c r="CE9" s="38"/>
      <c r="CF9" s="38">
        <f t="shared" ref="CF9:CO10" si="13">AT9+BM9</f>
        <v>0</v>
      </c>
      <c r="CG9" s="38">
        <f t="shared" si="13"/>
        <v>0</v>
      </c>
      <c r="CH9" s="38">
        <f t="shared" si="13"/>
        <v>0</v>
      </c>
      <c r="CI9" s="38">
        <f t="shared" si="13"/>
        <v>0</v>
      </c>
      <c r="CJ9" s="38">
        <f t="shared" si="13"/>
        <v>0</v>
      </c>
      <c r="CK9" s="38">
        <f t="shared" si="13"/>
        <v>0</v>
      </c>
      <c r="CL9" s="38">
        <f t="shared" si="13"/>
        <v>0</v>
      </c>
      <c r="CM9" s="38">
        <f t="shared" si="13"/>
        <v>0</v>
      </c>
      <c r="CN9" s="38">
        <f t="shared" si="13"/>
        <v>0</v>
      </c>
      <c r="CO9" s="38">
        <f t="shared" si="13"/>
        <v>0</v>
      </c>
      <c r="CP9" s="38">
        <f t="shared" ref="CP9:CV10" si="14">BD9+BW9</f>
        <v>0</v>
      </c>
      <c r="CQ9" s="38">
        <f t="shared" si="14"/>
        <v>0</v>
      </c>
      <c r="CR9" s="38">
        <f t="shared" si="14"/>
        <v>0</v>
      </c>
      <c r="CS9" s="38">
        <f t="shared" si="14"/>
        <v>0</v>
      </c>
      <c r="CT9" s="38">
        <f t="shared" si="14"/>
        <v>0</v>
      </c>
      <c r="CU9" s="38">
        <f t="shared" si="14"/>
        <v>0</v>
      </c>
      <c r="CV9" s="38">
        <f t="shared" si="14"/>
        <v>0</v>
      </c>
      <c r="CY9" s="38"/>
      <c r="CZ9" s="38">
        <f>VLOOKUP($C9,Segment!$AK$152:$AP$223,5,0)/1000</f>
        <v>0</v>
      </c>
      <c r="DA9" s="38">
        <f>VLOOKUP($C9,Segment!$I$229:$N$300,5,0)/1000</f>
        <v>0</v>
      </c>
      <c r="DB9" s="38">
        <f>VLOOKUP($C9,Segment!$P$229:$U$300,5,0)/1000</f>
        <v>0</v>
      </c>
      <c r="DC9" s="38">
        <f>VLOOKUP($C9,Segment!$AD$229:$AI$300,5,0)/1000</f>
        <v>0</v>
      </c>
      <c r="DD9" s="38">
        <f>VLOOKUP($C9,Segment!$AK$229:$AP$300,5,0)/1000</f>
        <v>0</v>
      </c>
      <c r="DE9" s="38">
        <f>VLOOKUP($C9,Segment!$I$306:$N$377,5,0)/1000</f>
        <v>0</v>
      </c>
      <c r="DF9" s="38">
        <f>VLOOKUP($C9,Segment!$P$306:$U$377,5,0)/1000</f>
        <v>0</v>
      </c>
      <c r="DG9" s="38">
        <f>VLOOKUP($C9,Segment!$AD$306:$AI$377,5,0)/1000</f>
        <v>0</v>
      </c>
      <c r="DH9" s="38">
        <f>VLOOKUP($C9,Segment!$AK$306:$AP$377,5,0)/1000</f>
        <v>0</v>
      </c>
      <c r="DI9" s="38">
        <f>VLOOKUP($C9,Segment!$I$383:$N$454,5,0)/1000</f>
        <v>0</v>
      </c>
      <c r="DJ9" s="38">
        <f>VLOOKUP($C9,Segment!$P$383:$U$454,5,0)/1000</f>
        <v>0</v>
      </c>
      <c r="DK9" s="38">
        <f>VLOOKUP($C9,Segment!$AD$383:$AI$454,5,0)/1000</f>
        <v>0</v>
      </c>
      <c r="DL9" s="38">
        <f>VLOOKUP($C9,Segment!$AK$383:$AP$454,5,0)/1000</f>
        <v>0</v>
      </c>
      <c r="DM9" s="38">
        <f>VLOOKUP($C9,Segment!$I$460:$N$531,5,0)/1000</f>
        <v>0</v>
      </c>
      <c r="DN9" s="38">
        <f>VLOOKUP($C9,Segment!$P$460:$U$531,5,0)/1000</f>
        <v>0</v>
      </c>
      <c r="DO9" s="38">
        <f>VLOOKUP($C9,Segment!$AD$460:$AI$531,5,0)/1000</f>
        <v>0</v>
      </c>
      <c r="DP9" s="38">
        <f>VLOOKUP($C9,Segment!$AK$460:$AP$531,5,0)/1000</f>
        <v>0</v>
      </c>
    </row>
    <row r="10" spans="2:120" x14ac:dyDescent="0.3">
      <c r="C10" s="36" t="s">
        <v>87</v>
      </c>
      <c r="E10" s="38"/>
      <c r="F10" s="38">
        <f>VLOOKUP($C10,Segment!$AK$152:$AP$223,6,0)/1000</f>
        <v>0</v>
      </c>
      <c r="G10" s="38">
        <f>VLOOKUP($C10,Segment!$I$229:$N$300,6,0)/1000</f>
        <v>-530.84500000000003</v>
      </c>
      <c r="H10" s="38">
        <f>VLOOKUP($C10,Segment!$P$229:$U$300,6,0)/1000</f>
        <v>-4339.3518600000007</v>
      </c>
      <c r="I10" s="38">
        <f>VLOOKUP($C10,Segment!$AD$229:$AI$300,6,0)/1000</f>
        <v>-6556.626839999999</v>
      </c>
      <c r="J10" s="38">
        <f>VLOOKUP($C10,Segment!$AK$229:$AP$300,6,0)/1000</f>
        <v>-21194.597029999997</v>
      </c>
      <c r="K10" s="38">
        <f>VLOOKUP($C10,Segment!$I$306:$N$377,6,0)/1000</f>
        <v>-20285.28168</v>
      </c>
      <c r="L10" s="203">
        <f>VLOOKUP($C10,Segment!$P$306:$U$377,6,0)/1000</f>
        <v>-30694.88622</v>
      </c>
      <c r="M10" s="203">
        <f>VLOOKUP($C10,Segment!$AD$306:$AI$377,6,0)/1000</f>
        <v>-46771.097989999987</v>
      </c>
      <c r="N10" s="203">
        <f>VLOOKUP($C10,Segment!$AK$306:$AP$377,6,0)/1000</f>
        <v>-54722.74374000002</v>
      </c>
      <c r="O10" s="203">
        <f>VLOOKUP($C10,Segment!$I$383:$N$454,6,0)/1000</f>
        <v>-60229.089180000003</v>
      </c>
      <c r="P10" s="203">
        <f>VLOOKUP($C10,Segment!$P$383:$U$454,6,0)/1000</f>
        <v>-81615.381180000011</v>
      </c>
      <c r="Q10" s="203">
        <f>VLOOKUP($C10,Segment!$AD$383:$AI$454,6,0)/1000</f>
        <v>-108671.15677999998</v>
      </c>
      <c r="R10" s="203">
        <f>VLOOKUP($C10,Segment!$AK$383:$AP$454,6,0)/1000</f>
        <v>-80720.153700000054</v>
      </c>
      <c r="S10" s="203">
        <f>VLOOKUP($C10,Segment!$I$460:$N$531,6,0)/1000</f>
        <v>-101021.8792</v>
      </c>
      <c r="T10" s="203">
        <f>VLOOKUP($C10,Segment!$P$460:$U$531,6,0)/1000</f>
        <v>-37646.264360000001</v>
      </c>
      <c r="U10" s="203">
        <f>VLOOKUP($C10,Segment!$AD$460:$AI$531,6,0)/1000</f>
        <v>-63198.925979999993</v>
      </c>
      <c r="V10" s="203">
        <f>VLOOKUP($C10,Segment!$AK$460:$AP$531,6,0)/1000</f>
        <v>-59802.193729999992</v>
      </c>
      <c r="W10" s="132">
        <f t="shared" si="9"/>
        <v>-0.25914172621304177</v>
      </c>
      <c r="Y10" s="38"/>
      <c r="Z10" s="38">
        <f>VLOOKUP($C10,Segment!$AK$152:$AP$223,2,0)/1000</f>
        <v>0</v>
      </c>
      <c r="AA10" s="38">
        <f>VLOOKUP($C10,Segment!$I$229:$N$300,2,0)/1000</f>
        <v>-530.84500000000003</v>
      </c>
      <c r="AB10" s="38">
        <f>VLOOKUP($C10,Segment!$P$229:$U$300,2,0)/1000</f>
        <v>-4339.3518600000007</v>
      </c>
      <c r="AC10" s="38">
        <f>VLOOKUP($C10,Segment!$AD$229:$AI$300,2,0)/1000</f>
        <v>-6556.626839999999</v>
      </c>
      <c r="AD10" s="38">
        <f>VLOOKUP($C10,Segment!$AK$229:$AP$300,2,0)/1000</f>
        <v>-21194.597029999997</v>
      </c>
      <c r="AE10" s="38">
        <f>VLOOKUP($C10,Segment!$I$306:$N$377,2,0)/1000</f>
        <v>-20285.28168</v>
      </c>
      <c r="AF10" s="38">
        <f>VLOOKUP($C10,Segment!$P$306:$U$377,2,0)/1000</f>
        <v>-30694.88622</v>
      </c>
      <c r="AG10" s="38">
        <f>VLOOKUP($C10,Segment!$AD$306:$AI$377,2,0)/1000</f>
        <v>-46771.097989999987</v>
      </c>
      <c r="AH10" s="38">
        <f>VLOOKUP($C10,Segment!$AK$306:$AP$377,2,0)/1000</f>
        <v>-54722.74374000002</v>
      </c>
      <c r="AI10" s="38">
        <f>VLOOKUP($C10,Segment!$I$383:$N$454,2,0)/1000</f>
        <v>-60229.089180000003</v>
      </c>
      <c r="AJ10" s="38">
        <f>VLOOKUP($C10,Segment!$P$383:$U$454,2,0)/1000</f>
        <v>-81615.381180000011</v>
      </c>
      <c r="AK10" s="38">
        <f>VLOOKUP($C10,Segment!$AD$383:$AI$454,2,0)/1000</f>
        <v>-108671.15677999998</v>
      </c>
      <c r="AL10" s="38">
        <f>VLOOKUP($C10,Segment!$AK$383:$AP$454,2,0)/1000</f>
        <v>-80720.153700000054</v>
      </c>
      <c r="AM10" s="38">
        <f>VLOOKUP($C10,Segment!$I$460:$N$531,2,0)/1000</f>
        <v>-101021.8792</v>
      </c>
      <c r="AN10" s="38">
        <f>VLOOKUP($C10,Segment!$P$460:$U$531,2,0)/1000</f>
        <v>-37646.264360000001</v>
      </c>
      <c r="AO10" s="38">
        <f>VLOOKUP($C10,Segment!$AD$460:$AI$531,2,0)/1000</f>
        <v>-63198.925979999993</v>
      </c>
      <c r="AP10" s="38">
        <f>VLOOKUP($C10,Segment!$AK$460:$AP$531,2,0)/1000</f>
        <v>-59802.193729999992</v>
      </c>
      <c r="AQ10" s="132">
        <f>AP10/AL10-1</f>
        <v>-0.25914172621304177</v>
      </c>
      <c r="AS10" s="38"/>
      <c r="AT10" s="38">
        <f>VLOOKUP($C10,Segment!$AK$152:$AP$223,3,0)/1000</f>
        <v>0</v>
      </c>
      <c r="AU10" s="38">
        <f>VLOOKUP($C10,Segment!$I$229:$N$300,3,0)/1000</f>
        <v>0</v>
      </c>
      <c r="AV10" s="38">
        <f>VLOOKUP($C10,Segment!$P$229:$U$300,3,0)/1000</f>
        <v>0</v>
      </c>
      <c r="AW10" s="38">
        <f>VLOOKUP($C10,Segment!$AD$229:$AI$300,3,0)/1000</f>
        <v>0</v>
      </c>
      <c r="AX10" s="38">
        <f>VLOOKUP($C10,Segment!$AK$229:$AP$300,3,0)/1000</f>
        <v>0</v>
      </c>
      <c r="AY10" s="38">
        <f>VLOOKUP($C10,Segment!$I$306:$N$377,3,0)/1000</f>
        <v>0</v>
      </c>
      <c r="AZ10" s="38">
        <f>VLOOKUP($C10,Segment!$P$306:$U$377,3,0)/1000</f>
        <v>0</v>
      </c>
      <c r="BA10" s="38">
        <f>VLOOKUP($C10,Segment!$AD$306:$AI$377,3,0)/1000</f>
        <v>0</v>
      </c>
      <c r="BB10" s="38">
        <f>VLOOKUP($C10,Segment!$AK$306:$AP$377,3,0)/1000</f>
        <v>0</v>
      </c>
      <c r="BC10" s="38">
        <f>VLOOKUP($C10,Segment!$I$383:$N$454,3,0)/1000</f>
        <v>0</v>
      </c>
      <c r="BD10" s="38">
        <f>VLOOKUP($C10,Segment!$P$383:$U$454,3,0)/1000</f>
        <v>0</v>
      </c>
      <c r="BE10" s="38">
        <f>VLOOKUP($C10,Segment!$AD$383:$AI$454,3,0)/1000</f>
        <v>0</v>
      </c>
      <c r="BF10" s="38">
        <f>VLOOKUP($C10,Segment!$AK$383:$AP$454,3,0)/1000</f>
        <v>0</v>
      </c>
      <c r="BG10" s="38">
        <f>VLOOKUP($C10,Segment!$I$460:$N$531,3,0)/1000</f>
        <v>0</v>
      </c>
      <c r="BH10" s="38">
        <f>VLOOKUP($C10,Segment!$P$460:$U$531,3,0)/1000</f>
        <v>0</v>
      </c>
      <c r="BI10" s="38">
        <f>VLOOKUP($C10,Segment!$AD$460:$AI$531,3,0)/1000</f>
        <v>0</v>
      </c>
      <c r="BJ10" s="38">
        <f>VLOOKUP($C10,Segment!$AK$460:$AP$531,3,0)/1000</f>
        <v>0</v>
      </c>
      <c r="BL10" s="38"/>
      <c r="BM10" s="38">
        <f>VLOOKUP($C10,Segment!$AK$152:$AP$223,4,0)/1000</f>
        <v>0</v>
      </c>
      <c r="BN10" s="38">
        <f>VLOOKUP($C10,Segment!$I$229:$N$300,4,0)/1000</f>
        <v>0</v>
      </c>
      <c r="BO10" s="38">
        <f>VLOOKUP($C10,Segment!$P$229:$U$300,4,0)/1000</f>
        <v>0</v>
      </c>
      <c r="BP10" s="38">
        <f>VLOOKUP($C10,Segment!$AD$229:$AI$300,4,0)/1000</f>
        <v>0</v>
      </c>
      <c r="BQ10" s="38">
        <f>VLOOKUP($C10,Segment!$AK$229:$AP$300,4,0)/1000</f>
        <v>0</v>
      </c>
      <c r="BR10" s="38">
        <f>VLOOKUP($C10,Segment!$I$306:$N$377,4,0)/1000</f>
        <v>0</v>
      </c>
      <c r="BS10" s="38">
        <f>VLOOKUP($C10,Segment!$P$306:$U$377,4,0)/1000</f>
        <v>0</v>
      </c>
      <c r="BT10" s="38">
        <f>VLOOKUP($C10,Segment!$AD$306:$AI$377,4,0)/1000</f>
        <v>0</v>
      </c>
      <c r="BU10" s="38">
        <f>VLOOKUP($C10,Segment!$AK$306:$AP$377,4,0)/1000</f>
        <v>0</v>
      </c>
      <c r="BV10" s="38">
        <f>VLOOKUP($C10,Segment!$I$383:$N$454,4,0)/1000</f>
        <v>0</v>
      </c>
      <c r="BW10" s="38">
        <f>VLOOKUP($C10,Segment!$P$383:$U$454,4,0)/1000</f>
        <v>0</v>
      </c>
      <c r="BX10" s="38">
        <f>VLOOKUP($C10,Segment!$AD$383:$AI$454,4,0)/1000</f>
        <v>0</v>
      </c>
      <c r="BY10" s="38">
        <f>VLOOKUP($C10,Segment!$AK$383:$AP$454,4,0)/1000</f>
        <v>0</v>
      </c>
      <c r="BZ10" s="38">
        <f>VLOOKUP($C10,Segment!$I$460:$N$531,4,0)/1000</f>
        <v>0</v>
      </c>
      <c r="CA10" s="38">
        <f>VLOOKUP($C10,Segment!$P$460:$U$531,4,0)/1000</f>
        <v>0</v>
      </c>
      <c r="CB10" s="38">
        <f>VLOOKUP($C10,Segment!$AD$460:$AI$531,4,0)/1000</f>
        <v>0</v>
      </c>
      <c r="CC10" s="38">
        <f>VLOOKUP($C10,Segment!$AK$460:$AP$531,4,0)/1000</f>
        <v>0</v>
      </c>
      <c r="CE10" s="38"/>
      <c r="CF10" s="38">
        <f t="shared" si="13"/>
        <v>0</v>
      </c>
      <c r="CG10" s="38">
        <f t="shared" si="13"/>
        <v>0</v>
      </c>
      <c r="CH10" s="38">
        <f t="shared" si="13"/>
        <v>0</v>
      </c>
      <c r="CI10" s="38">
        <f t="shared" si="13"/>
        <v>0</v>
      </c>
      <c r="CJ10" s="38">
        <f t="shared" si="13"/>
        <v>0</v>
      </c>
      <c r="CK10" s="38">
        <f t="shared" si="13"/>
        <v>0</v>
      </c>
      <c r="CL10" s="38">
        <f t="shared" si="13"/>
        <v>0</v>
      </c>
      <c r="CM10" s="38">
        <f t="shared" si="13"/>
        <v>0</v>
      </c>
      <c r="CN10" s="38">
        <f t="shared" si="13"/>
        <v>0</v>
      </c>
      <c r="CO10" s="38">
        <f t="shared" si="13"/>
        <v>0</v>
      </c>
      <c r="CP10" s="38">
        <f t="shared" si="14"/>
        <v>0</v>
      </c>
      <c r="CQ10" s="38">
        <f t="shared" si="14"/>
        <v>0</v>
      </c>
      <c r="CR10" s="38">
        <f t="shared" si="14"/>
        <v>0</v>
      </c>
      <c r="CS10" s="38">
        <f t="shared" si="14"/>
        <v>0</v>
      </c>
      <c r="CT10" s="38">
        <f t="shared" si="14"/>
        <v>0</v>
      </c>
      <c r="CU10" s="38">
        <f t="shared" si="14"/>
        <v>0</v>
      </c>
      <c r="CV10" s="38">
        <f t="shared" si="14"/>
        <v>0</v>
      </c>
      <c r="CY10" s="38"/>
      <c r="CZ10" s="38">
        <f>VLOOKUP($C10,Segment!$AK$152:$AP$223,5,0)/1000</f>
        <v>0</v>
      </c>
      <c r="DA10" s="38">
        <f>VLOOKUP($C10,Segment!$I$229:$N$300,5,0)/1000</f>
        <v>0</v>
      </c>
      <c r="DB10" s="38">
        <f>VLOOKUP($C10,Segment!$P$229:$U$300,5,0)/1000</f>
        <v>0</v>
      </c>
      <c r="DC10" s="38">
        <f>VLOOKUP($C10,Segment!$AD$229:$AI$300,5,0)/1000</f>
        <v>0</v>
      </c>
      <c r="DD10" s="38">
        <f>VLOOKUP($C10,Segment!$AK$229:$AP$300,5,0)/1000</f>
        <v>0</v>
      </c>
      <c r="DE10" s="38">
        <f>VLOOKUP($C10,Segment!$I$306:$N$377,5,0)/1000</f>
        <v>0</v>
      </c>
      <c r="DF10" s="38">
        <f>VLOOKUP($C10,Segment!$P$306:$U$377,5,0)/1000</f>
        <v>0</v>
      </c>
      <c r="DG10" s="38">
        <f>VLOOKUP($C10,Segment!$AD$306:$AI$377,5,0)/1000</f>
        <v>0</v>
      </c>
      <c r="DH10" s="38">
        <f>VLOOKUP($C10,Segment!$AK$306:$AP$377,5,0)/1000</f>
        <v>0</v>
      </c>
      <c r="DI10" s="38">
        <f>VLOOKUP($C10,Segment!$I$383:$N$454,5,0)/1000</f>
        <v>0</v>
      </c>
      <c r="DJ10" s="38">
        <f>VLOOKUP($C10,Segment!$P$383:$U$454,5,0)/1000</f>
        <v>0</v>
      </c>
      <c r="DK10" s="38">
        <f>VLOOKUP($C10,Segment!$AD$383:$AI$454,5,0)/1000</f>
        <v>0</v>
      </c>
      <c r="DL10" s="38">
        <f>VLOOKUP($C10,Segment!$AK$383:$AP$454,5,0)/1000</f>
        <v>0</v>
      </c>
      <c r="DM10" s="38">
        <f>VLOOKUP($C10,Segment!$I$460:$N$531,5,0)/1000</f>
        <v>0</v>
      </c>
      <c r="DN10" s="38">
        <f>VLOOKUP($C10,Segment!$P$460:$U$531,5,0)/1000</f>
        <v>0</v>
      </c>
      <c r="DO10" s="38">
        <f>VLOOKUP($C10,Segment!$AD$460:$AI$531,5,0)/1000</f>
        <v>0</v>
      </c>
      <c r="DP10" s="38">
        <f>VLOOKUP($C10,Segment!$AK$460:$AP$531,5,0)/1000</f>
        <v>0</v>
      </c>
    </row>
    <row r="11" spans="2:120" x14ac:dyDescent="0.3">
      <c r="C11" s="43" t="s">
        <v>18</v>
      </c>
      <c r="D11" s="111"/>
      <c r="E11" s="44"/>
      <c r="F11" s="44">
        <f t="shared" ref="F11:M11" si="15">F5+F7+F9+F10</f>
        <v>171875.24031800011</v>
      </c>
      <c r="G11" s="44">
        <f t="shared" si="15"/>
        <v>111406.07133600001</v>
      </c>
      <c r="H11" s="44">
        <f t="shared" si="15"/>
        <v>140212.35917971988</v>
      </c>
      <c r="I11" s="44">
        <f t="shared" si="15"/>
        <v>163798.48276980018</v>
      </c>
      <c r="J11" s="44">
        <f t="shared" si="15"/>
        <v>183203.76114443989</v>
      </c>
      <c r="K11" s="44">
        <f t="shared" si="15"/>
        <v>204585.38232661999</v>
      </c>
      <c r="L11" s="44">
        <f t="shared" si="15"/>
        <v>189514.48833849997</v>
      </c>
      <c r="M11" s="44">
        <f t="shared" si="15"/>
        <v>119745.93607642001</v>
      </c>
      <c r="N11" s="44">
        <f t="shared" ref="N11:V11" si="16">N5+N7+N9+N10</f>
        <v>283272.81852034002</v>
      </c>
      <c r="O11" s="44">
        <f t="shared" si="16"/>
        <v>275333.82506042003</v>
      </c>
      <c r="P11" s="44">
        <f t="shared" si="16"/>
        <v>296545.19482443994</v>
      </c>
      <c r="Q11" s="44">
        <f t="shared" si="16"/>
        <v>249898.01310808008</v>
      </c>
      <c r="R11" s="44">
        <f t="shared" si="16"/>
        <v>187569.4414350201</v>
      </c>
      <c r="S11" s="44">
        <f t="shared" si="16"/>
        <v>93807.308723919967</v>
      </c>
      <c r="T11" s="44">
        <f t="shared" si="16"/>
        <v>232830.51788119998</v>
      </c>
      <c r="U11" s="44">
        <f t="shared" si="16"/>
        <v>308155.02827525995</v>
      </c>
      <c r="V11" s="44">
        <f t="shared" si="16"/>
        <v>356056.81040265993</v>
      </c>
      <c r="W11" s="170">
        <f t="shared" si="9"/>
        <v>0.89826662423585191</v>
      </c>
      <c r="X11" s="132"/>
      <c r="Y11" s="44"/>
      <c r="Z11" s="44">
        <f t="shared" ref="Z11:AG11" si="17">Z5+Z7+Z9+Z10</f>
        <v>171875.24031800011</v>
      </c>
      <c r="AA11" s="44">
        <f t="shared" si="17"/>
        <v>111406.07133600001</v>
      </c>
      <c r="AB11" s="44">
        <f t="shared" si="17"/>
        <v>140212.35917971988</v>
      </c>
      <c r="AC11" s="44">
        <f t="shared" si="17"/>
        <v>163798.48276980018</v>
      </c>
      <c r="AD11" s="44">
        <f t="shared" si="17"/>
        <v>183203.76114443989</v>
      </c>
      <c r="AE11" s="44">
        <f t="shared" si="17"/>
        <v>204585.38232661999</v>
      </c>
      <c r="AF11" s="44">
        <f t="shared" si="17"/>
        <v>189514.48833849997</v>
      </c>
      <c r="AG11" s="44">
        <f t="shared" si="17"/>
        <v>119745.93607642001</v>
      </c>
      <c r="AH11" s="44">
        <f t="shared" ref="AH11:AP11" si="18">AH5+AH7+AH9+AH10</f>
        <v>283272.81852034002</v>
      </c>
      <c r="AI11" s="44">
        <f t="shared" si="18"/>
        <v>275333.82506042003</v>
      </c>
      <c r="AJ11" s="44">
        <f t="shared" si="18"/>
        <v>296545.19482443994</v>
      </c>
      <c r="AK11" s="44">
        <f t="shared" si="18"/>
        <v>249898.01310808008</v>
      </c>
      <c r="AL11" s="44">
        <f t="shared" si="18"/>
        <v>187569.4414350201</v>
      </c>
      <c r="AM11" s="44">
        <f t="shared" si="18"/>
        <v>93807.308723919967</v>
      </c>
      <c r="AN11" s="44">
        <f t="shared" si="18"/>
        <v>232830.51788119998</v>
      </c>
      <c r="AO11" s="44">
        <f t="shared" si="18"/>
        <v>308155.02827525995</v>
      </c>
      <c r="AP11" s="44">
        <f t="shared" si="18"/>
        <v>356056.81040265993</v>
      </c>
      <c r="AQ11" s="170">
        <f>AP11/AL11-1</f>
        <v>0.89826662423585191</v>
      </c>
      <c r="AR11" s="132"/>
      <c r="AS11" s="44"/>
      <c r="AT11" s="44">
        <f t="shared" ref="AT11:BA11" si="19">AT5+AT7+AT9+AT10</f>
        <v>0</v>
      </c>
      <c r="AU11" s="44">
        <f t="shared" si="19"/>
        <v>0</v>
      </c>
      <c r="AV11" s="44">
        <f t="shared" si="19"/>
        <v>0</v>
      </c>
      <c r="AW11" s="44">
        <f t="shared" si="19"/>
        <v>0</v>
      </c>
      <c r="AX11" s="44">
        <f t="shared" si="19"/>
        <v>0</v>
      </c>
      <c r="AY11" s="44">
        <f t="shared" si="19"/>
        <v>0</v>
      </c>
      <c r="AZ11" s="44">
        <f t="shared" si="19"/>
        <v>0</v>
      </c>
      <c r="BA11" s="44">
        <f t="shared" si="19"/>
        <v>0</v>
      </c>
      <c r="BB11" s="44">
        <f t="shared" ref="BB11:BJ11" si="20">BB5+BB7+BB9+BB10</f>
        <v>0</v>
      </c>
      <c r="BC11" s="44">
        <f t="shared" si="20"/>
        <v>0</v>
      </c>
      <c r="BD11" s="44">
        <f t="shared" si="20"/>
        <v>0</v>
      </c>
      <c r="BE11" s="44">
        <f t="shared" si="20"/>
        <v>0</v>
      </c>
      <c r="BF11" s="44">
        <f t="shared" si="20"/>
        <v>0</v>
      </c>
      <c r="BG11" s="44">
        <f t="shared" si="20"/>
        <v>0</v>
      </c>
      <c r="BH11" s="44">
        <f t="shared" si="20"/>
        <v>0</v>
      </c>
      <c r="BI11" s="44">
        <f t="shared" si="20"/>
        <v>0</v>
      </c>
      <c r="BJ11" s="44">
        <f t="shared" si="20"/>
        <v>0</v>
      </c>
      <c r="BL11" s="44"/>
      <c r="BM11" s="44">
        <f t="shared" ref="BM11:BT11" si="21">BM5+BM7+BM9+BM10</f>
        <v>0</v>
      </c>
      <c r="BN11" s="44">
        <f t="shared" si="21"/>
        <v>0</v>
      </c>
      <c r="BO11" s="44">
        <f t="shared" si="21"/>
        <v>0</v>
      </c>
      <c r="BP11" s="44">
        <f t="shared" si="21"/>
        <v>0</v>
      </c>
      <c r="BQ11" s="44">
        <f t="shared" si="21"/>
        <v>0</v>
      </c>
      <c r="BR11" s="44">
        <f t="shared" si="21"/>
        <v>0</v>
      </c>
      <c r="BS11" s="44">
        <f t="shared" si="21"/>
        <v>0</v>
      </c>
      <c r="BT11" s="44">
        <f t="shared" si="21"/>
        <v>0</v>
      </c>
      <c r="BU11" s="44">
        <f t="shared" ref="BU11:CC11" si="22">BU5+BU7+BU9+BU10</f>
        <v>0</v>
      </c>
      <c r="BV11" s="44">
        <f t="shared" si="22"/>
        <v>0</v>
      </c>
      <c r="BW11" s="44">
        <f t="shared" si="22"/>
        <v>0</v>
      </c>
      <c r="BX11" s="44">
        <f t="shared" si="22"/>
        <v>0</v>
      </c>
      <c r="BY11" s="44">
        <f t="shared" si="22"/>
        <v>0</v>
      </c>
      <c r="BZ11" s="44">
        <f t="shared" si="22"/>
        <v>0</v>
      </c>
      <c r="CA11" s="44">
        <f t="shared" si="22"/>
        <v>0</v>
      </c>
      <c r="CB11" s="44">
        <f t="shared" si="22"/>
        <v>0</v>
      </c>
      <c r="CC11" s="44">
        <f t="shared" si="22"/>
        <v>0</v>
      </c>
      <c r="CE11" s="44"/>
      <c r="CF11" s="44">
        <f t="shared" ref="CF11:CM11" si="23">CF5+CF7+CF9+CF10</f>
        <v>0</v>
      </c>
      <c r="CG11" s="44">
        <f t="shared" si="23"/>
        <v>0</v>
      </c>
      <c r="CH11" s="44">
        <f t="shared" si="23"/>
        <v>0</v>
      </c>
      <c r="CI11" s="44">
        <f t="shared" si="23"/>
        <v>0</v>
      </c>
      <c r="CJ11" s="44">
        <f t="shared" si="23"/>
        <v>0</v>
      </c>
      <c r="CK11" s="44">
        <f t="shared" si="23"/>
        <v>0</v>
      </c>
      <c r="CL11" s="44">
        <f t="shared" si="23"/>
        <v>0</v>
      </c>
      <c r="CM11" s="44">
        <f t="shared" si="23"/>
        <v>0</v>
      </c>
      <c r="CN11" s="44">
        <f t="shared" ref="CN11:CV11" si="24">CN5+CN7+CN9+CN10</f>
        <v>0</v>
      </c>
      <c r="CO11" s="44">
        <f t="shared" si="24"/>
        <v>0</v>
      </c>
      <c r="CP11" s="44">
        <f t="shared" si="24"/>
        <v>0</v>
      </c>
      <c r="CQ11" s="44">
        <f t="shared" si="24"/>
        <v>0</v>
      </c>
      <c r="CR11" s="44">
        <f t="shared" si="24"/>
        <v>0</v>
      </c>
      <c r="CS11" s="44">
        <f t="shared" si="24"/>
        <v>0</v>
      </c>
      <c r="CT11" s="44">
        <f t="shared" si="24"/>
        <v>0</v>
      </c>
      <c r="CU11" s="44">
        <f t="shared" si="24"/>
        <v>0</v>
      </c>
      <c r="CV11" s="44">
        <f t="shared" si="24"/>
        <v>0</v>
      </c>
      <c r="CW11" s="170"/>
      <c r="CY11" s="44"/>
      <c r="CZ11" s="44">
        <f t="shared" ref="CZ11:DG11" si="25">CZ5+CZ7+CZ9+CZ10</f>
        <v>0</v>
      </c>
      <c r="DA11" s="44">
        <f t="shared" si="25"/>
        <v>0</v>
      </c>
      <c r="DB11" s="44">
        <f t="shared" si="25"/>
        <v>0</v>
      </c>
      <c r="DC11" s="44">
        <f t="shared" si="25"/>
        <v>0</v>
      </c>
      <c r="DD11" s="44">
        <f t="shared" si="25"/>
        <v>0</v>
      </c>
      <c r="DE11" s="44">
        <f t="shared" si="25"/>
        <v>0</v>
      </c>
      <c r="DF11" s="44">
        <f t="shared" si="25"/>
        <v>0</v>
      </c>
      <c r="DG11" s="44">
        <f t="shared" si="25"/>
        <v>0</v>
      </c>
      <c r="DH11" s="44">
        <f t="shared" ref="DH11:DP11" si="26">DH5+DH7+DH9+DH10</f>
        <v>0</v>
      </c>
      <c r="DI11" s="44">
        <f t="shared" si="26"/>
        <v>0</v>
      </c>
      <c r="DJ11" s="44">
        <f t="shared" si="26"/>
        <v>0</v>
      </c>
      <c r="DK11" s="44">
        <f t="shared" si="26"/>
        <v>0</v>
      </c>
      <c r="DL11" s="44">
        <f t="shared" si="26"/>
        <v>0</v>
      </c>
      <c r="DM11" s="44">
        <f t="shared" si="26"/>
        <v>0</v>
      </c>
      <c r="DN11" s="44">
        <f t="shared" si="26"/>
        <v>0</v>
      </c>
      <c r="DO11" s="44">
        <f t="shared" si="26"/>
        <v>0</v>
      </c>
      <c r="DP11" s="44">
        <f t="shared" si="26"/>
        <v>0</v>
      </c>
    </row>
    <row r="12" spans="2:120" x14ac:dyDescent="0.3">
      <c r="C12" s="39" t="s">
        <v>56</v>
      </c>
      <c r="D12" s="109"/>
      <c r="E12" s="40"/>
      <c r="F12" s="40">
        <f t="shared" ref="F12:V12" si="27">F11/F$149</f>
        <v>0.13280282299017254</v>
      </c>
      <c r="G12" s="40">
        <f t="shared" si="27"/>
        <v>0.12164784685873023</v>
      </c>
      <c r="H12" s="40">
        <f t="shared" si="27"/>
        <v>0.11541859769686921</v>
      </c>
      <c r="I12" s="40">
        <f t="shared" si="27"/>
        <v>0.14298950594817428</v>
      </c>
      <c r="J12" s="40">
        <f t="shared" si="27"/>
        <v>0.12207122439484692</v>
      </c>
      <c r="K12" s="40">
        <f t="shared" si="27"/>
        <v>0.10827155439804538</v>
      </c>
      <c r="L12" s="40">
        <f t="shared" si="27"/>
        <v>0.15179517102201731</v>
      </c>
      <c r="M12" s="40">
        <f t="shared" si="27"/>
        <v>0.12900875509808105</v>
      </c>
      <c r="N12" s="40">
        <f t="shared" si="27"/>
        <v>0.10791223103522288</v>
      </c>
      <c r="O12" s="40">
        <f t="shared" si="27"/>
        <v>0.11384927286565329</v>
      </c>
      <c r="P12" s="40">
        <f t="shared" si="27"/>
        <v>9.691727683308167E-2</v>
      </c>
      <c r="Q12" s="40">
        <f t="shared" si="27"/>
        <v>9.5235173954706639E-2</v>
      </c>
      <c r="R12" s="40">
        <f t="shared" si="27"/>
        <v>8.8400896202974602E-2</v>
      </c>
      <c r="S12" s="40">
        <f t="shared" si="27"/>
        <v>0.1088597431753978</v>
      </c>
      <c r="T12" s="40">
        <f t="shared" si="27"/>
        <v>0.12892102344246614</v>
      </c>
      <c r="U12" s="40">
        <f t="shared" si="27"/>
        <v>0.22211420681883237</v>
      </c>
      <c r="V12" s="40">
        <f t="shared" si="27"/>
        <v>0.17576989906199295</v>
      </c>
      <c r="W12" s="169"/>
      <c r="Y12" s="40"/>
      <c r="Z12" s="40">
        <f t="shared" ref="Z12:AP12" si="28">Z11/Z$149</f>
        <v>0.13280282299017254</v>
      </c>
      <c r="AA12" s="40">
        <f t="shared" si="28"/>
        <v>0.12164784685873023</v>
      </c>
      <c r="AB12" s="40">
        <f t="shared" si="28"/>
        <v>0.11541859769686921</v>
      </c>
      <c r="AC12" s="40">
        <f t="shared" si="28"/>
        <v>0.14298950594817428</v>
      </c>
      <c r="AD12" s="40">
        <f t="shared" si="28"/>
        <v>0.12207122439484692</v>
      </c>
      <c r="AE12" s="40">
        <f t="shared" si="28"/>
        <v>0.10827155439804538</v>
      </c>
      <c r="AF12" s="40">
        <f t="shared" si="28"/>
        <v>0.15179517102201731</v>
      </c>
      <c r="AG12" s="40">
        <f t="shared" si="28"/>
        <v>0.12900875509808105</v>
      </c>
      <c r="AH12" s="40">
        <f t="shared" si="28"/>
        <v>0.10791223103522288</v>
      </c>
      <c r="AI12" s="40">
        <f t="shared" si="28"/>
        <v>0.11384927286565329</v>
      </c>
      <c r="AJ12" s="40">
        <f t="shared" si="28"/>
        <v>9.691727683308167E-2</v>
      </c>
      <c r="AK12" s="40">
        <f t="shared" si="28"/>
        <v>9.5235173954706639E-2</v>
      </c>
      <c r="AL12" s="40">
        <f t="shared" si="28"/>
        <v>8.8400896202974602E-2</v>
      </c>
      <c r="AM12" s="207">
        <f t="shared" si="28"/>
        <v>0.1088597431753978</v>
      </c>
      <c r="AN12" s="207">
        <f t="shared" si="28"/>
        <v>0.12892102344246614</v>
      </c>
      <c r="AO12" s="207">
        <f t="shared" si="28"/>
        <v>0.22211420681883237</v>
      </c>
      <c r="AP12" s="207">
        <f t="shared" si="28"/>
        <v>0.17576989906199295</v>
      </c>
      <c r="AQ12" s="169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169"/>
      <c r="CY12" s="40"/>
      <c r="CZ12" s="40">
        <f t="shared" ref="CZ12:DP12" si="29">CZ11/CZ$149</f>
        <v>0</v>
      </c>
      <c r="DA12" s="40">
        <f t="shared" si="29"/>
        <v>0</v>
      </c>
      <c r="DB12" s="40">
        <f t="shared" si="29"/>
        <v>0</v>
      </c>
      <c r="DC12" s="40">
        <f t="shared" si="29"/>
        <v>0</v>
      </c>
      <c r="DD12" s="40">
        <f t="shared" si="29"/>
        <v>0</v>
      </c>
      <c r="DE12" s="40">
        <f t="shared" si="29"/>
        <v>0</v>
      </c>
      <c r="DF12" s="40">
        <f t="shared" si="29"/>
        <v>0</v>
      </c>
      <c r="DG12" s="40">
        <f t="shared" si="29"/>
        <v>0</v>
      </c>
      <c r="DH12" s="40">
        <f t="shared" si="29"/>
        <v>0</v>
      </c>
      <c r="DI12" s="40">
        <f t="shared" si="29"/>
        <v>0</v>
      </c>
      <c r="DJ12" s="40">
        <f t="shared" si="29"/>
        <v>0</v>
      </c>
      <c r="DK12" s="40">
        <f t="shared" si="29"/>
        <v>0</v>
      </c>
      <c r="DL12" s="40">
        <f t="shared" si="29"/>
        <v>0</v>
      </c>
      <c r="DM12" s="40">
        <f t="shared" si="29"/>
        <v>0</v>
      </c>
      <c r="DN12" s="40">
        <f t="shared" si="29"/>
        <v>0</v>
      </c>
      <c r="DO12" s="40">
        <f t="shared" si="29"/>
        <v>0</v>
      </c>
      <c r="DP12" s="40">
        <f t="shared" si="29"/>
        <v>0</v>
      </c>
    </row>
    <row r="13" spans="2:120" x14ac:dyDescent="0.3">
      <c r="C13" s="37"/>
      <c r="D13" s="10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256"/>
      <c r="U13" s="37"/>
      <c r="V13" s="37"/>
      <c r="W13" s="171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171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171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</row>
    <row r="14" spans="2:120" x14ac:dyDescent="0.3">
      <c r="C14" s="36" t="s">
        <v>12</v>
      </c>
      <c r="D14" s="110">
        <v>11</v>
      </c>
      <c r="E14" s="38"/>
      <c r="F14" s="38">
        <f>VLOOKUP($C14,Segment!$AK$152:$AP$223,6,0)/1000</f>
        <v>129385.73136000002</v>
      </c>
      <c r="G14" s="38">
        <f>VLOOKUP($C14,Segment!$I$229:$N$300,6,0)/1000</f>
        <v>112421.27899999999</v>
      </c>
      <c r="H14" s="38">
        <f>VLOOKUP($C14,Segment!$P$229:$U$300,6,0)/1000</f>
        <v>104247.51893999991</v>
      </c>
      <c r="I14" s="38">
        <f>VLOOKUP($C14,Segment!$AD$229:$AI$300,6,0)/1000</f>
        <v>119706.15065000007</v>
      </c>
      <c r="J14" s="38">
        <f>VLOOKUP($C14,Segment!$AK$229:$AP$300,6,0)/1000</f>
        <v>129219.96962000015</v>
      </c>
      <c r="K14" s="38">
        <f>VLOOKUP($C14,Segment!$I$306:$N$377,6,0)/1000</f>
        <v>138049.54944000003</v>
      </c>
      <c r="L14" s="203">
        <f>VLOOKUP($C14,Segment!$P$306:$U$377,6,0)/1000</f>
        <v>175285.29880999998</v>
      </c>
      <c r="M14" s="203">
        <f>VLOOKUP($C14,Segment!$AD$306:$AI$377,6,0)/1000</f>
        <v>240304.43248000002</v>
      </c>
      <c r="N14" s="203">
        <f>VLOOKUP($C14,Segment!$AK$306:$AP$377,6,0)/1000</f>
        <v>248292.25330999971</v>
      </c>
      <c r="O14" s="203">
        <f>VLOOKUP($C14,Segment!$I$383:$N$454,6,0)/1000</f>
        <v>285485.57003999996</v>
      </c>
      <c r="P14" s="203">
        <f>VLOOKUP($C14,Segment!$P$383:$U$454,6,0)/1000</f>
        <v>306435.17217000009</v>
      </c>
      <c r="Q14" s="203">
        <f>VLOOKUP($C14,Segment!$AD$383:$AI$454,6,0)/1000</f>
        <v>350664.35306999972</v>
      </c>
      <c r="R14" s="203">
        <f>VLOOKUP($C14,Segment!$AK$383:$AP$454,6,0)/1000</f>
        <v>445466.04672000051</v>
      </c>
      <c r="S14" s="203">
        <f>VLOOKUP($C14,Segment!$I$460:$N$531,6,0)/1000</f>
        <v>551374.93046999979</v>
      </c>
      <c r="T14" s="203">
        <f>VLOOKUP($C14,Segment!$P$460:$U$531,6,0)/1000</f>
        <v>499426.15569000051</v>
      </c>
      <c r="U14" s="203">
        <f>VLOOKUP($C14,Segment!$AD$460:$AI$531,6,0)/1000</f>
        <v>579226.35717999958</v>
      </c>
      <c r="V14" s="203">
        <f>VLOOKUP($C14,Segment!$AK$460:$AP$531,6,0)/1000</f>
        <v>672123.66880999971</v>
      </c>
      <c r="W14" s="132">
        <f t="shared" si="9"/>
        <v>0.50881009621024109</v>
      </c>
      <c r="X14" s="197"/>
      <c r="Y14" s="38"/>
      <c r="Z14" s="38">
        <f>VLOOKUP($C14,Segment!$AK$152:$AP$223,2,0)/1000</f>
        <v>129385.73136000002</v>
      </c>
      <c r="AA14" s="38">
        <f>VLOOKUP($C14,Segment!$I$229:$N$300,2,0)/1000</f>
        <v>112421.27899999999</v>
      </c>
      <c r="AB14" s="38">
        <f>VLOOKUP($C14,Segment!$P$229:$U$300,2,0)/1000</f>
        <v>104247.51893999991</v>
      </c>
      <c r="AC14" s="38">
        <f>VLOOKUP($C14,Segment!$AD$229:$AI$300,2,0)/1000</f>
        <v>119706.15065000007</v>
      </c>
      <c r="AD14" s="38">
        <f>VLOOKUP($C14,Segment!$AK$229:$AP$300,2,0)/1000</f>
        <v>129219.96962000015</v>
      </c>
      <c r="AE14" s="38">
        <f>VLOOKUP($C14,Segment!$I$306:$N$377,2,0)/1000</f>
        <v>138049.54944000003</v>
      </c>
      <c r="AF14" s="38">
        <f>VLOOKUP($C14,Segment!$P$306:$U$377,2,0)/1000</f>
        <v>175285.29880999998</v>
      </c>
      <c r="AG14" s="38">
        <f>VLOOKUP($C14,Segment!$AD$306:$AI$377,2,0)/1000</f>
        <v>240304.43248000002</v>
      </c>
      <c r="AH14" s="38">
        <f>VLOOKUP($C14,Segment!$AK$306:$AP$377,2,0)/1000</f>
        <v>248292.25330999971</v>
      </c>
      <c r="AI14" s="38">
        <f>VLOOKUP($C14,Segment!$I$383:$N$454,2,0)/1000</f>
        <v>285485.57003999996</v>
      </c>
      <c r="AJ14" s="38">
        <f>VLOOKUP($C14,Segment!$P$383:$U$454,2,0)/1000</f>
        <v>306435.17217000009</v>
      </c>
      <c r="AK14" s="38">
        <f>VLOOKUP($C14,Segment!$AD$383:$AI$454,2,0)/1000</f>
        <v>350664.35306999972</v>
      </c>
      <c r="AL14" s="38">
        <f>VLOOKUP($C14,Segment!$AK$383:$AP$454,2,0)/1000</f>
        <v>445466.04672000051</v>
      </c>
      <c r="AM14" s="38">
        <f>VLOOKUP($C14,Segment!$I$460:$N$531,2,0)/1000</f>
        <v>551374.93046999979</v>
      </c>
      <c r="AN14" s="38">
        <f>VLOOKUP($C14,Segment!$P$460:$U$531,2,0)/1000</f>
        <v>499426.15569000051</v>
      </c>
      <c r="AO14" s="38">
        <f>VLOOKUP($C14,Segment!$AD$460:$AI$531,2,0)/1000</f>
        <v>579226.35717999958</v>
      </c>
      <c r="AP14" s="38">
        <f>VLOOKUP($C14,Segment!$AK$460:$AP$531,2,0)/1000</f>
        <v>672123.66880999971</v>
      </c>
      <c r="AQ14" s="132">
        <f>AP14/AL14-1</f>
        <v>0.50881009621024109</v>
      </c>
      <c r="AS14" s="38"/>
      <c r="AT14" s="38">
        <f>VLOOKUP($C14,Segment!$AK$152:$AP$223,3,0)/1000</f>
        <v>0</v>
      </c>
      <c r="AU14" s="38">
        <f>VLOOKUP($C14,Segment!$I$229:$N$300,3,0)/1000</f>
        <v>0</v>
      </c>
      <c r="AV14" s="38">
        <f>VLOOKUP($C14,Segment!$P$229:$U$300,3,0)/1000</f>
        <v>0</v>
      </c>
      <c r="AW14" s="38">
        <f>VLOOKUP($C14,Segment!$AD$229:$AI$300,3,0)/1000</f>
        <v>0</v>
      </c>
      <c r="AX14" s="38">
        <f>VLOOKUP($C14,Segment!$AK$229:$AP$300,3,0)/1000</f>
        <v>0</v>
      </c>
      <c r="AY14" s="38">
        <f>VLOOKUP($C14,Segment!$I$306:$N$377,3,0)/1000</f>
        <v>0</v>
      </c>
      <c r="AZ14" s="38">
        <f>VLOOKUP($C14,Segment!$P$306:$U$377,3,0)/1000</f>
        <v>0</v>
      </c>
      <c r="BA14" s="38">
        <f>VLOOKUP($C14,Segment!$AD$306:$AI$377,3,0)/1000</f>
        <v>0</v>
      </c>
      <c r="BB14" s="38">
        <f>VLOOKUP($C14,Segment!$AK$306:$AP$377,3,0)/1000</f>
        <v>0</v>
      </c>
      <c r="BC14" s="38">
        <f>VLOOKUP($C14,Segment!$I$383:$N$454,3,0)/1000</f>
        <v>0</v>
      </c>
      <c r="BD14" s="38">
        <f>VLOOKUP($C14,Segment!$P$383:$U$454,3,0)/1000</f>
        <v>0</v>
      </c>
      <c r="BE14" s="38">
        <f>VLOOKUP($C14,Segment!$AD$383:$AI$454,3,0)/1000</f>
        <v>0</v>
      </c>
      <c r="BF14" s="38">
        <f>VLOOKUP($C14,Segment!$AK$383:$AP$454,3,0)/1000</f>
        <v>0</v>
      </c>
      <c r="BG14" s="38">
        <f>VLOOKUP($C14,Segment!$I$460:$N$531,3,0)/1000</f>
        <v>0</v>
      </c>
      <c r="BH14" s="38">
        <f>VLOOKUP($C14,Segment!$P$460:$U$531,3,0)/1000</f>
        <v>0</v>
      </c>
      <c r="BI14" s="38">
        <f>VLOOKUP($C14,Segment!$AD$460:$AI$531,3,0)/1000</f>
        <v>0</v>
      </c>
      <c r="BJ14" s="38">
        <f>VLOOKUP($C14,Segment!$AK$460:$AP$531,3,0)/1000</f>
        <v>0</v>
      </c>
      <c r="BL14" s="38"/>
      <c r="BM14" s="38">
        <f>VLOOKUP($C14,Segment!$AK$152:$AP$223,4,0)/1000</f>
        <v>0</v>
      </c>
      <c r="BN14" s="38">
        <f>VLOOKUP($C14,Segment!$I$229:$N$300,4,0)/1000</f>
        <v>0</v>
      </c>
      <c r="BO14" s="38">
        <f>VLOOKUP($C14,Segment!$P$229:$U$300,4,0)/1000</f>
        <v>0</v>
      </c>
      <c r="BP14" s="38">
        <f>VLOOKUP($C14,Segment!$AD$229:$AI$300,4,0)/1000</f>
        <v>0</v>
      </c>
      <c r="BQ14" s="38">
        <f>VLOOKUP($C14,Segment!$AK$229:$AP$300,4,0)/1000</f>
        <v>0</v>
      </c>
      <c r="BR14" s="38">
        <f>VLOOKUP($C14,Segment!$I$306:$N$377,4,0)/1000</f>
        <v>0</v>
      </c>
      <c r="BS14" s="38">
        <f>VLOOKUP($C14,Segment!$P$306:$U$377,4,0)/1000</f>
        <v>0</v>
      </c>
      <c r="BT14" s="38">
        <f>VLOOKUP($C14,Segment!$AD$306:$AI$377,4,0)/1000</f>
        <v>0</v>
      </c>
      <c r="BU14" s="38">
        <f>VLOOKUP($C14,Segment!$AK$306:$AP$377,4,0)/1000</f>
        <v>0</v>
      </c>
      <c r="BV14" s="38">
        <f>VLOOKUP($C14,Segment!$I$383:$N$454,4,0)/1000</f>
        <v>0</v>
      </c>
      <c r="BW14" s="38">
        <f>VLOOKUP($C14,Segment!$P$383:$U$454,4,0)/1000</f>
        <v>0</v>
      </c>
      <c r="BX14" s="38">
        <f>VLOOKUP($C14,Segment!$AD$383:$AI$454,4,0)/1000</f>
        <v>0</v>
      </c>
      <c r="BY14" s="38">
        <f>VLOOKUP($C14,Segment!$AK$383:$AP$454,4,0)/1000</f>
        <v>0</v>
      </c>
      <c r="BZ14" s="38">
        <f>VLOOKUP($C14,Segment!$I$460:$N$531,4,0)/1000</f>
        <v>0</v>
      </c>
      <c r="CA14" s="38">
        <f>VLOOKUP($C14,Segment!$P$460:$U$531,4,0)/1000</f>
        <v>0</v>
      </c>
      <c r="CB14" s="38">
        <f>VLOOKUP($C14,Segment!$AD$460:$AI$531,4,0)/1000</f>
        <v>0</v>
      </c>
      <c r="CC14" s="38">
        <f>VLOOKUP($C14,Segment!$AK$460:$AP$531,4,0)/1000</f>
        <v>0</v>
      </c>
      <c r="CE14" s="38"/>
      <c r="CF14" s="38">
        <f t="shared" ref="CF14:CO15" si="30">AT14+BM14</f>
        <v>0</v>
      </c>
      <c r="CG14" s="38">
        <f t="shared" si="30"/>
        <v>0</v>
      </c>
      <c r="CH14" s="38">
        <f t="shared" si="30"/>
        <v>0</v>
      </c>
      <c r="CI14" s="38">
        <f t="shared" si="30"/>
        <v>0</v>
      </c>
      <c r="CJ14" s="38">
        <f t="shared" si="30"/>
        <v>0</v>
      </c>
      <c r="CK14" s="38">
        <f t="shared" si="30"/>
        <v>0</v>
      </c>
      <c r="CL14" s="38">
        <f t="shared" si="30"/>
        <v>0</v>
      </c>
      <c r="CM14" s="38">
        <f t="shared" si="30"/>
        <v>0</v>
      </c>
      <c r="CN14" s="38">
        <f t="shared" si="30"/>
        <v>0</v>
      </c>
      <c r="CO14" s="38">
        <f t="shared" si="30"/>
        <v>0</v>
      </c>
      <c r="CP14" s="38">
        <f t="shared" ref="CP14:CV15" si="31">BD14+BW14</f>
        <v>0</v>
      </c>
      <c r="CQ14" s="38">
        <f t="shared" si="31"/>
        <v>0</v>
      </c>
      <c r="CR14" s="38">
        <f t="shared" si="31"/>
        <v>0</v>
      </c>
      <c r="CS14" s="38">
        <f t="shared" si="31"/>
        <v>0</v>
      </c>
      <c r="CT14" s="38">
        <f t="shared" si="31"/>
        <v>0</v>
      </c>
      <c r="CU14" s="38">
        <f t="shared" si="31"/>
        <v>0</v>
      </c>
      <c r="CV14" s="38">
        <f t="shared" si="31"/>
        <v>0</v>
      </c>
      <c r="CY14" s="38"/>
      <c r="CZ14" s="38">
        <f>VLOOKUP($C14,Segment!$AK$152:$AP$223,5,0)/1000</f>
        <v>0</v>
      </c>
      <c r="DA14" s="38">
        <f>VLOOKUP($C14,Segment!$I$229:$N$300,5,0)/1000</f>
        <v>0</v>
      </c>
      <c r="DB14" s="38">
        <f>VLOOKUP($C14,Segment!$P$229:$U$300,5,0)/1000</f>
        <v>0</v>
      </c>
      <c r="DC14" s="38">
        <f>VLOOKUP($C14,Segment!$AD$229:$AI$300,5,0)/1000</f>
        <v>0</v>
      </c>
      <c r="DD14" s="38">
        <f>VLOOKUP($C14,Segment!$AK$229:$AP$300,5,0)/1000</f>
        <v>0</v>
      </c>
      <c r="DE14" s="38">
        <f>VLOOKUP($C14,Segment!$I$306:$N$377,5,0)/1000</f>
        <v>0</v>
      </c>
      <c r="DF14" s="38">
        <f>VLOOKUP($C14,Segment!$P$306:$U$377,5,0)/1000</f>
        <v>0</v>
      </c>
      <c r="DG14" s="38">
        <f>VLOOKUP($C14,Segment!$AD$306:$AI$377,5,0)/1000</f>
        <v>0</v>
      </c>
      <c r="DH14" s="38">
        <f>VLOOKUP($C14,Segment!$AK$306:$AP$377,5,0)/1000</f>
        <v>0</v>
      </c>
      <c r="DI14" s="38">
        <f>VLOOKUP($C14,Segment!$I$383:$N$454,5,0)/1000</f>
        <v>0</v>
      </c>
      <c r="DJ14" s="38">
        <f>VLOOKUP($C14,Segment!$P$383:$U$454,5,0)/1000</f>
        <v>0</v>
      </c>
      <c r="DK14" s="38">
        <f>VLOOKUP($C14,Segment!$AD$383:$AI$454,5,0)/1000</f>
        <v>0</v>
      </c>
      <c r="DL14" s="38">
        <f>VLOOKUP($C14,Segment!$AK$383:$AP$454,5,0)/1000</f>
        <v>0</v>
      </c>
      <c r="DM14" s="38">
        <f>VLOOKUP($C14,Segment!$I$460:$N$531,5,0)/1000</f>
        <v>0</v>
      </c>
      <c r="DN14" s="38">
        <f>VLOOKUP($C14,Segment!$P$460:$U$531,5,0)/1000</f>
        <v>0</v>
      </c>
      <c r="DO14" s="38">
        <f>VLOOKUP($C14,Segment!$AD$460:$AI$531,5,0)/1000</f>
        <v>0</v>
      </c>
      <c r="DP14" s="38">
        <f>VLOOKUP($C14,Segment!$AK$460:$AP$531,5,0)/1000</f>
        <v>0</v>
      </c>
    </row>
    <row r="15" spans="2:120" x14ac:dyDescent="0.3">
      <c r="C15" s="36" t="s">
        <v>3</v>
      </c>
      <c r="E15" s="38"/>
      <c r="F15" s="38">
        <f>VLOOKUP($C15,Segment!$AK$152:$AP$223,6,0)/1000</f>
        <v>-46886.971830000046</v>
      </c>
      <c r="G15" s="38">
        <f>VLOOKUP($C15,Segment!$I$229:$N$300,6,0)/1000</f>
        <v>-31421.485000000001</v>
      </c>
      <c r="H15" s="38">
        <f>VLOOKUP($C15,Segment!$P$229:$U$300,6,0)/1000</f>
        <v>-38525.48670999999</v>
      </c>
      <c r="I15" s="38">
        <f>VLOOKUP($C15,Segment!$AD$229:$AI$300,6,0)/1000</f>
        <v>-43288.812720000016</v>
      </c>
      <c r="J15" s="38">
        <f>VLOOKUP($C15,Segment!$AK$229:$AP$300,6,0)/1000</f>
        <v>-47837.173489999957</v>
      </c>
      <c r="K15" s="38">
        <f>VLOOKUP($C15,Segment!$I$306:$N$377,6,0)/1000</f>
        <v>-59044.358759999996</v>
      </c>
      <c r="L15" s="203">
        <f>VLOOKUP($C15,Segment!$P$306:$U$377,6,0)/1000</f>
        <v>-85426.830920000008</v>
      </c>
      <c r="M15" s="203">
        <f>VLOOKUP($C15,Segment!$AD$306:$AI$377,6,0)/1000</f>
        <v>-107319.35113999998</v>
      </c>
      <c r="N15" s="203">
        <f>VLOOKUP($C15,Segment!$AK$306:$AP$377,6,0)/1000</f>
        <v>-143361.62944999992</v>
      </c>
      <c r="O15" s="203">
        <f>VLOOKUP($C15,Segment!$I$383:$N$454,6,0)/1000</f>
        <v>-174629.04746000003</v>
      </c>
      <c r="P15" s="203">
        <f>VLOOKUP($C15,Segment!$P$383:$U$454,6,0)/1000</f>
        <v>-198119.0114600001</v>
      </c>
      <c r="Q15" s="203">
        <f>VLOOKUP($C15,Segment!$AD$383:$AI$454,6,0)/1000</f>
        <v>-208806.84706999996</v>
      </c>
      <c r="R15" s="203">
        <f>VLOOKUP($C15,Segment!$AK$383:$AP$454,6,0)/1000</f>
        <v>-298741.2632999997</v>
      </c>
      <c r="S15" s="203">
        <f>VLOOKUP($C15,Segment!$I$460:$N$531,6,0)/1000</f>
        <v>-334038.73619000003</v>
      </c>
      <c r="T15" s="203">
        <f>VLOOKUP($C15,Segment!$P$460:$U$531,6,0)/1000</f>
        <v>-344570.35153999989</v>
      </c>
      <c r="U15" s="203">
        <f>VLOOKUP($C15,Segment!$AD$460:$AI$531,6,0)/1000</f>
        <v>-357947.55053243885</v>
      </c>
      <c r="V15" s="203">
        <f>VLOOKUP($C15,Segment!$AK$460:$AP$531,6,0)/1000</f>
        <v>-453757.36462353374</v>
      </c>
      <c r="W15" s="132">
        <f t="shared" si="9"/>
        <v>0.51889752226114449</v>
      </c>
      <c r="X15" s="197"/>
      <c r="Y15" s="38"/>
      <c r="Z15" s="38">
        <f>VLOOKUP($C15,Segment!$AK$152:$AP$223,2,0)/1000</f>
        <v>-46886.971830000046</v>
      </c>
      <c r="AA15" s="38">
        <f>VLOOKUP($C15,Segment!$I$229:$N$300,2,0)/1000</f>
        <v>-31421.485000000001</v>
      </c>
      <c r="AB15" s="38">
        <f>VLOOKUP($C15,Segment!$P$229:$U$300,2,0)/1000</f>
        <v>-38525.48670999999</v>
      </c>
      <c r="AC15" s="38">
        <f>VLOOKUP($C15,Segment!$AD$229:$AI$300,2,0)/1000</f>
        <v>-43288.812720000016</v>
      </c>
      <c r="AD15" s="38">
        <f>VLOOKUP($C15,Segment!$AK$229:$AP$300,2,0)/1000</f>
        <v>-47834.824139999953</v>
      </c>
      <c r="AE15" s="38">
        <f>VLOOKUP($C15,Segment!$I$306:$N$377,2,0)/1000</f>
        <v>-59040.067779999998</v>
      </c>
      <c r="AF15" s="38">
        <f>VLOOKUP($C15,Segment!$P$306:$U$377,2,0)/1000</f>
        <v>-85424.836060000001</v>
      </c>
      <c r="AG15" s="38">
        <f>VLOOKUP($C15,Segment!$AD$306:$AI$377,2,0)/1000</f>
        <v>-107297.69932999999</v>
      </c>
      <c r="AH15" s="38">
        <f>VLOOKUP($C15,Segment!$AK$306:$AP$377,2,0)/1000</f>
        <v>-143336.52572999994</v>
      </c>
      <c r="AI15" s="38">
        <f>VLOOKUP($C15,Segment!$I$383:$N$454,2,0)/1000</f>
        <v>-174602.37521000003</v>
      </c>
      <c r="AJ15" s="38">
        <f>VLOOKUP($C15,Segment!$P$383:$U$454,2,0)/1000</f>
        <v>-198098.64445000011</v>
      </c>
      <c r="AK15" s="38">
        <f>VLOOKUP($C15,Segment!$AD$383:$AI$454,2,0)/1000</f>
        <v>-208787.12448999996</v>
      </c>
      <c r="AL15" s="38">
        <f>VLOOKUP($C15,Segment!$AK$383:$AP$454,2,0)/1000</f>
        <v>-298715.08972999972</v>
      </c>
      <c r="AM15" s="38">
        <f>VLOOKUP($C15,Segment!$I$460:$N$531,2,0)/1000</f>
        <v>-334025.95389999996</v>
      </c>
      <c r="AN15" s="38">
        <f>VLOOKUP($C15,Segment!$P$460:$U$531,2,0)/1000</f>
        <v>-344555.77924999991</v>
      </c>
      <c r="AO15" s="38">
        <f>VLOOKUP($C15,Segment!$AD$460:$AI$531,2,0)/1000</f>
        <v>-357926.40938243887</v>
      </c>
      <c r="AP15" s="38">
        <f>VLOOKUP($C15,Segment!$AK$460:$AP$531,2,0)/1000</f>
        <v>-453726.25506353378</v>
      </c>
      <c r="AQ15" s="132">
        <f>AP15/AL15-1</f>
        <v>0.51892646425610556</v>
      </c>
      <c r="AS15" s="38"/>
      <c r="AT15" s="38">
        <f>VLOOKUP($C15,Segment!$AK$152:$AP$223,3,0)/1000</f>
        <v>0</v>
      </c>
      <c r="AU15" s="38">
        <f>VLOOKUP($C15,Segment!$I$229:$N$300,3,0)/1000</f>
        <v>0</v>
      </c>
      <c r="AV15" s="38">
        <f>VLOOKUP($C15,Segment!$P$229:$U$300,3,0)/1000</f>
        <v>0</v>
      </c>
      <c r="AW15" s="38">
        <f>VLOOKUP($C15,Segment!$AD$229:$AI$300,3,0)/1000</f>
        <v>0</v>
      </c>
      <c r="AX15" s="38">
        <f>VLOOKUP($C15,Segment!$AK$229:$AP$300,3,0)/1000</f>
        <v>0</v>
      </c>
      <c r="AY15" s="38">
        <f>VLOOKUP($C15,Segment!$I$306:$N$377,3,0)/1000</f>
        <v>0</v>
      </c>
      <c r="AZ15" s="38">
        <f>VLOOKUP($C15,Segment!$P$306:$U$377,3,0)/1000</f>
        <v>0</v>
      </c>
      <c r="BA15" s="38">
        <f>VLOOKUP($C15,Segment!$AD$306:$AI$377,3,0)/1000</f>
        <v>0</v>
      </c>
      <c r="BB15" s="38">
        <f>VLOOKUP($C15,Segment!$AK$306:$AP$377,3,0)/1000</f>
        <v>0</v>
      </c>
      <c r="BC15" s="38">
        <f>VLOOKUP($C15,Segment!$I$383:$N$454,3,0)/1000</f>
        <v>0</v>
      </c>
      <c r="BD15" s="38">
        <f>VLOOKUP($C15,Segment!$P$383:$U$454,3,0)/1000</f>
        <v>0</v>
      </c>
      <c r="BE15" s="38">
        <f>VLOOKUP($C15,Segment!$AD$383:$AI$454,3,0)/1000</f>
        <v>0</v>
      </c>
      <c r="BF15" s="38">
        <f>VLOOKUP($C15,Segment!$AK$383:$AP$454,3,0)/1000</f>
        <v>0</v>
      </c>
      <c r="BG15" s="38">
        <f>VLOOKUP($C15,Segment!$I$460:$N$531,3,0)/1000</f>
        <v>0</v>
      </c>
      <c r="BH15" s="38">
        <f>VLOOKUP($C15,Segment!$P$460:$U$531,3,0)/1000</f>
        <v>0</v>
      </c>
      <c r="BI15" s="38">
        <f>VLOOKUP($C15,Segment!$AD$460:$AI$531,3,0)/1000</f>
        <v>0</v>
      </c>
      <c r="BJ15" s="38">
        <f>VLOOKUP($C15,Segment!$AK$460:$AP$531,3,0)/1000</f>
        <v>0</v>
      </c>
      <c r="BL15" s="38"/>
      <c r="BM15" s="38">
        <f>VLOOKUP($C15,Segment!$AK$152:$AP$223,4,0)/1000</f>
        <v>0</v>
      </c>
      <c r="BN15" s="38">
        <f>VLOOKUP($C15,Segment!$I$229:$N$300,4,0)/1000</f>
        <v>0</v>
      </c>
      <c r="BO15" s="38">
        <f>VLOOKUP($C15,Segment!$P$229:$U$300,4,0)/1000</f>
        <v>0</v>
      </c>
      <c r="BP15" s="38">
        <f>VLOOKUP($C15,Segment!$AD$229:$AI$300,4,0)/1000</f>
        <v>0</v>
      </c>
      <c r="BQ15" s="38">
        <f>VLOOKUP($C15,Segment!$AK$229:$AP$300,4,0)/1000</f>
        <v>0</v>
      </c>
      <c r="BR15" s="38">
        <f>VLOOKUP($C15,Segment!$I$306:$N$377,4,0)/1000</f>
        <v>0</v>
      </c>
      <c r="BS15" s="38">
        <f>VLOOKUP($C15,Segment!$P$306:$U$377,4,0)/1000</f>
        <v>0</v>
      </c>
      <c r="BT15" s="38">
        <f>VLOOKUP($C15,Segment!$AD$306:$AI$377,4,0)/1000</f>
        <v>0</v>
      </c>
      <c r="BU15" s="38">
        <f>VLOOKUP($C15,Segment!$AK$306:$AP$377,4,0)/1000</f>
        <v>0</v>
      </c>
      <c r="BV15" s="38">
        <f>VLOOKUP($C15,Segment!$I$383:$N$454,4,0)/1000</f>
        <v>0</v>
      </c>
      <c r="BW15" s="38">
        <f>VLOOKUP($C15,Segment!$P$383:$U$454,4,0)/1000</f>
        <v>0</v>
      </c>
      <c r="BX15" s="38">
        <f>VLOOKUP($C15,Segment!$AD$383:$AI$454,4,0)/1000</f>
        <v>0</v>
      </c>
      <c r="BY15" s="38">
        <f>VLOOKUP($C15,Segment!$AK$383:$AP$454,4,0)/1000</f>
        <v>0</v>
      </c>
      <c r="BZ15" s="38">
        <f>VLOOKUP($C15,Segment!$I$460:$N$531,4,0)/1000</f>
        <v>0</v>
      </c>
      <c r="CA15" s="38">
        <f>VLOOKUP($C15,Segment!$P$460:$U$531,4,0)/1000</f>
        <v>0</v>
      </c>
      <c r="CB15" s="38">
        <f>VLOOKUP($C15,Segment!$AD$460:$AI$531,4,0)/1000</f>
        <v>0</v>
      </c>
      <c r="CC15" s="38">
        <f>VLOOKUP($C15,Segment!$AK$460:$AP$531,4,0)/1000</f>
        <v>0</v>
      </c>
      <c r="CE15" s="38"/>
      <c r="CF15" s="38">
        <f t="shared" si="30"/>
        <v>0</v>
      </c>
      <c r="CG15" s="38">
        <f t="shared" si="30"/>
        <v>0</v>
      </c>
      <c r="CH15" s="38">
        <f t="shared" si="30"/>
        <v>0</v>
      </c>
      <c r="CI15" s="38">
        <f t="shared" si="30"/>
        <v>0</v>
      </c>
      <c r="CJ15" s="38">
        <f t="shared" si="30"/>
        <v>0</v>
      </c>
      <c r="CK15" s="38">
        <f t="shared" si="30"/>
        <v>0</v>
      </c>
      <c r="CL15" s="38">
        <f t="shared" si="30"/>
        <v>0</v>
      </c>
      <c r="CM15" s="38">
        <f t="shared" si="30"/>
        <v>0</v>
      </c>
      <c r="CN15" s="38">
        <f t="shared" si="30"/>
        <v>0</v>
      </c>
      <c r="CO15" s="38">
        <f t="shared" si="30"/>
        <v>0</v>
      </c>
      <c r="CP15" s="38">
        <f t="shared" si="31"/>
        <v>0</v>
      </c>
      <c r="CQ15" s="38">
        <f t="shared" si="31"/>
        <v>0</v>
      </c>
      <c r="CR15" s="38">
        <f t="shared" si="31"/>
        <v>0</v>
      </c>
      <c r="CS15" s="38">
        <f t="shared" si="31"/>
        <v>0</v>
      </c>
      <c r="CT15" s="38">
        <f t="shared" si="31"/>
        <v>0</v>
      </c>
      <c r="CU15" s="38">
        <f t="shared" si="31"/>
        <v>0</v>
      </c>
      <c r="CV15" s="38">
        <f t="shared" si="31"/>
        <v>0</v>
      </c>
      <c r="CY15" s="38"/>
      <c r="CZ15" s="38">
        <f>VLOOKUP($C15,Segment!$AK$152:$AP$223,5,0)/1000</f>
        <v>0</v>
      </c>
      <c r="DA15" s="38">
        <f>VLOOKUP($C15,Segment!$I$229:$N$300,5,0)/1000</f>
        <v>0</v>
      </c>
      <c r="DB15" s="38">
        <f>VLOOKUP($C15,Segment!$P$229:$U$300,5,0)/1000</f>
        <v>0</v>
      </c>
      <c r="DC15" s="38">
        <f>VLOOKUP($C15,Segment!$AD$229:$AI$300,5,0)/1000</f>
        <v>0</v>
      </c>
      <c r="DD15" s="38">
        <f>VLOOKUP($C15,Segment!$AK$229:$AP$300,5,0)/1000</f>
        <v>-2.3493499999999998</v>
      </c>
      <c r="DE15" s="38">
        <f>VLOOKUP($C15,Segment!$I$306:$N$377,5,0)/1000</f>
        <v>-4.2909800000000002</v>
      </c>
      <c r="DF15" s="38">
        <f>VLOOKUP($C15,Segment!$P$306:$U$377,5,0)/1000</f>
        <v>-1.9948599999999996</v>
      </c>
      <c r="DG15" s="38">
        <f>VLOOKUP($C15,Segment!$AD$306:$AI$377,5,0)/1000</f>
        <v>-21.651810000000001</v>
      </c>
      <c r="DH15" s="38">
        <f>VLOOKUP($C15,Segment!$AK$306:$AP$377,5,0)/1000</f>
        <v>-25.103719999999996</v>
      </c>
      <c r="DI15" s="38">
        <f>VLOOKUP($C15,Segment!$I$383:$N$454,5,0)/1000</f>
        <v>-26.672249999999998</v>
      </c>
      <c r="DJ15" s="38">
        <f>VLOOKUP($C15,Segment!$P$383:$U$454,5,0)/1000</f>
        <v>-20.367010000000001</v>
      </c>
      <c r="DK15" s="38">
        <f>VLOOKUP($C15,Segment!$AD$383:$AI$454,5,0)/1000</f>
        <v>-19.722579999999994</v>
      </c>
      <c r="DL15" s="38">
        <f>VLOOKUP($C15,Segment!$AK$383:$AP$454,5,0)/1000</f>
        <v>-26.173570000000016</v>
      </c>
      <c r="DM15" s="38">
        <f>VLOOKUP($C15,Segment!$I$460:$N$531,5,0)/1000</f>
        <v>-12.782290000000001</v>
      </c>
      <c r="DN15" s="38">
        <f>VLOOKUP($C15,Segment!$P$460:$U$531,5,0)/1000</f>
        <v>-14.572290000000001</v>
      </c>
      <c r="DO15" s="38">
        <f>VLOOKUP($C15,Segment!$AD$460:$AI$531,5,0)/1000</f>
        <v>-21.141149999999993</v>
      </c>
      <c r="DP15" s="38">
        <f>VLOOKUP($C15,Segment!$AK$460:$AP$531,5,0)/1000</f>
        <v>-31.109559999999998</v>
      </c>
    </row>
    <row r="16" spans="2:120" x14ac:dyDescent="0.3">
      <c r="C16" s="36" t="s">
        <v>88</v>
      </c>
      <c r="E16" s="38"/>
      <c r="F16" s="38">
        <f>VLOOKUP($C16,Segment!$AK$152:$AP$223,6,0)/1000</f>
        <v>18842.970608571439</v>
      </c>
      <c r="G16" s="38">
        <f>VLOOKUP($C16,Segment!$I$229:$N$300,6,0)/1000</f>
        <v>21677.64472</v>
      </c>
      <c r="H16" s="38">
        <f>VLOOKUP($C16,Segment!$P$229:$U$300,6,0)/1000</f>
        <v>21457.360850000001</v>
      </c>
      <c r="I16" s="38">
        <f>VLOOKUP($C16,Segment!$AD$229:$AI$300,6,0)/1000</f>
        <v>24036.605720000007</v>
      </c>
      <c r="J16" s="38">
        <f>VLOOKUP($C16,Segment!$AK$229:$AP$300,6,0)/1000</f>
        <v>26117.224799999949</v>
      </c>
      <c r="K16" s="38">
        <f>VLOOKUP($C16,Segment!$I$306:$N$377,6,0)/1000</f>
        <v>32153.842219999999</v>
      </c>
      <c r="L16" s="203">
        <f>VLOOKUP($C16,Segment!$P$306:$U$377,6,0)/1000</f>
        <v>20035.442389999997</v>
      </c>
      <c r="M16" s="203">
        <f>VLOOKUP($C16,Segment!$AD$306:$AI$377,6,0)/1000</f>
        <v>15157.371600000017</v>
      </c>
      <c r="N16" s="203">
        <f>VLOOKUP($C16,Segment!$AK$306:$AP$377,6,0)/1000</f>
        <v>23693.452509999996</v>
      </c>
      <c r="O16" s="203">
        <f>VLOOKUP($C16,Segment!$I$383:$N$454,6,0)/1000</f>
        <v>21751.747559999996</v>
      </c>
      <c r="P16" s="203">
        <f>VLOOKUP($C16,Segment!$P$383:$U$454,6,0)/1000</f>
        <v>13399.290970000004</v>
      </c>
      <c r="Q16" s="203">
        <f>VLOOKUP($C16,Segment!$AD$383:$AI$454,6,0)/1000</f>
        <v>13700.419559999986</v>
      </c>
      <c r="R16" s="203">
        <f>VLOOKUP($C16,Segment!$AK$383:$AP$454,6,0)/1000</f>
        <v>21643.517219999994</v>
      </c>
      <c r="S16" s="203">
        <f>VLOOKUP($C16,Segment!$I$460:$N$531,6,0)/1000</f>
        <v>25144.540649999995</v>
      </c>
      <c r="T16" s="203">
        <f>VLOOKUP($C16,Segment!$P$460:$U$531,6,0)/1000</f>
        <v>29383.086800000001</v>
      </c>
      <c r="U16" s="203">
        <f>VLOOKUP($C16,Segment!$AD$460:$AI$531,6,0)/1000</f>
        <v>32509.178598402326</v>
      </c>
      <c r="V16" s="203">
        <f>VLOOKUP($C16,Segment!$AK$460:$AP$531,6,0)/1000</f>
        <v>37325.466301977249</v>
      </c>
      <c r="W16" s="132">
        <f t="shared" si="9"/>
        <v>0.72455640747180095</v>
      </c>
      <c r="X16" s="197"/>
      <c r="Y16" s="38"/>
      <c r="Z16" s="38">
        <f>VLOOKUP($C16,Segment!$AK$152:$AP$223,2,0)/1000</f>
        <v>18842.970608571439</v>
      </c>
      <c r="AA16" s="38">
        <f>VLOOKUP($C16,Segment!$I$229:$N$300,2,0)/1000</f>
        <v>21677.64472</v>
      </c>
      <c r="AB16" s="38">
        <f>VLOOKUP($C16,Segment!$P$229:$U$300,2,0)/1000</f>
        <v>21457.360850000001</v>
      </c>
      <c r="AC16" s="38">
        <f>VLOOKUP($C16,Segment!$AD$229:$AI$300,2,0)/1000</f>
        <v>24036.605720000007</v>
      </c>
      <c r="AD16" s="38">
        <f>VLOOKUP($C16,Segment!$AK$229:$AP$300,2,0)/1000</f>
        <v>25546.832609999947</v>
      </c>
      <c r="AE16" s="38">
        <f>VLOOKUP($C16,Segment!$I$306:$N$377,2,0)/1000</f>
        <v>31733.52176</v>
      </c>
      <c r="AF16" s="38">
        <f>VLOOKUP($C16,Segment!$P$306:$U$377,2,0)/1000</f>
        <v>19994.61708</v>
      </c>
      <c r="AG16" s="38">
        <f>VLOOKUP($C16,Segment!$AD$306:$AI$377,2,0)/1000</f>
        <v>15123.157960000015</v>
      </c>
      <c r="AH16" s="38">
        <f>VLOOKUP($C16,Segment!$AK$306:$AP$377,2,0)/1000</f>
        <v>23679.081199999997</v>
      </c>
      <c r="AI16" s="38">
        <f>VLOOKUP($C16,Segment!$I$383:$N$454,2,0)/1000</f>
        <v>21747.599749999998</v>
      </c>
      <c r="AJ16" s="38">
        <f>VLOOKUP($C16,Segment!$P$383:$U$454,2,0)/1000</f>
        <v>13394.593640000005</v>
      </c>
      <c r="AK16" s="38">
        <f>VLOOKUP($C16,Segment!$AD$383:$AI$454,2,0)/1000</f>
        <v>13695.791959999986</v>
      </c>
      <c r="AL16" s="38">
        <f>VLOOKUP($C16,Segment!$AK$383:$AP$454,2,0)/1000</f>
        <v>21638.779699999996</v>
      </c>
      <c r="AM16" s="38">
        <f>VLOOKUP($C16,Segment!$I$460:$N$531,2,0)/1000</f>
        <v>25139.838959999994</v>
      </c>
      <c r="AN16" s="38">
        <f>VLOOKUP($C16,Segment!$P$460:$U$531,2,0)/1000</f>
        <v>28850.742710000002</v>
      </c>
      <c r="AO16" s="38">
        <f>VLOOKUP($C16,Segment!$AD$460:$AI$531,2,0)/1000</f>
        <v>31450.205118402326</v>
      </c>
      <c r="AP16" s="38">
        <f>VLOOKUP($C16,Segment!$AK$460:$AP$531,2,0)/1000</f>
        <v>35786.895521977225</v>
      </c>
      <c r="AQ16" s="132">
        <f>AP16/AL16-1</f>
        <v>0.6538315015045526</v>
      </c>
      <c r="AS16" s="38"/>
      <c r="AT16" s="38">
        <f>VLOOKUP($C16,Segment!$AK$152:$AP$223,3,0)/1000</f>
        <v>0</v>
      </c>
      <c r="AU16" s="38">
        <f>VLOOKUP($C16,Segment!$I$229:$N$300,3,0)/1000</f>
        <v>0</v>
      </c>
      <c r="AV16" s="38">
        <f>VLOOKUP($C16,Segment!$P$229:$U$300,3,0)/1000</f>
        <v>0</v>
      </c>
      <c r="AW16" s="38">
        <f>VLOOKUP($C16,Segment!$AD$229:$AI$300,3,0)/1000</f>
        <v>0</v>
      </c>
      <c r="AX16" s="38">
        <f>VLOOKUP($C16,Segment!$AK$229:$AP$300,3,0)/1000</f>
        <v>0</v>
      </c>
      <c r="AY16" s="38">
        <f>VLOOKUP($C16,Segment!$I$306:$N$377,3,0)/1000</f>
        <v>0</v>
      </c>
      <c r="AZ16" s="38">
        <f>VLOOKUP($C16,Segment!$P$306:$U$377,3,0)/1000</f>
        <v>0</v>
      </c>
      <c r="BA16" s="38">
        <f>VLOOKUP($C16,Segment!$AD$306:$AI$377,3,0)/1000</f>
        <v>0</v>
      </c>
      <c r="BB16" s="38">
        <f>VLOOKUP($C16,Segment!$AK$306:$AP$377,3,0)/1000</f>
        <v>0</v>
      </c>
      <c r="BC16" s="38">
        <f>VLOOKUP($C16,Segment!$I$383:$N$454,3,0)/1000</f>
        <v>0</v>
      </c>
      <c r="BD16" s="38">
        <f>VLOOKUP($C16,Segment!$P$383:$U$454,3,0)/1000</f>
        <v>0</v>
      </c>
      <c r="BE16" s="38">
        <f>VLOOKUP($C16,Segment!$AD$383:$AI$454,3,0)/1000</f>
        <v>0</v>
      </c>
      <c r="BF16" s="38">
        <f>VLOOKUP($C16,Segment!$AK$383:$AP$454,3,0)/1000</f>
        <v>0</v>
      </c>
      <c r="BG16" s="38">
        <f>VLOOKUP($C16,Segment!$I$460:$N$531,3,0)/1000</f>
        <v>0</v>
      </c>
      <c r="BH16" s="38">
        <f>VLOOKUP($C16,Segment!$P$460:$U$531,3,0)/1000</f>
        <v>0</v>
      </c>
      <c r="BI16" s="38">
        <f>VLOOKUP($C16,Segment!$AD$460:$AI$531,3,0)/1000</f>
        <v>0</v>
      </c>
      <c r="BJ16" s="38">
        <f>VLOOKUP($C16,Segment!$AK$460:$AP$531,3,0)/1000</f>
        <v>0</v>
      </c>
      <c r="BL16" s="38"/>
      <c r="BM16" s="38">
        <f>VLOOKUP($C16,Segment!$AK$152:$AP$223,4,0)/1000</f>
        <v>0</v>
      </c>
      <c r="BN16" s="38">
        <f>VLOOKUP($C16,Segment!$I$229:$N$300,4,0)/1000</f>
        <v>0</v>
      </c>
      <c r="BO16" s="38">
        <f>VLOOKUP($C16,Segment!$P$229:$U$300,4,0)/1000</f>
        <v>0</v>
      </c>
      <c r="BP16" s="38">
        <f>VLOOKUP($C16,Segment!$AD$229:$AI$300,4,0)/1000</f>
        <v>0</v>
      </c>
      <c r="BQ16" s="38">
        <f>VLOOKUP($C16,Segment!$AK$229:$AP$300,4,0)/1000</f>
        <v>0</v>
      </c>
      <c r="BR16" s="38">
        <f>VLOOKUP($C16,Segment!$I$306:$N$377,4,0)/1000</f>
        <v>0</v>
      </c>
      <c r="BS16" s="38">
        <f>VLOOKUP($C16,Segment!$P$306:$U$377,4,0)/1000</f>
        <v>0</v>
      </c>
      <c r="BT16" s="38">
        <f>VLOOKUP($C16,Segment!$AD$306:$AI$377,4,0)/1000</f>
        <v>0</v>
      </c>
      <c r="BU16" s="38">
        <f>VLOOKUP($C16,Segment!$AK$306:$AP$377,4,0)/1000</f>
        <v>0</v>
      </c>
      <c r="BV16" s="38">
        <f>VLOOKUP($C16,Segment!$I$383:$N$454,4,0)/1000</f>
        <v>0</v>
      </c>
      <c r="BW16" s="38">
        <f>VLOOKUP($C16,Segment!$P$383:$U$454,4,0)/1000</f>
        <v>0</v>
      </c>
      <c r="BX16" s="38">
        <f>VLOOKUP($C16,Segment!$AD$383:$AI$454,4,0)/1000</f>
        <v>0</v>
      </c>
      <c r="BY16" s="38">
        <f>VLOOKUP($C16,Segment!$AK$383:$AP$454,4,0)/1000</f>
        <v>0</v>
      </c>
      <c r="BZ16" s="38">
        <f>VLOOKUP($C16,Segment!$I$460:$N$531,4,0)/1000</f>
        <v>0</v>
      </c>
      <c r="CA16" s="38">
        <f>VLOOKUP($C16,Segment!$P$460:$U$531,4,0)/1000</f>
        <v>0</v>
      </c>
      <c r="CB16" s="38">
        <f>VLOOKUP($C16,Segment!$AD$460:$AI$531,4,0)/1000</f>
        <v>0</v>
      </c>
      <c r="CC16" s="38">
        <f>VLOOKUP($C16,Segment!$AK$460:$AP$531,4,0)/1000</f>
        <v>0</v>
      </c>
      <c r="CE16" s="38"/>
      <c r="CF16" s="38">
        <f t="shared" ref="CF16:CO17" si="32">AT16+BM16</f>
        <v>0</v>
      </c>
      <c r="CG16" s="38">
        <f t="shared" si="32"/>
        <v>0</v>
      </c>
      <c r="CH16" s="38">
        <f t="shared" si="32"/>
        <v>0</v>
      </c>
      <c r="CI16" s="38">
        <f t="shared" si="32"/>
        <v>0</v>
      </c>
      <c r="CJ16" s="38">
        <f t="shared" si="32"/>
        <v>0</v>
      </c>
      <c r="CK16" s="38">
        <f t="shared" si="32"/>
        <v>0</v>
      </c>
      <c r="CL16" s="38">
        <f t="shared" si="32"/>
        <v>0</v>
      </c>
      <c r="CM16" s="38">
        <f t="shared" si="32"/>
        <v>0</v>
      </c>
      <c r="CN16" s="38">
        <f t="shared" si="32"/>
        <v>0</v>
      </c>
      <c r="CO16" s="38">
        <f t="shared" si="32"/>
        <v>0</v>
      </c>
      <c r="CP16" s="38">
        <f t="shared" ref="CP16:CV17" si="33">BD16+BW16</f>
        <v>0</v>
      </c>
      <c r="CQ16" s="38">
        <f t="shared" si="33"/>
        <v>0</v>
      </c>
      <c r="CR16" s="38">
        <f t="shared" si="33"/>
        <v>0</v>
      </c>
      <c r="CS16" s="38">
        <f t="shared" si="33"/>
        <v>0</v>
      </c>
      <c r="CT16" s="38">
        <f t="shared" si="33"/>
        <v>0</v>
      </c>
      <c r="CU16" s="38">
        <f t="shared" si="33"/>
        <v>0</v>
      </c>
      <c r="CV16" s="38">
        <f t="shared" si="33"/>
        <v>0</v>
      </c>
      <c r="CY16" s="38"/>
      <c r="CZ16" s="38">
        <f>VLOOKUP($C16,Segment!$AK$152:$AP$223,5,0)/1000</f>
        <v>0</v>
      </c>
      <c r="DA16" s="38">
        <f>VLOOKUP($C16,Segment!$I$229:$N$300,5,0)/1000</f>
        <v>0</v>
      </c>
      <c r="DB16" s="38">
        <f>VLOOKUP($C16,Segment!$P$229:$U$300,5,0)/1000</f>
        <v>0</v>
      </c>
      <c r="DC16" s="38">
        <f>VLOOKUP($C16,Segment!$AD$229:$AI$300,5,0)/1000</f>
        <v>0</v>
      </c>
      <c r="DD16" s="38">
        <f>VLOOKUP($C16,Segment!$AK$229:$AP$300,5,0)/1000</f>
        <v>570.39218999999991</v>
      </c>
      <c r="DE16" s="38">
        <f>VLOOKUP($C16,Segment!$I$306:$N$377,5,0)/1000</f>
        <v>420.32046000000003</v>
      </c>
      <c r="DF16" s="38">
        <f>VLOOKUP($C16,Segment!$P$306:$U$377,5,0)/1000</f>
        <v>40.825309999999938</v>
      </c>
      <c r="DG16" s="38">
        <f>VLOOKUP($C16,Segment!$AD$306:$AI$377,5,0)/1000</f>
        <v>34.213640000000133</v>
      </c>
      <c r="DH16" s="38">
        <f>VLOOKUP($C16,Segment!$AK$306:$AP$377,5,0)/1000</f>
        <v>14.371309999999939</v>
      </c>
      <c r="DI16" s="38">
        <f>VLOOKUP($C16,Segment!$I$383:$N$454,5,0)/1000</f>
        <v>4.1478100000000007</v>
      </c>
      <c r="DJ16" s="38">
        <f>VLOOKUP($C16,Segment!$P$383:$U$454,5,0)/1000</f>
        <v>4.6973299999999991</v>
      </c>
      <c r="DK16" s="38">
        <f>VLOOKUP($C16,Segment!$AD$383:$AI$454,5,0)/1000</f>
        <v>4.6276000000000002</v>
      </c>
      <c r="DL16" s="38">
        <f>VLOOKUP($C16,Segment!$AK$383:$AP$454,5,0)/1000</f>
        <v>4.7375200000000026</v>
      </c>
      <c r="DM16" s="38">
        <f>VLOOKUP($C16,Segment!$I$460:$N$531,5,0)/1000</f>
        <v>4.7016900000000001</v>
      </c>
      <c r="DN16" s="38">
        <f>VLOOKUP($C16,Segment!$P$460:$U$531,5,0)/1000</f>
        <v>532.34408999999994</v>
      </c>
      <c r="DO16" s="38">
        <f>VLOOKUP($C16,Segment!$AD$460:$AI$531,5,0)/1000</f>
        <v>1058.9734799999999</v>
      </c>
      <c r="DP16" s="38">
        <f>VLOOKUP($C16,Segment!$AK$460:$AP$531,5,0)/1000</f>
        <v>1538.5707800000002</v>
      </c>
    </row>
    <row r="17" spans="3:120" x14ac:dyDescent="0.3">
      <c r="C17" s="36" t="s">
        <v>13</v>
      </c>
      <c r="E17" s="38"/>
      <c r="F17" s="38">
        <f>VLOOKUP($C17,Segment!$AK$152:$AP$223,6,0)/1000</f>
        <v>-2015.8829199999996</v>
      </c>
      <c r="G17" s="38">
        <f>VLOOKUP($C17,Segment!$I$229:$N$300,6,0)/1000</f>
        <v>-1949.998</v>
      </c>
      <c r="H17" s="38">
        <f>VLOOKUP($C17,Segment!$P$229:$U$300,6,0)/1000</f>
        <v>-171.55237000000105</v>
      </c>
      <c r="I17" s="38">
        <f>VLOOKUP($C17,Segment!$AD$229:$AI$300,6,0)/1000</f>
        <v>-1596.4028499999988</v>
      </c>
      <c r="J17" s="38">
        <f>VLOOKUP($C17,Segment!$AK$229:$AP$300,6,0)/1000</f>
        <v>-2135.4678600000002</v>
      </c>
      <c r="K17" s="38">
        <f>VLOOKUP($C17,Segment!$I$306:$N$377,6,0)/1000</f>
        <v>-1598.0833000000002</v>
      </c>
      <c r="L17" s="203">
        <f>VLOOKUP($C17,Segment!$P$306:$U$377,6,0)/1000</f>
        <v>-2324.5470499999997</v>
      </c>
      <c r="M17" s="203">
        <f>VLOOKUP($C17,Segment!$AD$306:$AI$377,6,0)/1000</f>
        <v>-2816.0157700000018</v>
      </c>
      <c r="N17" s="203">
        <f>VLOOKUP($C17,Segment!$AK$306:$AP$377,6,0)/1000</f>
        <v>-3409.9672499999997</v>
      </c>
      <c r="O17" s="203">
        <f>VLOOKUP($C17,Segment!$I$383:$N$454,6,0)/1000</f>
        <v>-3402.7332999999999</v>
      </c>
      <c r="P17" s="203">
        <f>VLOOKUP($C17,Segment!$P$383:$U$454,6,0)/1000</f>
        <v>-3553.5741100000014</v>
      </c>
      <c r="Q17" s="203">
        <f>VLOOKUP($C17,Segment!$AD$383:$AI$454,6,0)/1000</f>
        <v>-3653.6703299999972</v>
      </c>
      <c r="R17" s="203">
        <f>VLOOKUP($C17,Segment!$AK$383:$AP$454,6,0)/1000</f>
        <v>-3484.9672000000019</v>
      </c>
      <c r="S17" s="203">
        <f>VLOOKUP($C17,Segment!$I$460:$N$531,6,0)/1000</f>
        <v>-3302.5287699999994</v>
      </c>
      <c r="T17" s="203">
        <f>VLOOKUP($C17,Segment!$P$460:$U$531,6,0)/1000</f>
        <v>-3492.7054700000008</v>
      </c>
      <c r="U17" s="203">
        <f>VLOOKUP($C17,Segment!$AD$460:$AI$531,6,0)/1000</f>
        <v>-3996.7940299999991</v>
      </c>
      <c r="V17" s="203">
        <f>VLOOKUP($C17,Segment!$AK$460:$AP$531,6,0)/1000</f>
        <v>-5121.5280900000016</v>
      </c>
      <c r="W17" s="132">
        <f t="shared" si="9"/>
        <v>0.46960582297589459</v>
      </c>
      <c r="X17" s="197"/>
      <c r="Y17" s="38"/>
      <c r="Z17" s="38">
        <f>VLOOKUP($C17,Segment!$AK$152:$AP$223,2,0)/1000</f>
        <v>-2015.8829199999996</v>
      </c>
      <c r="AA17" s="38">
        <f>VLOOKUP($C17,Segment!$I$229:$N$300,2,0)/1000</f>
        <v>-1949.998</v>
      </c>
      <c r="AB17" s="38">
        <f>VLOOKUP($C17,Segment!$P$229:$U$300,2,0)/1000</f>
        <v>-171.55237000000105</v>
      </c>
      <c r="AC17" s="38">
        <f>VLOOKUP($C17,Segment!$AD$229:$AI$300,2,0)/1000</f>
        <v>-1596.4028499999988</v>
      </c>
      <c r="AD17" s="38">
        <f>VLOOKUP($C17,Segment!$AK$229:$AP$300,2,0)/1000</f>
        <v>-2135.4678600000002</v>
      </c>
      <c r="AE17" s="38">
        <f>VLOOKUP($C17,Segment!$I$306:$N$377,2,0)/1000</f>
        <v>-1598.0833000000002</v>
      </c>
      <c r="AF17" s="38">
        <f>VLOOKUP($C17,Segment!$P$306:$U$377,2,0)/1000</f>
        <v>-2324.5470499999997</v>
      </c>
      <c r="AG17" s="38">
        <f>VLOOKUP($C17,Segment!$AD$306:$AI$377,2,0)/1000</f>
        <v>-2816.0157700000018</v>
      </c>
      <c r="AH17" s="38">
        <f>VLOOKUP($C17,Segment!$AK$306:$AP$377,2,0)/1000</f>
        <v>-3409.9672499999997</v>
      </c>
      <c r="AI17" s="38">
        <f>VLOOKUP($C17,Segment!$I$383:$N$454,2,0)/1000</f>
        <v>-3402.7332999999999</v>
      </c>
      <c r="AJ17" s="38">
        <f>VLOOKUP($C17,Segment!$P$383:$U$454,2,0)/1000</f>
        <v>-3553.5741100000014</v>
      </c>
      <c r="AK17" s="38">
        <f>VLOOKUP($C17,Segment!$AD$383:$AI$454,2,0)/1000</f>
        <v>-3653.6703299999972</v>
      </c>
      <c r="AL17" s="38">
        <f>VLOOKUP($C17,Segment!$AK$383:$AP$454,2,0)/1000</f>
        <v>-3484.9672000000019</v>
      </c>
      <c r="AM17" s="38">
        <f>VLOOKUP($C17,Segment!$I$460:$N$531,2,0)/1000</f>
        <v>-3302.5287699999994</v>
      </c>
      <c r="AN17" s="38">
        <f>VLOOKUP($C17,Segment!$P$460:$U$531,2,0)/1000</f>
        <v>-3492.7054700000008</v>
      </c>
      <c r="AO17" s="38">
        <f>VLOOKUP($C17,Segment!$AD$460:$AI$531,2,0)/1000</f>
        <v>-3996.7940299999991</v>
      </c>
      <c r="AP17" s="38">
        <f>VLOOKUP($C17,Segment!$AK$460:$AP$531,2,0)/1000</f>
        <v>-5121.5280900000016</v>
      </c>
      <c r="AQ17" s="132">
        <f>AP17/AL17-1</f>
        <v>0.46960582297589459</v>
      </c>
      <c r="AS17" s="38"/>
      <c r="AT17" s="38">
        <f>VLOOKUP($C17,Segment!$AK$152:$AP$223,3,0)/1000</f>
        <v>0</v>
      </c>
      <c r="AU17" s="38">
        <f>VLOOKUP($C17,Segment!$I$229:$N$300,3,0)/1000</f>
        <v>0</v>
      </c>
      <c r="AV17" s="38">
        <f>VLOOKUP($C17,Segment!$P$229:$U$300,3,0)/1000</f>
        <v>0</v>
      </c>
      <c r="AW17" s="38">
        <f>VLOOKUP($C17,Segment!$AD$229:$AI$300,3,0)/1000</f>
        <v>0</v>
      </c>
      <c r="AX17" s="38">
        <f>VLOOKUP($C17,Segment!$AK$229:$AP$300,3,0)/1000</f>
        <v>0</v>
      </c>
      <c r="AY17" s="38">
        <f>VLOOKUP($C17,Segment!$I$306:$N$377,3,0)/1000</f>
        <v>0</v>
      </c>
      <c r="AZ17" s="38">
        <f>VLOOKUP($C17,Segment!$P$306:$U$377,3,0)/1000</f>
        <v>0</v>
      </c>
      <c r="BA17" s="38">
        <f>VLOOKUP($C17,Segment!$AD$306:$AI$377,3,0)/1000</f>
        <v>0</v>
      </c>
      <c r="BB17" s="38">
        <f>VLOOKUP($C17,Segment!$AK$306:$AP$377,3,0)/1000</f>
        <v>0</v>
      </c>
      <c r="BC17" s="38">
        <f>VLOOKUP($C17,Segment!$I$383:$N$454,3,0)/1000</f>
        <v>0</v>
      </c>
      <c r="BD17" s="38">
        <f>VLOOKUP($C17,Segment!$P$383:$U$454,3,0)/1000</f>
        <v>0</v>
      </c>
      <c r="BE17" s="38">
        <f>VLOOKUP($C17,Segment!$AD$383:$AI$454,3,0)/1000</f>
        <v>0</v>
      </c>
      <c r="BF17" s="38">
        <f>VLOOKUP($C17,Segment!$AK$383:$AP$454,3,0)/1000</f>
        <v>0</v>
      </c>
      <c r="BG17" s="38">
        <f>VLOOKUP($C17,Segment!$I$460:$N$531,3,0)/1000</f>
        <v>0</v>
      </c>
      <c r="BH17" s="38">
        <f>VLOOKUP($C17,Segment!$P$460:$U$531,3,0)/1000</f>
        <v>0</v>
      </c>
      <c r="BI17" s="38">
        <f>VLOOKUP($C17,Segment!$AD$460:$AI$531,3,0)/1000</f>
        <v>0</v>
      </c>
      <c r="BJ17" s="38">
        <f>VLOOKUP($C17,Segment!$AK$460:$AP$531,3,0)/1000</f>
        <v>0</v>
      </c>
      <c r="BL17" s="38"/>
      <c r="BM17" s="38">
        <f>VLOOKUP($C17,Segment!$AK$152:$AP$223,4,0)/1000</f>
        <v>0</v>
      </c>
      <c r="BN17" s="38">
        <f>VLOOKUP($C17,Segment!$I$229:$N$300,4,0)/1000</f>
        <v>0</v>
      </c>
      <c r="BO17" s="38">
        <f>VLOOKUP($C17,Segment!$P$229:$U$300,4,0)/1000</f>
        <v>0</v>
      </c>
      <c r="BP17" s="38">
        <f>VLOOKUP($C17,Segment!$AD$229:$AI$300,4,0)/1000</f>
        <v>0</v>
      </c>
      <c r="BQ17" s="38">
        <f>VLOOKUP($C17,Segment!$AK$229:$AP$300,4,0)/1000</f>
        <v>0</v>
      </c>
      <c r="BR17" s="38">
        <f>VLOOKUP($C17,Segment!$I$306:$N$377,4,0)/1000</f>
        <v>0</v>
      </c>
      <c r="BS17" s="38">
        <f>VLOOKUP($C17,Segment!$P$306:$U$377,4,0)/1000</f>
        <v>0</v>
      </c>
      <c r="BT17" s="38">
        <f>VLOOKUP($C17,Segment!$AD$306:$AI$377,4,0)/1000</f>
        <v>0</v>
      </c>
      <c r="BU17" s="38">
        <f>VLOOKUP($C17,Segment!$AK$306:$AP$377,4,0)/1000</f>
        <v>0</v>
      </c>
      <c r="BV17" s="38">
        <f>VLOOKUP($C17,Segment!$I$383:$N$454,4,0)/1000</f>
        <v>0</v>
      </c>
      <c r="BW17" s="38">
        <f>VLOOKUP($C17,Segment!$P$383:$U$454,4,0)/1000</f>
        <v>0</v>
      </c>
      <c r="BX17" s="38">
        <f>VLOOKUP($C17,Segment!$AD$383:$AI$454,4,0)/1000</f>
        <v>0</v>
      </c>
      <c r="BY17" s="38">
        <f>VLOOKUP($C17,Segment!$AK$383:$AP$454,4,0)/1000</f>
        <v>0</v>
      </c>
      <c r="BZ17" s="38">
        <f>VLOOKUP($C17,Segment!$I$460:$N$531,4,0)/1000</f>
        <v>0</v>
      </c>
      <c r="CA17" s="38">
        <f>VLOOKUP($C17,Segment!$P$460:$U$531,4,0)/1000</f>
        <v>0</v>
      </c>
      <c r="CB17" s="38">
        <f>VLOOKUP($C17,Segment!$AD$460:$AI$531,4,0)/1000</f>
        <v>0</v>
      </c>
      <c r="CC17" s="38">
        <f>VLOOKUP($C17,Segment!$AK$460:$AP$531,4,0)/1000</f>
        <v>0</v>
      </c>
      <c r="CE17" s="38"/>
      <c r="CF17" s="38">
        <f t="shared" si="32"/>
        <v>0</v>
      </c>
      <c r="CG17" s="38">
        <f t="shared" si="32"/>
        <v>0</v>
      </c>
      <c r="CH17" s="38">
        <f t="shared" si="32"/>
        <v>0</v>
      </c>
      <c r="CI17" s="38">
        <f t="shared" si="32"/>
        <v>0</v>
      </c>
      <c r="CJ17" s="38">
        <f t="shared" si="32"/>
        <v>0</v>
      </c>
      <c r="CK17" s="38">
        <f t="shared" si="32"/>
        <v>0</v>
      </c>
      <c r="CL17" s="38">
        <f t="shared" si="32"/>
        <v>0</v>
      </c>
      <c r="CM17" s="38">
        <f t="shared" si="32"/>
        <v>0</v>
      </c>
      <c r="CN17" s="38">
        <f t="shared" si="32"/>
        <v>0</v>
      </c>
      <c r="CO17" s="38">
        <f t="shared" si="32"/>
        <v>0</v>
      </c>
      <c r="CP17" s="38">
        <f t="shared" si="33"/>
        <v>0</v>
      </c>
      <c r="CQ17" s="38">
        <f t="shared" si="33"/>
        <v>0</v>
      </c>
      <c r="CR17" s="38">
        <f t="shared" si="33"/>
        <v>0</v>
      </c>
      <c r="CS17" s="38">
        <f t="shared" si="33"/>
        <v>0</v>
      </c>
      <c r="CT17" s="38">
        <f t="shared" si="33"/>
        <v>0</v>
      </c>
      <c r="CU17" s="38">
        <f t="shared" si="33"/>
        <v>0</v>
      </c>
      <c r="CV17" s="38">
        <f t="shared" si="33"/>
        <v>0</v>
      </c>
      <c r="CY17" s="38"/>
      <c r="CZ17" s="38">
        <f>VLOOKUP($C17,Segment!$AK$152:$AP$223,5,0)/1000</f>
        <v>0</v>
      </c>
      <c r="DA17" s="38">
        <f>VLOOKUP($C17,Segment!$I$229:$N$300,5,0)/1000</f>
        <v>0</v>
      </c>
      <c r="DB17" s="38">
        <f>VLOOKUP($C17,Segment!$P$229:$U$300,5,0)/1000</f>
        <v>0</v>
      </c>
      <c r="DC17" s="38">
        <f>VLOOKUP($C17,Segment!$AD$229:$AI$300,5,0)/1000</f>
        <v>0</v>
      </c>
      <c r="DD17" s="38">
        <f>VLOOKUP($C17,Segment!$AK$229:$AP$300,5,0)/1000</f>
        <v>0</v>
      </c>
      <c r="DE17" s="38">
        <f>VLOOKUP($C17,Segment!$I$306:$N$377,5,0)/1000</f>
        <v>0</v>
      </c>
      <c r="DF17" s="38">
        <f>VLOOKUP($C17,Segment!$P$306:$U$377,5,0)/1000</f>
        <v>0</v>
      </c>
      <c r="DG17" s="38">
        <f>VLOOKUP($C17,Segment!$AD$306:$AI$377,5,0)/1000</f>
        <v>0</v>
      </c>
      <c r="DH17" s="38">
        <f>VLOOKUP($C17,Segment!$AK$306:$AP$377,5,0)/1000</f>
        <v>0</v>
      </c>
      <c r="DI17" s="38">
        <f>VLOOKUP($C17,Segment!$I$383:$N$454,5,0)/1000</f>
        <v>0</v>
      </c>
      <c r="DJ17" s="38">
        <f>VLOOKUP($C17,Segment!$P$383:$U$454,5,0)/1000</f>
        <v>0</v>
      </c>
      <c r="DK17" s="38">
        <f>VLOOKUP($C17,Segment!$AD$383:$AI$454,5,0)/1000</f>
        <v>0</v>
      </c>
      <c r="DL17" s="38">
        <f>VLOOKUP($C17,Segment!$AK$383:$AP$454,5,0)/1000</f>
        <v>0</v>
      </c>
      <c r="DM17" s="38">
        <f>VLOOKUP($C17,Segment!$I$460:$N$531,5,0)/1000</f>
        <v>0</v>
      </c>
      <c r="DN17" s="38">
        <f>VLOOKUP($C17,Segment!$P$460:$U$531,5,0)/1000</f>
        <v>0</v>
      </c>
      <c r="DO17" s="38">
        <f>VLOOKUP($C17,Segment!$AD$460:$AI$531,5,0)/1000</f>
        <v>0</v>
      </c>
      <c r="DP17" s="38">
        <f>VLOOKUP($C17,Segment!$AK$460:$AP$531,5,0)/1000</f>
        <v>0</v>
      </c>
    </row>
    <row r="18" spans="3:120" x14ac:dyDescent="0.3">
      <c r="C18" s="43" t="s">
        <v>14</v>
      </c>
      <c r="D18" s="111"/>
      <c r="E18" s="44"/>
      <c r="F18" s="44">
        <f t="shared" ref="F18:V18" si="34">F14+F15+F16+F17</f>
        <v>99325.84721857142</v>
      </c>
      <c r="G18" s="44">
        <f t="shared" si="34"/>
        <v>100727.44071999998</v>
      </c>
      <c r="H18" s="44">
        <f t="shared" si="34"/>
        <v>87007.840709999917</v>
      </c>
      <c r="I18" s="44">
        <f t="shared" si="34"/>
        <v>98857.540800000061</v>
      </c>
      <c r="J18" s="44">
        <f t="shared" si="34"/>
        <v>105364.55307000014</v>
      </c>
      <c r="K18" s="44">
        <f t="shared" si="34"/>
        <v>109560.94960000002</v>
      </c>
      <c r="L18" s="44">
        <f t="shared" si="34"/>
        <v>107569.36322999997</v>
      </c>
      <c r="M18" s="44">
        <f t="shared" si="34"/>
        <v>145326.43717000005</v>
      </c>
      <c r="N18" s="44">
        <f t="shared" si="34"/>
        <v>125214.10911999979</v>
      </c>
      <c r="O18" s="44">
        <f t="shared" si="34"/>
        <v>129205.53683999993</v>
      </c>
      <c r="P18" s="44">
        <f t="shared" si="34"/>
        <v>118161.87757</v>
      </c>
      <c r="Q18" s="44">
        <f t="shared" si="34"/>
        <v>151904.25522999975</v>
      </c>
      <c r="R18" s="44">
        <f t="shared" si="34"/>
        <v>164883.33344000077</v>
      </c>
      <c r="S18" s="44">
        <f t="shared" si="34"/>
        <v>239178.20615999974</v>
      </c>
      <c r="T18" s="44">
        <f t="shared" si="34"/>
        <v>180746.18548000063</v>
      </c>
      <c r="U18" s="44">
        <f t="shared" si="34"/>
        <v>249791.19121596307</v>
      </c>
      <c r="V18" s="44">
        <f t="shared" si="34"/>
        <v>250570.24239844322</v>
      </c>
      <c r="W18" s="170">
        <f t="shared" si="9"/>
        <v>0.51968205136769008</v>
      </c>
      <c r="X18" s="132"/>
      <c r="Y18" s="44"/>
      <c r="Z18" s="44">
        <f t="shared" ref="Z18:AP18" si="35">Z14+Z15+Z16+Z17</f>
        <v>99325.84721857142</v>
      </c>
      <c r="AA18" s="44">
        <f t="shared" si="35"/>
        <v>100727.44071999998</v>
      </c>
      <c r="AB18" s="44">
        <f t="shared" si="35"/>
        <v>87007.840709999917</v>
      </c>
      <c r="AC18" s="44">
        <f t="shared" si="35"/>
        <v>98857.540800000061</v>
      </c>
      <c r="AD18" s="44">
        <f t="shared" si="35"/>
        <v>104796.51023000013</v>
      </c>
      <c r="AE18" s="44">
        <f t="shared" si="35"/>
        <v>109144.92012000004</v>
      </c>
      <c r="AF18" s="44">
        <f t="shared" si="35"/>
        <v>107530.53277999998</v>
      </c>
      <c r="AG18" s="44">
        <f t="shared" si="35"/>
        <v>145313.87534000006</v>
      </c>
      <c r="AH18" s="44">
        <f t="shared" si="35"/>
        <v>125224.84152999977</v>
      </c>
      <c r="AI18" s="44">
        <f t="shared" si="35"/>
        <v>129228.06127999994</v>
      </c>
      <c r="AJ18" s="44">
        <f t="shared" si="35"/>
        <v>118177.54724999999</v>
      </c>
      <c r="AK18" s="44">
        <f t="shared" si="35"/>
        <v>151919.35020999974</v>
      </c>
      <c r="AL18" s="44">
        <f t="shared" si="35"/>
        <v>164904.76949000076</v>
      </c>
      <c r="AM18" s="44">
        <f t="shared" si="35"/>
        <v>239186.28675999981</v>
      </c>
      <c r="AN18" s="44">
        <f t="shared" si="35"/>
        <v>180228.41368000058</v>
      </c>
      <c r="AO18" s="44">
        <f t="shared" si="35"/>
        <v>248753.35888596304</v>
      </c>
      <c r="AP18" s="44">
        <f t="shared" si="35"/>
        <v>249062.78117844314</v>
      </c>
      <c r="AQ18" s="170">
        <f>AP18/AL18-1</f>
        <v>0.51034310255984083</v>
      </c>
      <c r="AR18" s="132"/>
      <c r="AS18" s="44"/>
      <c r="AT18" s="44">
        <f t="shared" ref="AT18:BJ18" si="36">AT14+AT15+AT16+AT17</f>
        <v>0</v>
      </c>
      <c r="AU18" s="44">
        <f t="shared" si="36"/>
        <v>0</v>
      </c>
      <c r="AV18" s="44">
        <f t="shared" si="36"/>
        <v>0</v>
      </c>
      <c r="AW18" s="44">
        <f t="shared" si="36"/>
        <v>0</v>
      </c>
      <c r="AX18" s="44">
        <f t="shared" si="36"/>
        <v>0</v>
      </c>
      <c r="AY18" s="44">
        <f t="shared" si="36"/>
        <v>0</v>
      </c>
      <c r="AZ18" s="44">
        <f t="shared" si="36"/>
        <v>0</v>
      </c>
      <c r="BA18" s="44">
        <f t="shared" si="36"/>
        <v>0</v>
      </c>
      <c r="BB18" s="44">
        <f t="shared" si="36"/>
        <v>0</v>
      </c>
      <c r="BC18" s="44">
        <f t="shared" si="36"/>
        <v>0</v>
      </c>
      <c r="BD18" s="44">
        <f t="shared" si="36"/>
        <v>0</v>
      </c>
      <c r="BE18" s="44">
        <f t="shared" si="36"/>
        <v>0</v>
      </c>
      <c r="BF18" s="44">
        <f t="shared" si="36"/>
        <v>0</v>
      </c>
      <c r="BG18" s="44">
        <f t="shared" si="36"/>
        <v>0</v>
      </c>
      <c r="BH18" s="44">
        <f t="shared" si="36"/>
        <v>0</v>
      </c>
      <c r="BI18" s="44">
        <f t="shared" si="36"/>
        <v>0</v>
      </c>
      <c r="BJ18" s="44">
        <f t="shared" si="36"/>
        <v>0</v>
      </c>
      <c r="BL18" s="44"/>
      <c r="BM18" s="44">
        <f t="shared" ref="BM18:CC18" si="37">BM14+BM15+BM16+BM17</f>
        <v>0</v>
      </c>
      <c r="BN18" s="44">
        <f t="shared" si="37"/>
        <v>0</v>
      </c>
      <c r="BO18" s="44">
        <f t="shared" si="37"/>
        <v>0</v>
      </c>
      <c r="BP18" s="44">
        <f t="shared" si="37"/>
        <v>0</v>
      </c>
      <c r="BQ18" s="44">
        <f t="shared" si="37"/>
        <v>0</v>
      </c>
      <c r="BR18" s="44">
        <f t="shared" si="37"/>
        <v>0</v>
      </c>
      <c r="BS18" s="44">
        <f t="shared" si="37"/>
        <v>0</v>
      </c>
      <c r="BT18" s="44">
        <f t="shared" si="37"/>
        <v>0</v>
      </c>
      <c r="BU18" s="44">
        <f t="shared" si="37"/>
        <v>0</v>
      </c>
      <c r="BV18" s="44">
        <f t="shared" si="37"/>
        <v>0</v>
      </c>
      <c r="BW18" s="44">
        <f t="shared" si="37"/>
        <v>0</v>
      </c>
      <c r="BX18" s="44">
        <f t="shared" si="37"/>
        <v>0</v>
      </c>
      <c r="BY18" s="44">
        <f t="shared" si="37"/>
        <v>0</v>
      </c>
      <c r="BZ18" s="44">
        <f t="shared" si="37"/>
        <v>0</v>
      </c>
      <c r="CA18" s="44">
        <f t="shared" si="37"/>
        <v>0</v>
      </c>
      <c r="CB18" s="44">
        <f t="shared" si="37"/>
        <v>0</v>
      </c>
      <c r="CC18" s="44">
        <f t="shared" si="37"/>
        <v>0</v>
      </c>
      <c r="CE18" s="44"/>
      <c r="CF18" s="44">
        <f t="shared" ref="CF18:CV18" si="38">CF14+CF15+CF16+CF17</f>
        <v>0</v>
      </c>
      <c r="CG18" s="44">
        <f t="shared" si="38"/>
        <v>0</v>
      </c>
      <c r="CH18" s="44">
        <f t="shared" si="38"/>
        <v>0</v>
      </c>
      <c r="CI18" s="44">
        <f t="shared" si="38"/>
        <v>0</v>
      </c>
      <c r="CJ18" s="44">
        <f t="shared" si="38"/>
        <v>0</v>
      </c>
      <c r="CK18" s="44">
        <f t="shared" si="38"/>
        <v>0</v>
      </c>
      <c r="CL18" s="44">
        <f t="shared" si="38"/>
        <v>0</v>
      </c>
      <c r="CM18" s="44">
        <f t="shared" si="38"/>
        <v>0</v>
      </c>
      <c r="CN18" s="44">
        <f t="shared" si="38"/>
        <v>0</v>
      </c>
      <c r="CO18" s="44">
        <f t="shared" si="38"/>
        <v>0</v>
      </c>
      <c r="CP18" s="44">
        <f t="shared" si="38"/>
        <v>0</v>
      </c>
      <c r="CQ18" s="44">
        <f t="shared" si="38"/>
        <v>0</v>
      </c>
      <c r="CR18" s="44">
        <f t="shared" si="38"/>
        <v>0</v>
      </c>
      <c r="CS18" s="44">
        <f t="shared" si="38"/>
        <v>0</v>
      </c>
      <c r="CT18" s="44">
        <f t="shared" si="38"/>
        <v>0</v>
      </c>
      <c r="CU18" s="44">
        <f t="shared" si="38"/>
        <v>0</v>
      </c>
      <c r="CV18" s="44">
        <f t="shared" si="38"/>
        <v>0</v>
      </c>
      <c r="CW18" s="170"/>
      <c r="CY18" s="44"/>
      <c r="CZ18" s="44">
        <f t="shared" ref="CZ18:DP18" si="39">CZ14+CZ15+CZ16+CZ17</f>
        <v>0</v>
      </c>
      <c r="DA18" s="44">
        <f t="shared" si="39"/>
        <v>0</v>
      </c>
      <c r="DB18" s="44">
        <f t="shared" si="39"/>
        <v>0</v>
      </c>
      <c r="DC18" s="44">
        <f t="shared" si="39"/>
        <v>0</v>
      </c>
      <c r="DD18" s="44">
        <f t="shared" si="39"/>
        <v>568.04283999999996</v>
      </c>
      <c r="DE18" s="44">
        <f t="shared" si="39"/>
        <v>416.02948000000004</v>
      </c>
      <c r="DF18" s="44">
        <f t="shared" si="39"/>
        <v>38.830449999999935</v>
      </c>
      <c r="DG18" s="44">
        <f t="shared" si="39"/>
        <v>12.561830000000132</v>
      </c>
      <c r="DH18" s="44">
        <f t="shared" si="39"/>
        <v>-10.732410000000057</v>
      </c>
      <c r="DI18" s="44">
        <f t="shared" si="39"/>
        <v>-22.524439999999998</v>
      </c>
      <c r="DJ18" s="44">
        <f t="shared" si="39"/>
        <v>-15.669680000000001</v>
      </c>
      <c r="DK18" s="44">
        <f t="shared" si="39"/>
        <v>-15.094979999999993</v>
      </c>
      <c r="DL18" s="44">
        <f t="shared" si="39"/>
        <v>-21.436050000000012</v>
      </c>
      <c r="DM18" s="44">
        <f t="shared" si="39"/>
        <v>-8.0806000000000004</v>
      </c>
      <c r="DN18" s="44">
        <f t="shared" si="39"/>
        <v>517.77179999999998</v>
      </c>
      <c r="DO18" s="44">
        <f t="shared" si="39"/>
        <v>1037.83233</v>
      </c>
      <c r="DP18" s="44">
        <f t="shared" si="39"/>
        <v>1507.4612200000001</v>
      </c>
    </row>
    <row r="19" spans="3:120" x14ac:dyDescent="0.3">
      <c r="C19" s="39" t="s">
        <v>54</v>
      </c>
      <c r="D19" s="109"/>
      <c r="E19" s="40"/>
      <c r="F19" s="40">
        <f t="shared" ref="F19:V19" si="40">F18/AVERAGE(E122:F122)*4</f>
        <v>0.15981360035846559</v>
      </c>
      <c r="G19" s="40">
        <f t="shared" si="40"/>
        <v>0.16285315827656094</v>
      </c>
      <c r="H19" s="40">
        <f t="shared" si="40"/>
        <v>0.1311754259057229</v>
      </c>
      <c r="I19" s="40">
        <f t="shared" si="40"/>
        <v>0.14226394444832452</v>
      </c>
      <c r="J19" s="40">
        <f t="shared" si="40"/>
        <v>0.13985827442935683</v>
      </c>
      <c r="K19" s="207">
        <f t="shared" si="40"/>
        <v>0.12384846839594678</v>
      </c>
      <c r="L19" s="40">
        <f t="shared" si="40"/>
        <v>0.10026137378761728</v>
      </c>
      <c r="M19" s="40">
        <f t="shared" si="40"/>
        <v>0.10779018184274375</v>
      </c>
      <c r="N19" s="40">
        <f t="shared" si="40"/>
        <v>8.3856517156901678E-2</v>
      </c>
      <c r="O19" s="207">
        <f t="shared" si="40"/>
        <v>8.3031641860932343E-2</v>
      </c>
      <c r="P19" s="207">
        <f t="shared" si="40"/>
        <v>7.1943040504424807E-2</v>
      </c>
      <c r="Q19" s="207">
        <f t="shared" si="40"/>
        <v>8.9776152839722456E-2</v>
      </c>
      <c r="R19" s="207">
        <f t="shared" si="40"/>
        <v>8.5608577956917106E-2</v>
      </c>
      <c r="S19" s="207">
        <f t="shared" si="40"/>
        <v>0.11126675423680586</v>
      </c>
      <c r="T19" s="207">
        <f t="shared" si="40"/>
        <v>8.5265192654980379E-2</v>
      </c>
      <c r="U19" s="207">
        <f t="shared" si="40"/>
        <v>0.11745174690226021</v>
      </c>
      <c r="V19" s="207">
        <f t="shared" si="40"/>
        <v>0.11374415853605536</v>
      </c>
      <c r="W19" s="40"/>
      <c r="X19" s="104"/>
      <c r="Y19" s="40"/>
      <c r="Z19" s="40">
        <f t="shared" ref="Z19:AP19" si="41">Z18/AVERAGE(Y122:Z122)*4</f>
        <v>0.15981360035846559</v>
      </c>
      <c r="AA19" s="40">
        <f t="shared" si="41"/>
        <v>0.16285315827656094</v>
      </c>
      <c r="AB19" s="40">
        <f t="shared" si="41"/>
        <v>0.1311754259057229</v>
      </c>
      <c r="AC19" s="40">
        <f t="shared" si="41"/>
        <v>0.14226394444832452</v>
      </c>
      <c r="AD19" s="40">
        <f t="shared" si="41"/>
        <v>0.13910426856030927</v>
      </c>
      <c r="AE19" s="207">
        <f t="shared" si="41"/>
        <v>0.12337818574420203</v>
      </c>
      <c r="AF19" s="40">
        <f t="shared" si="41"/>
        <v>0.10022518137980813</v>
      </c>
      <c r="AG19" s="40">
        <f t="shared" si="41"/>
        <v>0.10778086459829501</v>
      </c>
      <c r="AH19" s="40">
        <f t="shared" si="41"/>
        <v>8.3863704705730027E-2</v>
      </c>
      <c r="AI19" s="40">
        <f t="shared" si="41"/>
        <v>8.3046116791968119E-2</v>
      </c>
      <c r="AJ19" s="40">
        <f t="shared" si="41"/>
        <v>7.1952581013141434E-2</v>
      </c>
      <c r="AK19" s="40">
        <f t="shared" si="41"/>
        <v>8.978507404623863E-2</v>
      </c>
      <c r="AL19" s="40">
        <f t="shared" si="41"/>
        <v>8.5619707703746134E-2</v>
      </c>
      <c r="AM19" s="40">
        <f t="shared" si="41"/>
        <v>0.11127051336749226</v>
      </c>
      <c r="AN19" s="40">
        <f t="shared" si="41"/>
        <v>8.5020939022954461E-2</v>
      </c>
      <c r="AO19" s="40">
        <f t="shared" si="41"/>
        <v>0.11696375843654702</v>
      </c>
      <c r="AP19" s="40">
        <f t="shared" si="41"/>
        <v>0.11305985976875806</v>
      </c>
      <c r="AQ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</row>
    <row r="20" spans="3:120" x14ac:dyDescent="0.3">
      <c r="C20" s="45"/>
      <c r="D20" s="112"/>
      <c r="E20" s="45"/>
      <c r="F20" s="45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72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172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172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</row>
    <row r="21" spans="3:120" x14ac:dyDescent="0.3">
      <c r="C21" s="36" t="s">
        <v>15</v>
      </c>
      <c r="D21" s="110">
        <v>12</v>
      </c>
      <c r="E21" s="38"/>
      <c r="F21" s="38">
        <f>VLOOKUP($C21,Segment!$AK$152:$AP$223,6,0)/1000</f>
        <v>50649.32892</v>
      </c>
      <c r="G21" s="38">
        <f>VLOOKUP($C21,Segment!$I$229:$N$300,6,0)/1000</f>
        <v>22042.510999999999</v>
      </c>
      <c r="H21" s="38">
        <f>VLOOKUP($C21,Segment!$P$229:$U$300,6,0)/1000</f>
        <v>32980.674950000001</v>
      </c>
      <c r="I21" s="38">
        <f>VLOOKUP($C21,Segment!$AD$229:$AI$300,6,0)/1000</f>
        <v>40762.183720000015</v>
      </c>
      <c r="J21" s="38">
        <f>VLOOKUP($C21,Segment!$AK$229:$AP$300,6,0)/1000</f>
        <v>36739.848539999984</v>
      </c>
      <c r="K21" s="38">
        <f>VLOOKUP($C21,Segment!$I$306:$N$377,6,0)/1000</f>
        <v>64970.661080000005</v>
      </c>
      <c r="L21" s="203">
        <f>VLOOKUP($C21,Segment!$P$306:$U$377,6,0)/1000</f>
        <v>39915.016370000019</v>
      </c>
      <c r="M21" s="203">
        <f>VLOOKUP($C21,Segment!$AD$306:$AI$377,6,0)/1000</f>
        <v>59039.722539999981</v>
      </c>
      <c r="N21" s="203">
        <f>VLOOKUP($C21,Segment!$AK$306:$AP$377,6,0)/1000</f>
        <v>84521.637369999997</v>
      </c>
      <c r="O21" s="203">
        <f>VLOOKUP($C21,Segment!$I$383:$N$454,6,0)/1000</f>
        <v>89371.244319999998</v>
      </c>
      <c r="P21" s="203">
        <f>VLOOKUP($C21,Segment!$P$383:$U$454,6,0)/1000</f>
        <v>87653.561400000021</v>
      </c>
      <c r="Q21" s="203">
        <f>VLOOKUP($C21,Segment!$AD$383:$AI$454,6,0)/1000</f>
        <v>73608.378759999992</v>
      </c>
      <c r="R21" s="203">
        <f>VLOOKUP($C21,Segment!$AK$383:$AP$454,6,0)/1000</f>
        <v>76495.884099999967</v>
      </c>
      <c r="S21" s="203">
        <f>VLOOKUP($C21,Segment!$I$460:$N$531,6,0)/1000</f>
        <v>42512.39360000001</v>
      </c>
      <c r="T21" s="203">
        <f>VLOOKUP($C21,Segment!$P$460:$U$531,6,0)/1000</f>
        <v>50209.773939999963</v>
      </c>
      <c r="U21" s="203">
        <f>VLOOKUP($C21,Segment!$AD$460:$AI$531,6,0)/1000</f>
        <v>59099.672640000055</v>
      </c>
      <c r="V21" s="203">
        <f>VLOOKUP($C21,Segment!$AK$460:$AP$531,6,0)/1000</f>
        <v>66832.839473308137</v>
      </c>
      <c r="W21" s="132">
        <f t="shared" si="9"/>
        <v>-0.12632110525135865</v>
      </c>
      <c r="X21" s="132"/>
      <c r="Y21" s="38"/>
      <c r="Z21" s="38">
        <f>VLOOKUP($C21,Segment!$AK$152:$AP$223,2,0)/1000</f>
        <v>50649.32892</v>
      </c>
      <c r="AA21" s="38">
        <f>VLOOKUP($C21,Segment!$I$229:$N$300,2,0)/1000</f>
        <v>22042.510999999999</v>
      </c>
      <c r="AB21" s="38">
        <f>VLOOKUP($C21,Segment!$P$229:$U$300,2,0)/1000</f>
        <v>32980.674950000001</v>
      </c>
      <c r="AC21" s="38">
        <f>VLOOKUP($C21,Segment!$AD$229:$AI$300,2,0)/1000</f>
        <v>40762.183720000015</v>
      </c>
      <c r="AD21" s="38">
        <f>VLOOKUP($C21,Segment!$AK$229:$AP$300,2,0)/1000</f>
        <v>36732.655779999986</v>
      </c>
      <c r="AE21" s="38">
        <f>VLOOKUP($C21,Segment!$I$306:$N$377,2,0)/1000</f>
        <v>61545.212540000008</v>
      </c>
      <c r="AF21" s="38">
        <f>VLOOKUP($C21,Segment!$P$306:$U$377,2,0)/1000</f>
        <v>36552.704920000018</v>
      </c>
      <c r="AG21" s="38">
        <f>VLOOKUP($C21,Segment!$AD$306:$AI$377,2,0)/1000</f>
        <v>55403.584349999976</v>
      </c>
      <c r="AH21" s="38">
        <f>VLOOKUP($C21,Segment!$AK$306:$AP$377,2,0)/1000</f>
        <v>80681.69064999999</v>
      </c>
      <c r="AI21" s="38">
        <f>VLOOKUP($C21,Segment!$I$383:$N$454,2,0)/1000</f>
        <v>85384.473919999989</v>
      </c>
      <c r="AJ21" s="38">
        <f>VLOOKUP($C21,Segment!$P$383:$U$454,2,0)/1000</f>
        <v>83600.391450000025</v>
      </c>
      <c r="AK21" s="38">
        <f>VLOOKUP($C21,Segment!$AD$383:$AI$454,2,0)/1000</f>
        <v>69556.932939999999</v>
      </c>
      <c r="AL21" s="38">
        <f>VLOOKUP($C21,Segment!$AK$383:$AP$454,2,0)/1000</f>
        <v>72223.447099999961</v>
      </c>
      <c r="AM21" s="38">
        <f>VLOOKUP($C21,Segment!$I$460:$N$531,2,0)/1000</f>
        <v>38616.692690000003</v>
      </c>
      <c r="AN21" s="38">
        <f>VLOOKUP($C21,Segment!$P$460:$U$531,2,0)/1000</f>
        <v>46472.287779999962</v>
      </c>
      <c r="AO21" s="38">
        <f>VLOOKUP($C21,Segment!$AD$460:$AI$531,2,0)/1000</f>
        <v>55282.285010000051</v>
      </c>
      <c r="AP21" s="38">
        <f>VLOOKUP($C21,Segment!$AK$460:$AP$531,2,0)/1000</f>
        <v>63493.249223308143</v>
      </c>
      <c r="AQ21" s="132">
        <f>AP21/AL21-1</f>
        <v>-0.12087761284232335</v>
      </c>
      <c r="AS21" s="38"/>
      <c r="AT21" s="38">
        <f>VLOOKUP($C21,Segment!$AK$152:$AP$223,3,0)/1000</f>
        <v>0</v>
      </c>
      <c r="AU21" s="38">
        <f>VLOOKUP($C21,Segment!$I$229:$N$300,3,0)/1000</f>
        <v>0</v>
      </c>
      <c r="AV21" s="38">
        <f>VLOOKUP($C21,Segment!$P$229:$U$300,3,0)/1000</f>
        <v>0</v>
      </c>
      <c r="AW21" s="38">
        <f>VLOOKUP($C21,Segment!$AD$229:$AI$300,3,0)/1000</f>
        <v>0</v>
      </c>
      <c r="AX21" s="38">
        <f>VLOOKUP($C21,Segment!$AK$229:$AP$300,3,0)/1000</f>
        <v>0</v>
      </c>
      <c r="AY21" s="38">
        <f>VLOOKUP($C21,Segment!$I$306:$N$377,3,0)/1000</f>
        <v>0</v>
      </c>
      <c r="AZ21" s="38">
        <f>VLOOKUP($C21,Segment!$P$306:$U$377,3,0)/1000</f>
        <v>0</v>
      </c>
      <c r="BA21" s="38">
        <f>VLOOKUP($C21,Segment!$AD$306:$AI$377,3,0)/1000</f>
        <v>0</v>
      </c>
      <c r="BB21" s="38">
        <f>VLOOKUP($C21,Segment!$AK$306:$AP$377,3,0)/1000</f>
        <v>0</v>
      </c>
      <c r="BC21" s="38">
        <f>VLOOKUP($C21,Segment!$I$383:$N$454,3,0)/1000</f>
        <v>0</v>
      </c>
      <c r="BD21" s="38">
        <f>VLOOKUP($C21,Segment!$P$383:$U$454,3,0)/1000</f>
        <v>0</v>
      </c>
      <c r="BE21" s="38">
        <f>VLOOKUP($C21,Segment!$AD$383:$AI$454,3,0)/1000</f>
        <v>0</v>
      </c>
      <c r="BF21" s="38">
        <f>VLOOKUP($C21,Segment!$AK$383:$AP$454,3,0)/1000</f>
        <v>0</v>
      </c>
      <c r="BG21" s="38">
        <f>VLOOKUP($C21,Segment!$I$460:$N$531,3,0)/1000</f>
        <v>0</v>
      </c>
      <c r="BH21" s="38">
        <f>VLOOKUP($C21,Segment!$P$460:$U$531,3,0)/1000</f>
        <v>0</v>
      </c>
      <c r="BI21" s="38">
        <f>VLOOKUP($C21,Segment!$AD$460:$AI$531,3,0)/1000</f>
        <v>0</v>
      </c>
      <c r="BJ21" s="38">
        <f>VLOOKUP($C21,Segment!$AK$460:$AP$531,3,0)/1000</f>
        <v>0</v>
      </c>
      <c r="BL21" s="38"/>
      <c r="BM21" s="38">
        <f>VLOOKUP($C21,Segment!$AK$152:$AP$223,4,0)/1000</f>
        <v>0</v>
      </c>
      <c r="BN21" s="38">
        <f>VLOOKUP($C21,Segment!$I$229:$N$300,4,0)/1000</f>
        <v>0</v>
      </c>
      <c r="BO21" s="38">
        <f>VLOOKUP($C21,Segment!$P$229:$U$300,4,0)/1000</f>
        <v>0</v>
      </c>
      <c r="BP21" s="38">
        <f>VLOOKUP($C21,Segment!$AD$229:$AI$300,4,0)/1000</f>
        <v>0</v>
      </c>
      <c r="BQ21" s="38">
        <f>VLOOKUP($C21,Segment!$AK$229:$AP$300,4,0)/1000</f>
        <v>0</v>
      </c>
      <c r="BR21" s="38">
        <f>VLOOKUP($C21,Segment!$I$306:$N$377,4,0)/1000</f>
        <v>0</v>
      </c>
      <c r="BS21" s="38">
        <f>VLOOKUP($C21,Segment!$P$306:$U$377,4,0)/1000</f>
        <v>0</v>
      </c>
      <c r="BT21" s="38">
        <f>VLOOKUP($C21,Segment!$AD$306:$AI$377,4,0)/1000</f>
        <v>0</v>
      </c>
      <c r="BU21" s="38">
        <f>VLOOKUP($C21,Segment!$AK$306:$AP$377,4,0)/1000</f>
        <v>0</v>
      </c>
      <c r="BV21" s="38">
        <f>VLOOKUP($C21,Segment!$I$383:$N$454,4,0)/1000</f>
        <v>0</v>
      </c>
      <c r="BW21" s="38">
        <f>VLOOKUP($C21,Segment!$P$383:$U$454,4,0)/1000</f>
        <v>0</v>
      </c>
      <c r="BX21" s="38">
        <f>VLOOKUP($C21,Segment!$AD$383:$AI$454,4,0)/1000</f>
        <v>0</v>
      </c>
      <c r="BY21" s="38">
        <f>VLOOKUP($C21,Segment!$AK$383:$AP$454,4,0)/1000</f>
        <v>0</v>
      </c>
      <c r="BZ21" s="38">
        <f>VLOOKUP($C21,Segment!$I$460:$N$531,4,0)/1000</f>
        <v>0</v>
      </c>
      <c r="CA21" s="38">
        <f>VLOOKUP($C21,Segment!$P$460:$U$531,4,0)/1000</f>
        <v>0</v>
      </c>
      <c r="CB21" s="38">
        <f>VLOOKUP($C21,Segment!$AD$460:$AI$531,4,0)/1000</f>
        <v>0</v>
      </c>
      <c r="CC21" s="38">
        <f>VLOOKUP($C21,Segment!$AK$460:$AP$531,4,0)/1000</f>
        <v>0</v>
      </c>
      <c r="CE21" s="38"/>
      <c r="CF21" s="38">
        <f t="shared" ref="CF21:CV21" si="42">AT21+BM21</f>
        <v>0</v>
      </c>
      <c r="CG21" s="38">
        <f t="shared" si="42"/>
        <v>0</v>
      </c>
      <c r="CH21" s="38">
        <f t="shared" si="42"/>
        <v>0</v>
      </c>
      <c r="CI21" s="38">
        <f t="shared" si="42"/>
        <v>0</v>
      </c>
      <c r="CJ21" s="38">
        <f t="shared" si="42"/>
        <v>0</v>
      </c>
      <c r="CK21" s="38">
        <f t="shared" si="42"/>
        <v>0</v>
      </c>
      <c r="CL21" s="38">
        <f t="shared" si="42"/>
        <v>0</v>
      </c>
      <c r="CM21" s="38">
        <f t="shared" si="42"/>
        <v>0</v>
      </c>
      <c r="CN21" s="38">
        <f t="shared" si="42"/>
        <v>0</v>
      </c>
      <c r="CO21" s="38">
        <f t="shared" si="42"/>
        <v>0</v>
      </c>
      <c r="CP21" s="38">
        <f t="shared" si="42"/>
        <v>0</v>
      </c>
      <c r="CQ21" s="38">
        <f t="shared" si="42"/>
        <v>0</v>
      </c>
      <c r="CR21" s="38">
        <f t="shared" si="42"/>
        <v>0</v>
      </c>
      <c r="CS21" s="38">
        <f t="shared" si="42"/>
        <v>0</v>
      </c>
      <c r="CT21" s="38">
        <f t="shared" si="42"/>
        <v>0</v>
      </c>
      <c r="CU21" s="38">
        <f t="shared" si="42"/>
        <v>0</v>
      </c>
      <c r="CV21" s="38">
        <f t="shared" si="42"/>
        <v>0</v>
      </c>
      <c r="CY21" s="38"/>
      <c r="CZ21" s="38">
        <f>VLOOKUP($C21,Segment!$AK$152:$AP$223,5,0)/1000</f>
        <v>0</v>
      </c>
      <c r="DA21" s="38">
        <f>VLOOKUP($C21,Segment!$I$229:$N$300,5,0)/1000</f>
        <v>0</v>
      </c>
      <c r="DB21" s="38">
        <f>VLOOKUP($C21,Segment!$P$229:$U$300,5,0)/1000</f>
        <v>0</v>
      </c>
      <c r="DC21" s="38">
        <f>VLOOKUP($C21,Segment!$AD$229:$AI$300,5,0)/1000</f>
        <v>0</v>
      </c>
      <c r="DD21" s="38">
        <f>VLOOKUP($C21,Segment!$AK$229:$AP$300,5,0)/1000</f>
        <v>7.1927599999999998</v>
      </c>
      <c r="DE21" s="38">
        <f>VLOOKUP($C21,Segment!$I$306:$N$377,5,0)/1000</f>
        <v>3425.4485399999999</v>
      </c>
      <c r="DF21" s="38">
        <f>VLOOKUP($C21,Segment!$P$306:$U$377,5,0)/1000</f>
        <v>3362.3114499999992</v>
      </c>
      <c r="DG21" s="38">
        <f>VLOOKUP($C21,Segment!$AD$306:$AI$377,5,0)/1000</f>
        <v>3636.1381900000024</v>
      </c>
      <c r="DH21" s="38">
        <f>VLOOKUP($C21,Segment!$AK$306:$AP$377,5,0)/1000</f>
        <v>3839.9467199999981</v>
      </c>
      <c r="DI21" s="38">
        <f>VLOOKUP($C21,Segment!$I$383:$N$454,5,0)/1000</f>
        <v>3986.7704000000003</v>
      </c>
      <c r="DJ21" s="38">
        <f>VLOOKUP($C21,Segment!$P$383:$U$454,5,0)/1000</f>
        <v>4053.1699499999991</v>
      </c>
      <c r="DK21" s="38">
        <f>VLOOKUP($C21,Segment!$AD$383:$AI$454,5,0)/1000</f>
        <v>4051.4458200000004</v>
      </c>
      <c r="DL21" s="38">
        <f>VLOOKUP($C21,Segment!$AK$383:$AP$454,5,0)/1000</f>
        <v>4272.4369999999999</v>
      </c>
      <c r="DM21" s="38">
        <f>VLOOKUP($C21,Segment!$I$460:$N$531,5,0)/1000</f>
        <v>3895.70091</v>
      </c>
      <c r="DN21" s="38">
        <f>VLOOKUP($C21,Segment!$P$460:$U$531,5,0)/1000</f>
        <v>3737.486159999999</v>
      </c>
      <c r="DO21" s="38">
        <f>VLOOKUP($C21,Segment!$AD$460:$AI$531,5,0)/1000</f>
        <v>3817.3876299999997</v>
      </c>
      <c r="DP21" s="38">
        <f>VLOOKUP($C21,Segment!$AK$460:$AP$531,5,0)/1000</f>
        <v>3339.5902500000002</v>
      </c>
    </row>
    <row r="22" spans="3:120" x14ac:dyDescent="0.3">
      <c r="C22" s="39" t="s">
        <v>55</v>
      </c>
      <c r="D22" s="109"/>
      <c r="E22" s="40"/>
      <c r="F22" s="40">
        <f t="shared" ref="F22:R22" si="43">F21/F$135</f>
        <v>4.2641503876943883E-2</v>
      </c>
      <c r="G22" s="40">
        <f t="shared" si="43"/>
        <v>1.4341310979558489E-2</v>
      </c>
      <c r="H22" s="40">
        <f t="shared" si="43"/>
        <v>2.1793224597056078E-2</v>
      </c>
      <c r="I22" s="40">
        <f t="shared" si="43"/>
        <v>2.4758012739648266E-2</v>
      </c>
      <c r="J22" s="40">
        <f t="shared" si="43"/>
        <v>2.0251188811600828E-2</v>
      </c>
      <c r="K22" s="40">
        <f t="shared" si="43"/>
        <v>2.6929973846629172E-2</v>
      </c>
      <c r="L22" s="40">
        <f t="shared" si="43"/>
        <v>1.5444886647499632E-2</v>
      </c>
      <c r="M22" s="40">
        <f t="shared" si="43"/>
        <v>1.8702028096368454E-2</v>
      </c>
      <c r="N22" s="40">
        <f t="shared" si="43"/>
        <v>2.7757619009937697E-2</v>
      </c>
      <c r="O22" s="40">
        <f t="shared" si="43"/>
        <v>2.1919152229200083E-2</v>
      </c>
      <c r="P22" s="40">
        <f t="shared" si="43"/>
        <v>2.3361307770432143E-2</v>
      </c>
      <c r="Q22" s="40">
        <f t="shared" si="43"/>
        <v>1.7902474220657414E-2</v>
      </c>
      <c r="R22" s="40">
        <f t="shared" si="43"/>
        <v>1.7002510239978962E-2</v>
      </c>
      <c r="S22" s="40">
        <f>S21/S$135</f>
        <v>1.653430693832033E-2</v>
      </c>
      <c r="T22" s="40">
        <f>T21/T$135</f>
        <v>2.3249466730792385E-2</v>
      </c>
      <c r="U22" s="40">
        <f>U21/U$135</f>
        <v>1.6991016347293827E-2</v>
      </c>
      <c r="V22" s="40">
        <f>V21/V$135</f>
        <v>2.0574421629173806E-2</v>
      </c>
      <c r="W22" s="169"/>
      <c r="Y22" s="40"/>
      <c r="Z22" s="40">
        <f t="shared" ref="Z22:AL22" si="44">Z21/Z$135</f>
        <v>4.2641503876943883E-2</v>
      </c>
      <c r="AA22" s="40">
        <f t="shared" si="44"/>
        <v>1.4341310979558489E-2</v>
      </c>
      <c r="AB22" s="40">
        <f t="shared" si="44"/>
        <v>2.1793224597056078E-2</v>
      </c>
      <c r="AC22" s="40">
        <f t="shared" si="44"/>
        <v>2.4758012739648266E-2</v>
      </c>
      <c r="AD22" s="40">
        <f t="shared" si="44"/>
        <v>2.0247224126208132E-2</v>
      </c>
      <c r="AE22" s="40">
        <f t="shared" si="44"/>
        <v>2.5510144679713544E-2</v>
      </c>
      <c r="AF22" s="40">
        <f t="shared" si="44"/>
        <v>1.4143859516821291E-2</v>
      </c>
      <c r="AG22" s="40">
        <f t="shared" si="44"/>
        <v>1.7550207666562307E-2</v>
      </c>
      <c r="AH22" s="40">
        <f t="shared" si="44"/>
        <v>2.649654810089196E-2</v>
      </c>
      <c r="AI22" s="40">
        <f t="shared" si="44"/>
        <v>2.0941358667463657E-2</v>
      </c>
      <c r="AJ22" s="40">
        <f t="shared" si="44"/>
        <v>2.2281062437151059E-2</v>
      </c>
      <c r="AK22" s="40">
        <f t="shared" si="44"/>
        <v>1.6917112152224596E-2</v>
      </c>
      <c r="AL22" s="40">
        <f t="shared" si="44"/>
        <v>1.6052888509387509E-2</v>
      </c>
      <c r="AM22" s="40">
        <f>AM21/AM$135</f>
        <v>1.5019155493499449E-2</v>
      </c>
      <c r="AN22" s="40">
        <f>AN21/AN$135</f>
        <v>2.1518836351186319E-2</v>
      </c>
      <c r="AO22" s="40">
        <f>AO21/AO$135</f>
        <v>1.5893526416674693E-2</v>
      </c>
      <c r="AP22" s="40">
        <f>AP21/AP$135</f>
        <v>1.9546332168757875E-2</v>
      </c>
      <c r="AQ22" s="169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169"/>
      <c r="CY22" s="40"/>
      <c r="CZ22" s="40">
        <f t="shared" ref="CZ22:DL22" si="45">CZ21/CZ$135</f>
        <v>0</v>
      </c>
      <c r="DA22" s="40">
        <f t="shared" si="45"/>
        <v>0</v>
      </c>
      <c r="DB22" s="40">
        <f t="shared" si="45"/>
        <v>0</v>
      </c>
      <c r="DC22" s="40">
        <f t="shared" si="45"/>
        <v>0</v>
      </c>
      <c r="DD22" s="40">
        <f t="shared" si="45"/>
        <v>3.9646853926995E-6</v>
      </c>
      <c r="DE22" s="40">
        <f t="shared" si="45"/>
        <v>1.4198291669156287E-3</v>
      </c>
      <c r="DF22" s="40">
        <f t="shared" si="45"/>
        <v>1.3010271306783405E-3</v>
      </c>
      <c r="DG22" s="40">
        <f t="shared" si="45"/>
        <v>1.151820429806146E-3</v>
      </c>
      <c r="DH22" s="40">
        <f t="shared" si="45"/>
        <v>1.2610709090457349E-3</v>
      </c>
      <c r="DI22" s="40">
        <f t="shared" si="45"/>
        <v>9.7779356173642346E-4</v>
      </c>
      <c r="DJ22" s="40">
        <f t="shared" si="45"/>
        <v>1.0802453332810847E-3</v>
      </c>
      <c r="DK22" s="40">
        <f t="shared" si="45"/>
        <v>9.8536206843282282E-4</v>
      </c>
      <c r="DL22" s="40">
        <f t="shared" si="45"/>
        <v>9.496217305914505E-4</v>
      </c>
      <c r="DM22" s="40">
        <f>DM21/DM$135</f>
        <v>1.5151514448208769E-3</v>
      </c>
      <c r="DN22" s="40">
        <f>DN21/DN$135</f>
        <v>1.7306303796060674E-3</v>
      </c>
      <c r="DO22" s="40">
        <f>DO21/DO$135</f>
        <v>1.0974899306191348E-3</v>
      </c>
      <c r="DP22" s="40">
        <f>DP21/DP$135</f>
        <v>1.028089460415932E-3</v>
      </c>
    </row>
    <row r="23" spans="3:120" x14ac:dyDescent="0.3">
      <c r="C23" s="39" t="s">
        <v>99</v>
      </c>
      <c r="D23" s="109"/>
      <c r="E23" s="40"/>
      <c r="F23" s="40">
        <f t="shared" ref="F23:V23" si="46">F189/F$135</f>
        <v>1.8411716281597299E-2</v>
      </c>
      <c r="G23" s="40">
        <f t="shared" si="46"/>
        <v>1.4341310979558489E-2</v>
      </c>
      <c r="H23" s="40">
        <f t="shared" si="46"/>
        <v>1.742706981873951E-2</v>
      </c>
      <c r="I23" s="40">
        <f t="shared" si="46"/>
        <v>1.7165800276954347E-2</v>
      </c>
      <c r="J23" s="40">
        <f t="shared" si="46"/>
        <v>1.7030773504146272E-2</v>
      </c>
      <c r="K23" s="40">
        <f t="shared" si="46"/>
        <v>1.6823564639757736E-2</v>
      </c>
      <c r="L23" s="40">
        <f t="shared" si="46"/>
        <v>1.5444886647499632E-2</v>
      </c>
      <c r="M23" s="40">
        <f t="shared" si="46"/>
        <v>1.5534325523969397E-2</v>
      </c>
      <c r="N23" s="40">
        <f t="shared" si="46"/>
        <v>1.7156594591558178E-2</v>
      </c>
      <c r="O23" s="40">
        <f t="shared" si="46"/>
        <v>1.5673617485183214E-2</v>
      </c>
      <c r="P23" s="40">
        <f t="shared" si="46"/>
        <v>1.6619718830806002E-2</v>
      </c>
      <c r="Q23" s="40">
        <f t="shared" si="46"/>
        <v>1.4319954815766181E-2</v>
      </c>
      <c r="R23" s="40">
        <f t="shared" si="46"/>
        <v>1.3933003047838285E-2</v>
      </c>
      <c r="S23" s="40">
        <f t="shared" si="46"/>
        <v>1.653430693832033E-2</v>
      </c>
      <c r="T23" s="40">
        <f t="shared" si="46"/>
        <v>1.8450451433773257E-2</v>
      </c>
      <c r="U23" s="40">
        <f t="shared" si="46"/>
        <v>1.6991016347293827E-2</v>
      </c>
      <c r="V23" s="40">
        <f t="shared" si="46"/>
        <v>1.6837134981672837E-2</v>
      </c>
      <c r="W23" s="169"/>
      <c r="Y23" s="40"/>
      <c r="Z23" s="40">
        <f t="shared" ref="Z23:AP23" si="47">Z189/Z$135</f>
        <v>1.8411716281597299E-2</v>
      </c>
      <c r="AA23" s="40">
        <f t="shared" si="47"/>
        <v>1.4341310979558489E-2</v>
      </c>
      <c r="AB23" s="40">
        <f t="shared" si="47"/>
        <v>1.742706981873951E-2</v>
      </c>
      <c r="AC23" s="40">
        <f t="shared" si="47"/>
        <v>1.7165800276954347E-2</v>
      </c>
      <c r="AD23" s="40">
        <f t="shared" si="47"/>
        <v>1.7026808818753576E-2</v>
      </c>
      <c r="AE23" s="40">
        <f t="shared" si="47"/>
        <v>1.5403735472842107E-2</v>
      </c>
      <c r="AF23" s="40">
        <f t="shared" si="47"/>
        <v>1.4143859516821291E-2</v>
      </c>
      <c r="AG23" s="40">
        <f t="shared" si="47"/>
        <v>1.438250509416325E-2</v>
      </c>
      <c r="AH23" s="40">
        <f t="shared" si="47"/>
        <v>1.5895523682512441E-2</v>
      </c>
      <c r="AI23" s="40">
        <f t="shared" si="47"/>
        <v>1.469582392344679E-2</v>
      </c>
      <c r="AJ23" s="40">
        <f t="shared" si="47"/>
        <v>1.5539473497524917E-2</v>
      </c>
      <c r="AK23" s="40">
        <f t="shared" si="47"/>
        <v>1.3334592747333359E-2</v>
      </c>
      <c r="AL23" s="40">
        <f t="shared" si="47"/>
        <v>1.2983381317246833E-2</v>
      </c>
      <c r="AM23" s="40">
        <f t="shared" si="47"/>
        <v>1.5019155493499449E-2</v>
      </c>
      <c r="AN23" s="40">
        <f t="shared" si="47"/>
        <v>1.6719821054167187E-2</v>
      </c>
      <c r="AO23" s="40">
        <f t="shared" si="47"/>
        <v>1.5893526416674693E-2</v>
      </c>
      <c r="AP23" s="40">
        <f t="shared" si="47"/>
        <v>1.580904552125691E-2</v>
      </c>
      <c r="AQ23" s="169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169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</row>
    <row r="24" spans="3:120" x14ac:dyDescent="0.3">
      <c r="C24" s="36" t="s">
        <v>16</v>
      </c>
      <c r="D24" s="110">
        <v>13</v>
      </c>
      <c r="E24" s="38"/>
      <c r="F24" s="38">
        <f>VLOOKUP($C24,Segment!$AK$152:$AP$223,6,0)/1000</f>
        <v>-20646.310710000002</v>
      </c>
      <c r="G24" s="38">
        <f>VLOOKUP($C24,Segment!$I$229:$N$300,6,0)/1000</f>
        <v>-8772.4809999999998</v>
      </c>
      <c r="H24" s="38">
        <f>VLOOKUP($C24,Segment!$P$229:$U$300,6,0)/1000</f>
        <v>-10707.675710000001</v>
      </c>
      <c r="I24" s="38">
        <f>VLOOKUP($C24,Segment!$AD$229:$AI$300,6,0)/1000</f>
        <v>-21415.722919999986</v>
      </c>
      <c r="J24" s="38">
        <f>VLOOKUP($C24,Segment!$AK$229:$AP$300,6,0)/1000</f>
        <v>-15753.39117000001</v>
      </c>
      <c r="K24" s="38">
        <f>VLOOKUP($C24,Segment!$I$306:$N$377,6,0)/1000</f>
        <v>-21269.197590000007</v>
      </c>
      <c r="L24" s="203">
        <f>VLOOKUP($C24,Segment!$P$306:$U$377,6,0)/1000</f>
        <v>-15984.04789999998</v>
      </c>
      <c r="M24" s="203">
        <f>VLOOKUP($C24,Segment!$AD$306:$AI$377,6,0)/1000</f>
        <v>-24351.895760000014</v>
      </c>
      <c r="N24" s="203">
        <f>VLOOKUP($C24,Segment!$AK$306:$AP$377,6,0)/1000</f>
        <v>-21832.332059999986</v>
      </c>
      <c r="O24" s="203">
        <f>VLOOKUP($C24,Segment!$I$383:$N$454,6,0)/1000</f>
        <v>-33974.76107</v>
      </c>
      <c r="P24" s="203">
        <f>VLOOKUP($C24,Segment!$P$383:$U$454,6,0)/1000</f>
        <v>-35087.467560000012</v>
      </c>
      <c r="Q24" s="203">
        <f>VLOOKUP($C24,Segment!$AD$383:$AI$454,6,0)/1000</f>
        <v>-44548.916939999966</v>
      </c>
      <c r="R24" s="203">
        <f>VLOOKUP($C24,Segment!$AK$383:$AP$454,6,0)/1000</f>
        <v>-49927.79571000002</v>
      </c>
      <c r="S24" s="203">
        <f>VLOOKUP($C24,Segment!$I$460:$N$531,6,0)/1000</f>
        <v>-32166.196959999997</v>
      </c>
      <c r="T24" s="203">
        <f>VLOOKUP($C24,Segment!$P$460:$U$531,6,0)/1000</f>
        <v>-26666.022469999996</v>
      </c>
      <c r="U24" s="203">
        <f>VLOOKUP($C24,Segment!$AD$460:$AI$531,6,0)/1000</f>
        <v>-25693.452228474573</v>
      </c>
      <c r="V24" s="203">
        <f>VLOOKUP($C24,Segment!$AK$460:$AP$531,6,0)/1000</f>
        <v>-26382.603418002665</v>
      </c>
      <c r="W24" s="132">
        <f t="shared" si="9"/>
        <v>-0.47158485483230528</v>
      </c>
      <c r="X24" s="132"/>
      <c r="Y24" s="38"/>
      <c r="Z24" s="38">
        <f>VLOOKUP($C24,Segment!$AK$152:$AP$223,2,0)/1000</f>
        <v>-20646.310710000002</v>
      </c>
      <c r="AA24" s="38">
        <f>VLOOKUP($C24,Segment!$I$229:$N$300,2,0)/1000</f>
        <v>-8772.4809999999998</v>
      </c>
      <c r="AB24" s="38">
        <f>VLOOKUP($C24,Segment!$P$229:$U$300,2,0)/1000</f>
        <v>-10707.675710000001</v>
      </c>
      <c r="AC24" s="38">
        <f>VLOOKUP($C24,Segment!$AD$229:$AI$300,2,0)/1000</f>
        <v>-21415.722919999986</v>
      </c>
      <c r="AD24" s="38">
        <f>VLOOKUP($C24,Segment!$AK$229:$AP$300,2,0)/1000</f>
        <v>-15753.39117000001</v>
      </c>
      <c r="AE24" s="38">
        <f>VLOOKUP($C24,Segment!$I$306:$N$377,2,0)/1000</f>
        <v>-21269.197590000007</v>
      </c>
      <c r="AF24" s="38">
        <f>VLOOKUP($C24,Segment!$P$306:$U$377,2,0)/1000</f>
        <v>-15984.04789999998</v>
      </c>
      <c r="AG24" s="38">
        <f>VLOOKUP($C24,Segment!$AD$306:$AI$377,2,0)/1000</f>
        <v>-24351.895760000014</v>
      </c>
      <c r="AH24" s="38">
        <f>VLOOKUP($C24,Segment!$AK$306:$AP$377,2,0)/1000</f>
        <v>-21832.332059999986</v>
      </c>
      <c r="AI24" s="38">
        <f>VLOOKUP($C24,Segment!$I$383:$N$454,2,0)/1000</f>
        <v>-33974.76107</v>
      </c>
      <c r="AJ24" s="38">
        <f>VLOOKUP($C24,Segment!$P$383:$U$454,2,0)/1000</f>
        <v>-35087.467560000012</v>
      </c>
      <c r="AK24" s="38">
        <f>VLOOKUP($C24,Segment!$AD$383:$AI$454,2,0)/1000</f>
        <v>-44548.916939999966</v>
      </c>
      <c r="AL24" s="38">
        <f>VLOOKUP($C24,Segment!$AK$383:$AP$454,2,0)/1000</f>
        <v>-49927.79571000002</v>
      </c>
      <c r="AM24" s="38">
        <f>VLOOKUP($C24,Segment!$I$460:$N$531,2,0)/1000</f>
        <v>-32166.196959999997</v>
      </c>
      <c r="AN24" s="38">
        <f>VLOOKUP($C24,Segment!$P$460:$U$531,2,0)/1000</f>
        <v>-26666.022469999996</v>
      </c>
      <c r="AO24" s="38">
        <f>VLOOKUP($C24,Segment!$AD$460:$AI$531,2,0)/1000</f>
        <v>-25693.452228474573</v>
      </c>
      <c r="AP24" s="38">
        <f>VLOOKUP($C24,Segment!$AK$460:$AP$531,2,0)/1000</f>
        <v>-26382.603418002665</v>
      </c>
      <c r="AQ24" s="132">
        <f>AP24/AL24-1</f>
        <v>-0.47158485483230528</v>
      </c>
      <c r="AS24" s="38"/>
      <c r="AT24" s="38">
        <f>VLOOKUP($C24,Segment!$AK$152:$AP$223,3,0)/1000</f>
        <v>0</v>
      </c>
      <c r="AU24" s="38">
        <f>VLOOKUP($C24,Segment!$I$229:$N$300,3,0)/1000</f>
        <v>0</v>
      </c>
      <c r="AV24" s="38">
        <f>VLOOKUP($C24,Segment!$P$229:$U$300,3,0)/1000</f>
        <v>0</v>
      </c>
      <c r="AW24" s="38">
        <f>VLOOKUP($C24,Segment!$AD$229:$AI$300,3,0)/1000</f>
        <v>0</v>
      </c>
      <c r="AX24" s="38">
        <f>VLOOKUP($C24,Segment!$AK$229:$AP$300,3,0)/1000</f>
        <v>0</v>
      </c>
      <c r="AY24" s="38">
        <f>VLOOKUP($C24,Segment!$I$306:$N$377,3,0)/1000</f>
        <v>0</v>
      </c>
      <c r="AZ24" s="38">
        <f>VLOOKUP($C24,Segment!$P$306:$U$377,3,0)/1000</f>
        <v>0</v>
      </c>
      <c r="BA24" s="38">
        <f>VLOOKUP($C24,Segment!$AD$306:$AI$377,3,0)/1000</f>
        <v>0</v>
      </c>
      <c r="BB24" s="38">
        <f>VLOOKUP($C24,Segment!$AK$306:$AP$377,3,0)/1000</f>
        <v>0</v>
      </c>
      <c r="BC24" s="38">
        <f>VLOOKUP($C24,Segment!$I$383:$N$454,3,0)/1000</f>
        <v>0</v>
      </c>
      <c r="BD24" s="38">
        <f>VLOOKUP($C24,Segment!$P$383:$U$454,3,0)/1000</f>
        <v>0</v>
      </c>
      <c r="BE24" s="38">
        <f>VLOOKUP($C24,Segment!$AD$383:$AI$454,3,0)/1000</f>
        <v>0</v>
      </c>
      <c r="BF24" s="38">
        <f>VLOOKUP($C24,Segment!$AK$383:$AP$454,3,0)/1000</f>
        <v>0</v>
      </c>
      <c r="BG24" s="38">
        <f>VLOOKUP($C24,Segment!$I$460:$N$531,3,0)/1000</f>
        <v>0</v>
      </c>
      <c r="BH24" s="38">
        <f>VLOOKUP($C24,Segment!$P$460:$U$531,3,0)/1000</f>
        <v>0</v>
      </c>
      <c r="BI24" s="38">
        <f>VLOOKUP($C24,Segment!$AD$460:$AI$531,3,0)/1000</f>
        <v>0</v>
      </c>
      <c r="BJ24" s="38">
        <f>VLOOKUP($C24,Segment!$AK$460:$AP$531,3,0)/1000</f>
        <v>0</v>
      </c>
      <c r="BL24" s="38"/>
      <c r="BM24" s="38">
        <f>VLOOKUP($C24,Segment!$AK$152:$AP$223,4,0)/1000</f>
        <v>0</v>
      </c>
      <c r="BN24" s="38">
        <f>VLOOKUP($C24,Segment!$I$229:$N$300,4,0)/1000</f>
        <v>0</v>
      </c>
      <c r="BO24" s="38">
        <f>VLOOKUP($C24,Segment!$P$229:$U$300,4,0)/1000</f>
        <v>0</v>
      </c>
      <c r="BP24" s="38">
        <f>VLOOKUP($C24,Segment!$AD$229:$AI$300,4,0)/1000</f>
        <v>0</v>
      </c>
      <c r="BQ24" s="38">
        <f>VLOOKUP($C24,Segment!$AK$229:$AP$300,4,0)/1000</f>
        <v>0</v>
      </c>
      <c r="BR24" s="38">
        <f>VLOOKUP($C24,Segment!$I$306:$N$377,4,0)/1000</f>
        <v>0</v>
      </c>
      <c r="BS24" s="38">
        <f>VLOOKUP($C24,Segment!$P$306:$U$377,4,0)/1000</f>
        <v>0</v>
      </c>
      <c r="BT24" s="38">
        <f>VLOOKUP($C24,Segment!$AD$306:$AI$377,4,0)/1000</f>
        <v>0</v>
      </c>
      <c r="BU24" s="38">
        <f>VLOOKUP($C24,Segment!$AK$306:$AP$377,4,0)/1000</f>
        <v>0</v>
      </c>
      <c r="BV24" s="38">
        <f>VLOOKUP($C24,Segment!$I$383:$N$454,4,0)/1000</f>
        <v>0</v>
      </c>
      <c r="BW24" s="38">
        <f>VLOOKUP($C24,Segment!$P$383:$U$454,4,0)/1000</f>
        <v>0</v>
      </c>
      <c r="BX24" s="38">
        <f>VLOOKUP($C24,Segment!$AD$383:$AI$454,4,0)/1000</f>
        <v>0</v>
      </c>
      <c r="BY24" s="38">
        <f>VLOOKUP($C24,Segment!$AK$383:$AP$454,4,0)/1000</f>
        <v>0</v>
      </c>
      <c r="BZ24" s="38">
        <f>VLOOKUP($C24,Segment!$I$460:$N$531,4,0)/1000</f>
        <v>0</v>
      </c>
      <c r="CA24" s="38">
        <f>VLOOKUP($C24,Segment!$P$460:$U$531,4,0)/1000</f>
        <v>0</v>
      </c>
      <c r="CB24" s="38">
        <f>VLOOKUP($C24,Segment!$AD$460:$AI$531,4,0)/1000</f>
        <v>0</v>
      </c>
      <c r="CC24" s="38">
        <f>VLOOKUP($C24,Segment!$AK$460:$AP$531,4,0)/1000</f>
        <v>0</v>
      </c>
      <c r="CE24" s="38"/>
      <c r="CF24" s="38">
        <f t="shared" ref="CF24:CV24" si="48">AT24+BM24</f>
        <v>0</v>
      </c>
      <c r="CG24" s="38">
        <f t="shared" si="48"/>
        <v>0</v>
      </c>
      <c r="CH24" s="38">
        <f t="shared" si="48"/>
        <v>0</v>
      </c>
      <c r="CI24" s="38">
        <f t="shared" si="48"/>
        <v>0</v>
      </c>
      <c r="CJ24" s="38">
        <f t="shared" si="48"/>
        <v>0</v>
      </c>
      <c r="CK24" s="38">
        <f t="shared" si="48"/>
        <v>0</v>
      </c>
      <c r="CL24" s="38">
        <f t="shared" si="48"/>
        <v>0</v>
      </c>
      <c r="CM24" s="38">
        <f t="shared" si="48"/>
        <v>0</v>
      </c>
      <c r="CN24" s="38">
        <f t="shared" si="48"/>
        <v>0</v>
      </c>
      <c r="CO24" s="38">
        <f t="shared" si="48"/>
        <v>0</v>
      </c>
      <c r="CP24" s="38">
        <f t="shared" si="48"/>
        <v>0</v>
      </c>
      <c r="CQ24" s="38">
        <f t="shared" si="48"/>
        <v>0</v>
      </c>
      <c r="CR24" s="38">
        <f t="shared" si="48"/>
        <v>0</v>
      </c>
      <c r="CS24" s="38">
        <f t="shared" si="48"/>
        <v>0</v>
      </c>
      <c r="CT24" s="38">
        <f t="shared" si="48"/>
        <v>0</v>
      </c>
      <c r="CU24" s="38">
        <f t="shared" si="48"/>
        <v>0</v>
      </c>
      <c r="CV24" s="38">
        <f t="shared" si="48"/>
        <v>0</v>
      </c>
      <c r="CY24" s="38"/>
      <c r="CZ24" s="38">
        <f>VLOOKUP($C24,Segment!$AK$152:$AP$223,5,0)/1000</f>
        <v>0</v>
      </c>
      <c r="DA24" s="38">
        <f>VLOOKUP($C24,Segment!$I$229:$N$300,5,0)/1000</f>
        <v>0</v>
      </c>
      <c r="DB24" s="38">
        <f>VLOOKUP($C24,Segment!$P$229:$U$300,5,0)/1000</f>
        <v>0</v>
      </c>
      <c r="DC24" s="38">
        <f>VLOOKUP($C24,Segment!$AD$229:$AI$300,5,0)/1000</f>
        <v>0</v>
      </c>
      <c r="DD24" s="38">
        <f>VLOOKUP($C24,Segment!$AK$229:$AP$300,5,0)/1000</f>
        <v>0</v>
      </c>
      <c r="DE24" s="38">
        <f>VLOOKUP($C24,Segment!$I$306:$N$377,5,0)/1000</f>
        <v>0</v>
      </c>
      <c r="DF24" s="38">
        <f>VLOOKUP($C24,Segment!$P$306:$U$377,5,0)/1000</f>
        <v>0</v>
      </c>
      <c r="DG24" s="38">
        <f>VLOOKUP($C24,Segment!$AD$306:$AI$377,5,0)/1000</f>
        <v>0</v>
      </c>
      <c r="DH24" s="38">
        <f>VLOOKUP($C24,Segment!$AK$306:$AP$377,5,0)/1000</f>
        <v>0</v>
      </c>
      <c r="DI24" s="38">
        <f>VLOOKUP($C24,Segment!$I$383:$N$454,5,0)/1000</f>
        <v>0</v>
      </c>
      <c r="DJ24" s="38">
        <f>VLOOKUP($C24,Segment!$P$383:$U$454,5,0)/1000</f>
        <v>0</v>
      </c>
      <c r="DK24" s="38">
        <f>VLOOKUP($C24,Segment!$AD$383:$AI$454,5,0)/1000</f>
        <v>0</v>
      </c>
      <c r="DL24" s="38">
        <f>VLOOKUP($C24,Segment!$AK$383:$AP$454,5,0)/1000</f>
        <v>0</v>
      </c>
      <c r="DM24" s="38">
        <f>VLOOKUP($C24,Segment!$I$460:$N$531,5,0)/1000</f>
        <v>0</v>
      </c>
      <c r="DN24" s="38">
        <f>VLOOKUP($C24,Segment!$P$460:$U$531,5,0)/1000</f>
        <v>0</v>
      </c>
      <c r="DO24" s="38">
        <f>VLOOKUP($C24,Segment!$AD$460:$AI$531,5,0)/1000</f>
        <v>0</v>
      </c>
      <c r="DP24" s="38">
        <f>VLOOKUP($C24,Segment!$AK$460:$AP$531,5,0)/1000</f>
        <v>0</v>
      </c>
    </row>
    <row r="25" spans="3:120" x14ac:dyDescent="0.3">
      <c r="C25" s="39" t="s">
        <v>126</v>
      </c>
      <c r="D25" s="109"/>
      <c r="E25" s="40"/>
      <c r="F25" s="40">
        <f t="shared" ref="F25:R25" si="49">-F24/F$135</f>
        <v>1.738206126236377E-2</v>
      </c>
      <c r="G25" s="40">
        <f t="shared" si="49"/>
        <v>5.7075565521218629E-3</v>
      </c>
      <c r="H25" s="40">
        <f t="shared" si="49"/>
        <v>7.0755004867015898E-3</v>
      </c>
      <c r="I25" s="40">
        <f t="shared" si="49"/>
        <v>1.3007417476065897E-2</v>
      </c>
      <c r="J25" s="40">
        <f t="shared" si="49"/>
        <v>8.6833482358900232E-3</v>
      </c>
      <c r="K25" s="40">
        <f t="shared" si="49"/>
        <v>8.8159628564070062E-3</v>
      </c>
      <c r="L25" s="40">
        <f t="shared" si="49"/>
        <v>6.1849356566781259E-3</v>
      </c>
      <c r="M25" s="40">
        <f t="shared" si="49"/>
        <v>7.7139562841745737E-3</v>
      </c>
      <c r="N25" s="40">
        <f t="shared" si="49"/>
        <v>7.169922096599439E-3</v>
      </c>
      <c r="O25" s="40">
        <f t="shared" si="49"/>
        <v>8.3326350159967279E-3</v>
      </c>
      <c r="P25" s="40">
        <f t="shared" si="49"/>
        <v>9.3514640530534543E-3</v>
      </c>
      <c r="Q25" s="40">
        <f t="shared" si="49"/>
        <v>1.0834851283396993E-2</v>
      </c>
      <c r="R25" s="40">
        <f t="shared" si="49"/>
        <v>1.1097301087586924E-2</v>
      </c>
      <c r="S25" s="40">
        <f>-S24/S$135</f>
        <v>1.2510370001257848E-2</v>
      </c>
      <c r="T25" s="40">
        <f>-T24/T$135</f>
        <v>1.2347611901214379E-2</v>
      </c>
      <c r="U25" s="40">
        <f>-U24/U$135</f>
        <v>7.3868068524114263E-3</v>
      </c>
      <c r="V25" s="40">
        <f>-V24/V$135</f>
        <v>8.1218576178265812E-3</v>
      </c>
      <c r="W25" s="169"/>
      <c r="Y25" s="40"/>
      <c r="Z25" s="40">
        <f t="shared" ref="Z25:AL25" si="50">-Z24/Z$135</f>
        <v>1.738206126236377E-2</v>
      </c>
      <c r="AA25" s="40">
        <f t="shared" si="50"/>
        <v>5.7075565521218629E-3</v>
      </c>
      <c r="AB25" s="40">
        <f t="shared" si="50"/>
        <v>7.0755004867015898E-3</v>
      </c>
      <c r="AC25" s="40">
        <f t="shared" si="50"/>
        <v>1.3007417476065897E-2</v>
      </c>
      <c r="AD25" s="40">
        <f t="shared" si="50"/>
        <v>8.6833482358900232E-3</v>
      </c>
      <c r="AE25" s="40">
        <f t="shared" si="50"/>
        <v>8.8159628564070062E-3</v>
      </c>
      <c r="AF25" s="40">
        <f t="shared" si="50"/>
        <v>6.1849356566781259E-3</v>
      </c>
      <c r="AG25" s="40">
        <f t="shared" si="50"/>
        <v>7.7139562841745737E-3</v>
      </c>
      <c r="AH25" s="40">
        <f t="shared" si="50"/>
        <v>7.169922096599439E-3</v>
      </c>
      <c r="AI25" s="40">
        <f t="shared" si="50"/>
        <v>8.3326350159967279E-3</v>
      </c>
      <c r="AJ25" s="40">
        <f t="shared" si="50"/>
        <v>9.3514640530534543E-3</v>
      </c>
      <c r="AK25" s="40">
        <f t="shared" si="50"/>
        <v>1.0834851283396993E-2</v>
      </c>
      <c r="AL25" s="40">
        <f t="shared" si="50"/>
        <v>1.1097301087586924E-2</v>
      </c>
      <c r="AM25" s="40">
        <f>-AM24/AM$135</f>
        <v>1.2510370001257848E-2</v>
      </c>
      <c r="AN25" s="40">
        <f>-AN24/AN$135</f>
        <v>1.2347611901214379E-2</v>
      </c>
      <c r="AO25" s="40">
        <f>-AO24/AO$135</f>
        <v>7.3868068524114263E-3</v>
      </c>
      <c r="AP25" s="40">
        <f>-AP24/AP$135</f>
        <v>8.1218576178265812E-3</v>
      </c>
      <c r="AQ25" s="169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169"/>
      <c r="CY25" s="40"/>
      <c r="CZ25" s="40">
        <f t="shared" ref="CZ25:DL25" si="51">-CZ24/CZ$135</f>
        <v>0</v>
      </c>
      <c r="DA25" s="40">
        <f t="shared" si="51"/>
        <v>0</v>
      </c>
      <c r="DB25" s="40">
        <f t="shared" si="51"/>
        <v>0</v>
      </c>
      <c r="DC25" s="40">
        <f t="shared" si="51"/>
        <v>0</v>
      </c>
      <c r="DD25" s="40">
        <f t="shared" si="51"/>
        <v>0</v>
      </c>
      <c r="DE25" s="40">
        <f t="shared" si="51"/>
        <v>0</v>
      </c>
      <c r="DF25" s="40">
        <f t="shared" si="51"/>
        <v>0</v>
      </c>
      <c r="DG25" s="40">
        <f t="shared" si="51"/>
        <v>0</v>
      </c>
      <c r="DH25" s="40">
        <f t="shared" si="51"/>
        <v>0</v>
      </c>
      <c r="DI25" s="40">
        <f t="shared" si="51"/>
        <v>0</v>
      </c>
      <c r="DJ25" s="40">
        <f t="shared" si="51"/>
        <v>0</v>
      </c>
      <c r="DK25" s="40">
        <f t="shared" si="51"/>
        <v>0</v>
      </c>
      <c r="DL25" s="40">
        <f t="shared" si="51"/>
        <v>0</v>
      </c>
      <c r="DM25" s="40">
        <f>-DM24/DM$135</f>
        <v>0</v>
      </c>
      <c r="DN25" s="40">
        <f>-DN24/DN$135</f>
        <v>0</v>
      </c>
      <c r="DO25" s="40">
        <f>-DO24/DO$135</f>
        <v>0</v>
      </c>
      <c r="DP25" s="40">
        <f>-DP24/DP$135</f>
        <v>0</v>
      </c>
    </row>
    <row r="26" spans="3:120" x14ac:dyDescent="0.3">
      <c r="C26" s="39" t="s">
        <v>127</v>
      </c>
      <c r="D26" s="109"/>
      <c r="E26" s="40"/>
      <c r="F26" s="40">
        <f t="shared" ref="F26:V26" si="52">-F193/F$135</f>
        <v>7.4527313492464119E-3</v>
      </c>
      <c r="G26" s="40">
        <f t="shared" si="52"/>
        <v>5.7075565521218629E-3</v>
      </c>
      <c r="H26" s="40">
        <f t="shared" si="52"/>
        <v>6.5329937787185549E-3</v>
      </c>
      <c r="I26" s="40">
        <f t="shared" si="52"/>
        <v>1.8181734998880702E-2</v>
      </c>
      <c r="J26" s="40">
        <f t="shared" si="52"/>
        <v>7.0548532533385401E-3</v>
      </c>
      <c r="K26" s="40">
        <f t="shared" si="52"/>
        <v>5.9654732538879877E-3</v>
      </c>
      <c r="L26" s="40">
        <f t="shared" si="52"/>
        <v>6.0251386492234096E-3</v>
      </c>
      <c r="M26" s="40">
        <f t="shared" si="52"/>
        <v>6.5894218709729091E-3</v>
      </c>
      <c r="N26" s="40">
        <f t="shared" si="52"/>
        <v>6.6208231862050597E-3</v>
      </c>
      <c r="O26" s="40">
        <f t="shared" si="52"/>
        <v>6.8420700284937824E-3</v>
      </c>
      <c r="P26" s="40">
        <f t="shared" si="52"/>
        <v>7.3938846594359805E-3</v>
      </c>
      <c r="Q26" s="40">
        <f t="shared" si="52"/>
        <v>9.2941004055975378E-3</v>
      </c>
      <c r="R26" s="40">
        <f t="shared" si="52"/>
        <v>9.5981102106145241E-3</v>
      </c>
      <c r="S26" s="40">
        <f t="shared" si="52"/>
        <v>1.2002158681195607E-2</v>
      </c>
      <c r="T26" s="40">
        <f t="shared" si="52"/>
        <v>1.0442968574042647E-2</v>
      </c>
      <c r="U26" s="40">
        <f t="shared" si="52"/>
        <v>6.8452966631246184E-3</v>
      </c>
      <c r="V26" s="40">
        <f t="shared" si="52"/>
        <v>6.8400138747756094E-3</v>
      </c>
      <c r="W26" s="169"/>
      <c r="Y26" s="40"/>
      <c r="Z26" s="40">
        <f t="shared" ref="Z26:AP26" si="53">-Z193/Z$135</f>
        <v>7.4527313492464119E-3</v>
      </c>
      <c r="AA26" s="40">
        <f t="shared" si="53"/>
        <v>5.7075565521218629E-3</v>
      </c>
      <c r="AB26" s="40">
        <f t="shared" si="53"/>
        <v>6.5329937787185549E-3</v>
      </c>
      <c r="AC26" s="40">
        <f t="shared" si="53"/>
        <v>1.8181734998880702E-2</v>
      </c>
      <c r="AD26" s="40">
        <f t="shared" si="53"/>
        <v>7.0548532533385401E-3</v>
      </c>
      <c r="AE26" s="40">
        <f t="shared" si="53"/>
        <v>5.9654732538879877E-3</v>
      </c>
      <c r="AF26" s="40">
        <f t="shared" si="53"/>
        <v>6.0251386492234096E-3</v>
      </c>
      <c r="AG26" s="40">
        <f t="shared" si="53"/>
        <v>6.5894218709729091E-3</v>
      </c>
      <c r="AH26" s="40">
        <f t="shared" si="53"/>
        <v>6.6208231862050597E-3</v>
      </c>
      <c r="AI26" s="40">
        <f t="shared" si="53"/>
        <v>6.8420700284937824E-3</v>
      </c>
      <c r="AJ26" s="40">
        <f t="shared" si="53"/>
        <v>7.3938846594359805E-3</v>
      </c>
      <c r="AK26" s="40">
        <f t="shared" si="53"/>
        <v>9.2941004055975378E-3</v>
      </c>
      <c r="AL26" s="40">
        <f t="shared" si="53"/>
        <v>9.5981102106145241E-3</v>
      </c>
      <c r="AM26" s="40">
        <f t="shared" si="53"/>
        <v>1.2002158681195607E-2</v>
      </c>
      <c r="AN26" s="40">
        <f t="shared" si="53"/>
        <v>1.0442968574042647E-2</v>
      </c>
      <c r="AO26" s="40">
        <f t="shared" si="53"/>
        <v>6.8452966631246184E-3</v>
      </c>
      <c r="AP26" s="40">
        <f t="shared" si="53"/>
        <v>6.8400138747756094E-3</v>
      </c>
      <c r="AQ26" s="169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169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</row>
    <row r="27" spans="3:120" x14ac:dyDescent="0.3">
      <c r="C27" s="43" t="s">
        <v>17</v>
      </c>
      <c r="D27" s="111"/>
      <c r="E27" s="44"/>
      <c r="F27" s="44">
        <f t="shared" ref="F27:M27" si="54">F21+F24</f>
        <v>30003.018209999998</v>
      </c>
      <c r="G27" s="44">
        <f t="shared" si="54"/>
        <v>13270.029999999999</v>
      </c>
      <c r="H27" s="44">
        <f t="shared" si="54"/>
        <v>22272.999239999997</v>
      </c>
      <c r="I27" s="44">
        <f t="shared" si="54"/>
        <v>19346.46080000003</v>
      </c>
      <c r="J27" s="44">
        <f t="shared" si="54"/>
        <v>20986.457369999975</v>
      </c>
      <c r="K27" s="44">
        <f t="shared" si="54"/>
        <v>43701.463489999995</v>
      </c>
      <c r="L27" s="44">
        <f t="shared" si="54"/>
        <v>23930.96847000004</v>
      </c>
      <c r="M27" s="44">
        <f t="shared" si="54"/>
        <v>34687.826779999967</v>
      </c>
      <c r="N27" s="44">
        <f t="shared" ref="N27:V27" si="55">N21+N24</f>
        <v>62689.305310000011</v>
      </c>
      <c r="O27" s="44">
        <f t="shared" si="55"/>
        <v>55396.483249999997</v>
      </c>
      <c r="P27" s="44">
        <f t="shared" si="55"/>
        <v>52566.093840000009</v>
      </c>
      <c r="Q27" s="44">
        <f t="shared" si="55"/>
        <v>29059.461820000026</v>
      </c>
      <c r="R27" s="44">
        <f t="shared" si="55"/>
        <v>26568.088389999946</v>
      </c>
      <c r="S27" s="44">
        <f t="shared" si="55"/>
        <v>10346.196640000013</v>
      </c>
      <c r="T27" s="44">
        <f t="shared" si="55"/>
        <v>23543.751469999967</v>
      </c>
      <c r="U27" s="44">
        <f t="shared" si="55"/>
        <v>33406.220411525486</v>
      </c>
      <c r="V27" s="44">
        <f t="shared" si="55"/>
        <v>40450.236055305475</v>
      </c>
      <c r="W27" s="170">
        <f t="shared" si="9"/>
        <v>0.52251210028835482</v>
      </c>
      <c r="X27" s="132"/>
      <c r="Y27" s="44"/>
      <c r="Z27" s="44">
        <f>Z21+Z24</f>
        <v>30003.018209999998</v>
      </c>
      <c r="AA27" s="44">
        <f t="shared" ref="AA27:AL27" si="56">AA21+AA24</f>
        <v>13270.029999999999</v>
      </c>
      <c r="AB27" s="44">
        <f t="shared" si="56"/>
        <v>22272.999239999997</v>
      </c>
      <c r="AC27" s="44">
        <f t="shared" si="56"/>
        <v>19346.46080000003</v>
      </c>
      <c r="AD27" s="44">
        <f t="shared" si="56"/>
        <v>20979.264609999977</v>
      </c>
      <c r="AE27" s="44">
        <f t="shared" si="56"/>
        <v>40276.014949999997</v>
      </c>
      <c r="AF27" s="44">
        <f t="shared" si="56"/>
        <v>20568.657020000039</v>
      </c>
      <c r="AG27" s="44">
        <f t="shared" si="56"/>
        <v>31051.688589999962</v>
      </c>
      <c r="AH27" s="44">
        <f t="shared" si="56"/>
        <v>58849.358590000003</v>
      </c>
      <c r="AI27" s="44">
        <f t="shared" si="56"/>
        <v>51409.712849999989</v>
      </c>
      <c r="AJ27" s="44">
        <f t="shared" si="56"/>
        <v>48512.923890000013</v>
      </c>
      <c r="AK27" s="44">
        <f t="shared" si="56"/>
        <v>25008.016000000032</v>
      </c>
      <c r="AL27" s="44">
        <f t="shared" si="56"/>
        <v>22295.651389999941</v>
      </c>
      <c r="AM27" s="44">
        <f>AM21+AM24</f>
        <v>6450.495730000006</v>
      </c>
      <c r="AN27" s="44">
        <f>AN21+AN24</f>
        <v>19806.265309999966</v>
      </c>
      <c r="AO27" s="44">
        <f>AO21+AO24</f>
        <v>29588.832781525478</v>
      </c>
      <c r="AP27" s="44">
        <f>AP21+AP24</f>
        <v>37110.645805305481</v>
      </c>
      <c r="AQ27" s="170">
        <f>AP27/AL27-1</f>
        <v>0.66447910205262595</v>
      </c>
      <c r="AS27" s="44"/>
      <c r="AT27" s="44">
        <f t="shared" ref="AT27:BA27" si="57">AT21+AT24</f>
        <v>0</v>
      </c>
      <c r="AU27" s="44">
        <f t="shared" si="57"/>
        <v>0</v>
      </c>
      <c r="AV27" s="44">
        <f t="shared" si="57"/>
        <v>0</v>
      </c>
      <c r="AW27" s="44">
        <f t="shared" si="57"/>
        <v>0</v>
      </c>
      <c r="AX27" s="44">
        <f t="shared" si="57"/>
        <v>0</v>
      </c>
      <c r="AY27" s="44">
        <f t="shared" si="57"/>
        <v>0</v>
      </c>
      <c r="AZ27" s="44">
        <f t="shared" si="57"/>
        <v>0</v>
      </c>
      <c r="BA27" s="44">
        <f t="shared" si="57"/>
        <v>0</v>
      </c>
      <c r="BB27" s="44">
        <f t="shared" ref="BB27:BJ27" si="58">BB21+BB24</f>
        <v>0</v>
      </c>
      <c r="BC27" s="44">
        <f t="shared" si="58"/>
        <v>0</v>
      </c>
      <c r="BD27" s="44">
        <f t="shared" si="58"/>
        <v>0</v>
      </c>
      <c r="BE27" s="44">
        <f t="shared" si="58"/>
        <v>0</v>
      </c>
      <c r="BF27" s="44">
        <f t="shared" si="58"/>
        <v>0</v>
      </c>
      <c r="BG27" s="44">
        <f t="shared" si="58"/>
        <v>0</v>
      </c>
      <c r="BH27" s="44">
        <f t="shared" si="58"/>
        <v>0</v>
      </c>
      <c r="BI27" s="44">
        <f t="shared" si="58"/>
        <v>0</v>
      </c>
      <c r="BJ27" s="44">
        <f t="shared" si="58"/>
        <v>0</v>
      </c>
      <c r="BK27" s="44"/>
      <c r="BL27" s="44"/>
      <c r="BM27" s="44">
        <f t="shared" ref="BM27:BT27" si="59">BM21+BM24</f>
        <v>0</v>
      </c>
      <c r="BN27" s="44">
        <f t="shared" si="59"/>
        <v>0</v>
      </c>
      <c r="BO27" s="44">
        <f t="shared" si="59"/>
        <v>0</v>
      </c>
      <c r="BP27" s="44">
        <f t="shared" si="59"/>
        <v>0</v>
      </c>
      <c r="BQ27" s="44">
        <f t="shared" si="59"/>
        <v>0</v>
      </c>
      <c r="BR27" s="44">
        <f t="shared" si="59"/>
        <v>0</v>
      </c>
      <c r="BS27" s="44">
        <f t="shared" si="59"/>
        <v>0</v>
      </c>
      <c r="BT27" s="44">
        <f t="shared" si="59"/>
        <v>0</v>
      </c>
      <c r="BU27" s="44">
        <f t="shared" ref="BU27:CC27" si="60">BU21+BU24</f>
        <v>0</v>
      </c>
      <c r="BV27" s="44">
        <f t="shared" si="60"/>
        <v>0</v>
      </c>
      <c r="BW27" s="44">
        <f t="shared" si="60"/>
        <v>0</v>
      </c>
      <c r="BX27" s="44">
        <f t="shared" si="60"/>
        <v>0</v>
      </c>
      <c r="BY27" s="44">
        <f t="shared" si="60"/>
        <v>0</v>
      </c>
      <c r="BZ27" s="44">
        <f t="shared" si="60"/>
        <v>0</v>
      </c>
      <c r="CA27" s="44">
        <f t="shared" si="60"/>
        <v>0</v>
      </c>
      <c r="CB27" s="44">
        <f t="shared" si="60"/>
        <v>0</v>
      </c>
      <c r="CC27" s="44">
        <f t="shared" si="60"/>
        <v>0</v>
      </c>
      <c r="CD27" s="44"/>
      <c r="CE27" s="44"/>
      <c r="CF27" s="44">
        <f t="shared" ref="CF27:CM27" si="61">CF21+CF24</f>
        <v>0</v>
      </c>
      <c r="CG27" s="44">
        <f t="shared" si="61"/>
        <v>0</v>
      </c>
      <c r="CH27" s="44">
        <f t="shared" si="61"/>
        <v>0</v>
      </c>
      <c r="CI27" s="44">
        <f t="shared" si="61"/>
        <v>0</v>
      </c>
      <c r="CJ27" s="44">
        <f t="shared" si="61"/>
        <v>0</v>
      </c>
      <c r="CK27" s="44">
        <f t="shared" si="61"/>
        <v>0</v>
      </c>
      <c r="CL27" s="44">
        <f t="shared" si="61"/>
        <v>0</v>
      </c>
      <c r="CM27" s="44">
        <f t="shared" si="61"/>
        <v>0</v>
      </c>
      <c r="CN27" s="44">
        <f t="shared" ref="CN27:CV27" si="62">CN21+CN24</f>
        <v>0</v>
      </c>
      <c r="CO27" s="44">
        <f t="shared" si="62"/>
        <v>0</v>
      </c>
      <c r="CP27" s="44">
        <f t="shared" si="62"/>
        <v>0</v>
      </c>
      <c r="CQ27" s="44">
        <f t="shared" si="62"/>
        <v>0</v>
      </c>
      <c r="CR27" s="44">
        <f t="shared" si="62"/>
        <v>0</v>
      </c>
      <c r="CS27" s="44">
        <f t="shared" si="62"/>
        <v>0</v>
      </c>
      <c r="CT27" s="44">
        <f t="shared" si="62"/>
        <v>0</v>
      </c>
      <c r="CU27" s="44">
        <f t="shared" si="62"/>
        <v>0</v>
      </c>
      <c r="CV27" s="44">
        <f t="shared" si="62"/>
        <v>0</v>
      </c>
      <c r="CW27" s="170"/>
      <c r="CX27" s="44"/>
      <c r="CY27" s="44"/>
      <c r="CZ27" s="44">
        <f t="shared" ref="CZ27:DG27" si="63">CZ21+CZ24</f>
        <v>0</v>
      </c>
      <c r="DA27" s="44">
        <f t="shared" si="63"/>
        <v>0</v>
      </c>
      <c r="DB27" s="44">
        <f t="shared" si="63"/>
        <v>0</v>
      </c>
      <c r="DC27" s="44">
        <f t="shared" si="63"/>
        <v>0</v>
      </c>
      <c r="DD27" s="44">
        <f t="shared" si="63"/>
        <v>7.1927599999999998</v>
      </c>
      <c r="DE27" s="44">
        <f t="shared" si="63"/>
        <v>3425.4485399999999</v>
      </c>
      <c r="DF27" s="44">
        <f t="shared" si="63"/>
        <v>3362.3114499999992</v>
      </c>
      <c r="DG27" s="44">
        <f t="shared" si="63"/>
        <v>3636.1381900000024</v>
      </c>
      <c r="DH27" s="44">
        <f t="shared" ref="DH27:DP27" si="64">DH21+DH24</f>
        <v>3839.9467199999981</v>
      </c>
      <c r="DI27" s="44">
        <f t="shared" si="64"/>
        <v>3986.7704000000003</v>
      </c>
      <c r="DJ27" s="44">
        <f t="shared" si="64"/>
        <v>4053.1699499999991</v>
      </c>
      <c r="DK27" s="44">
        <f t="shared" si="64"/>
        <v>4051.4458200000004</v>
      </c>
      <c r="DL27" s="44">
        <f t="shared" si="64"/>
        <v>4272.4369999999999</v>
      </c>
      <c r="DM27" s="44">
        <f t="shared" si="64"/>
        <v>3895.70091</v>
      </c>
      <c r="DN27" s="44">
        <f t="shared" si="64"/>
        <v>3737.486159999999</v>
      </c>
      <c r="DO27" s="44">
        <f t="shared" si="64"/>
        <v>3817.3876299999997</v>
      </c>
      <c r="DP27" s="44">
        <f t="shared" si="64"/>
        <v>3339.5902500000002</v>
      </c>
    </row>
    <row r="28" spans="3:120" x14ac:dyDescent="0.3">
      <c r="C28" s="39" t="s">
        <v>91</v>
      </c>
      <c r="D28" s="109"/>
      <c r="E28" s="40"/>
      <c r="F28" s="40">
        <f t="shared" ref="F28:R28" si="65">F27/F$135</f>
        <v>2.5259442614580109E-2</v>
      </c>
      <c r="G28" s="40">
        <f t="shared" si="65"/>
        <v>8.6337544274366265E-3</v>
      </c>
      <c r="H28" s="40">
        <f t="shared" si="65"/>
        <v>1.4717724110354486E-2</v>
      </c>
      <c r="I28" s="40">
        <f t="shared" si="65"/>
        <v>1.1750595263582369E-2</v>
      </c>
      <c r="J28" s="40">
        <f t="shared" si="65"/>
        <v>1.1567840575710807E-2</v>
      </c>
      <c r="K28" s="40">
        <f t="shared" si="65"/>
        <v>1.8114010990222165E-2</v>
      </c>
      <c r="L28" s="40">
        <f t="shared" si="65"/>
        <v>9.2599509908215059E-3</v>
      </c>
      <c r="M28" s="40">
        <f t="shared" si="65"/>
        <v>1.098807181219388E-2</v>
      </c>
      <c r="N28" s="40">
        <f t="shared" si="65"/>
        <v>2.0587696913338258E-2</v>
      </c>
      <c r="O28" s="40">
        <f t="shared" si="65"/>
        <v>1.3586517213203354E-2</v>
      </c>
      <c r="P28" s="40">
        <f t="shared" si="65"/>
        <v>1.4009843717378689E-2</v>
      </c>
      <c r="Q28" s="40">
        <f t="shared" si="65"/>
        <v>7.0676229372604229E-3</v>
      </c>
      <c r="R28" s="40">
        <f t="shared" si="65"/>
        <v>5.9052091523920363E-3</v>
      </c>
      <c r="S28" s="40">
        <f>S27/S$135</f>
        <v>4.023936937062482E-3</v>
      </c>
      <c r="T28" s="40">
        <f>T27/T$135</f>
        <v>1.0901854829578008E-2</v>
      </c>
      <c r="U28" s="40">
        <f>U27/U$135</f>
        <v>9.6042094948824031E-3</v>
      </c>
      <c r="V28" s="40">
        <f>V27/V$135</f>
        <v>1.2452564011347223E-2</v>
      </c>
      <c r="W28" s="169"/>
      <c r="Y28" s="40"/>
      <c r="Z28" s="40">
        <f t="shared" ref="Z28:AL28" si="66">Z27/Z$135</f>
        <v>2.5259442614580109E-2</v>
      </c>
      <c r="AA28" s="40">
        <f t="shared" si="66"/>
        <v>8.6337544274366265E-3</v>
      </c>
      <c r="AB28" s="40">
        <f t="shared" si="66"/>
        <v>1.4717724110354486E-2</v>
      </c>
      <c r="AC28" s="40">
        <f t="shared" si="66"/>
        <v>1.1750595263582369E-2</v>
      </c>
      <c r="AD28" s="40">
        <f t="shared" si="66"/>
        <v>1.1563875890318109E-2</v>
      </c>
      <c r="AE28" s="40">
        <f t="shared" si="66"/>
        <v>1.6694181823306536E-2</v>
      </c>
      <c r="AF28" s="40">
        <f t="shared" si="66"/>
        <v>7.9589238601431647E-3</v>
      </c>
      <c r="AG28" s="40">
        <f t="shared" si="66"/>
        <v>9.8362513823877333E-3</v>
      </c>
      <c r="AH28" s="40">
        <f t="shared" si="66"/>
        <v>1.9326626004292521E-2</v>
      </c>
      <c r="AI28" s="40">
        <f t="shared" si="66"/>
        <v>1.2608723651466928E-2</v>
      </c>
      <c r="AJ28" s="40">
        <f t="shared" si="66"/>
        <v>1.2929598384097605E-2</v>
      </c>
      <c r="AK28" s="40">
        <f t="shared" si="66"/>
        <v>6.0822608688276018E-3</v>
      </c>
      <c r="AL28" s="40">
        <f t="shared" si="66"/>
        <v>4.9555874218005841E-3</v>
      </c>
      <c r="AM28" s="40">
        <f>AM27/AM$135</f>
        <v>2.508785492241602E-3</v>
      </c>
      <c r="AN28" s="40">
        <f>AN27/AN$135</f>
        <v>9.1712244499719386E-3</v>
      </c>
      <c r="AO28" s="40">
        <f>AO27/AO$135</f>
        <v>8.5067195642632657E-3</v>
      </c>
      <c r="AP28" s="40">
        <f>AP27/AP$135</f>
        <v>1.1424474550931294E-2</v>
      </c>
      <c r="AQ28" s="169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169"/>
      <c r="CY28" s="40"/>
      <c r="CZ28" s="40">
        <f t="shared" ref="CZ28:DL28" si="67">CZ27/CZ$135</f>
        <v>0</v>
      </c>
      <c r="DA28" s="40">
        <f t="shared" si="67"/>
        <v>0</v>
      </c>
      <c r="DB28" s="40">
        <f t="shared" si="67"/>
        <v>0</v>
      </c>
      <c r="DC28" s="40">
        <f t="shared" si="67"/>
        <v>0</v>
      </c>
      <c r="DD28" s="40">
        <f t="shared" si="67"/>
        <v>3.9646853926995E-6</v>
      </c>
      <c r="DE28" s="40">
        <f t="shared" si="67"/>
        <v>1.4198291669156287E-3</v>
      </c>
      <c r="DF28" s="40">
        <f t="shared" si="67"/>
        <v>1.3010271306783405E-3</v>
      </c>
      <c r="DG28" s="40">
        <f t="shared" si="67"/>
        <v>1.151820429806146E-3</v>
      </c>
      <c r="DH28" s="40">
        <f t="shared" si="67"/>
        <v>1.2610709090457349E-3</v>
      </c>
      <c r="DI28" s="40">
        <f t="shared" si="67"/>
        <v>9.7779356173642346E-4</v>
      </c>
      <c r="DJ28" s="40">
        <f t="shared" si="67"/>
        <v>1.0802453332810847E-3</v>
      </c>
      <c r="DK28" s="40">
        <f t="shared" si="67"/>
        <v>9.8536206843282282E-4</v>
      </c>
      <c r="DL28" s="40">
        <f t="shared" si="67"/>
        <v>9.496217305914505E-4</v>
      </c>
      <c r="DM28" s="40">
        <f>DM27/DM$135</f>
        <v>1.5151514448208769E-3</v>
      </c>
      <c r="DN28" s="40">
        <f>DN27/DN$135</f>
        <v>1.7306303796060674E-3</v>
      </c>
      <c r="DO28" s="40">
        <f>DO27/DO$135</f>
        <v>1.0974899306191348E-3</v>
      </c>
      <c r="DP28" s="40">
        <f>DP27/DP$135</f>
        <v>1.028089460415932E-3</v>
      </c>
    </row>
    <row r="29" spans="3:120" x14ac:dyDescent="0.3"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</row>
    <row r="30" spans="3:120" x14ac:dyDescent="0.3">
      <c r="C30" s="46" t="s">
        <v>20</v>
      </c>
      <c r="D30" s="113"/>
      <c r="E30" s="47"/>
      <c r="F30" s="47">
        <f>VLOOKUP($C30,Segment!$AK$152:$AP$223,6,0)/1000</f>
        <v>10587.090269800041</v>
      </c>
      <c r="G30" s="47">
        <f>VLOOKUP($C30,Segment!$I$229:$N$300,6,0)/1000</f>
        <v>6849.9637002999998</v>
      </c>
      <c r="H30" s="47">
        <f>VLOOKUP($C30,Segment!$P$229:$U$300,6,0)/1000</f>
        <v>5293.8472430000002</v>
      </c>
      <c r="I30" s="47">
        <f>VLOOKUP($C30,Segment!$AD$229:$AI$300,6,0)/1000</f>
        <v>6496.0628911819849</v>
      </c>
      <c r="J30" s="47">
        <f>VLOOKUP($C30,Segment!$AK$229:$AP$300,6,0)/1000</f>
        <v>3581.660548018001</v>
      </c>
      <c r="K30" s="47">
        <f>VLOOKUP($C30,Segment!$I$306:$N$377,6,0)/1000</f>
        <v>4632.4733598268103</v>
      </c>
      <c r="L30" s="47">
        <f>VLOOKUP($C30,Segment!$P$306:$U$377,6,0)/1000</f>
        <v>1736.207690362218</v>
      </c>
      <c r="M30" s="47">
        <f>VLOOKUP($C30,Segment!$AD$306:$AI$377,6,0)/1000</f>
        <v>-643.64103828751672</v>
      </c>
      <c r="N30" s="47">
        <f>VLOOKUP($C30,Segment!$AK$306:$AP$377,6,0)/1000</f>
        <v>-3352.366406686102</v>
      </c>
      <c r="O30" s="47">
        <f>VLOOKUP($C30,Segment!$I$383:$N$454,6,0)/1000</f>
        <v>2947.4552046770004</v>
      </c>
      <c r="P30" s="47">
        <f>VLOOKUP($C30,Segment!$P$383:$U$454,6,0)/1000</f>
        <v>3936.7262809068934</v>
      </c>
      <c r="Q30" s="47">
        <f>VLOOKUP($C30,Segment!$AD$383:$AI$454,6,0)/1000</f>
        <v>-2227.8741748234593</v>
      </c>
      <c r="R30" s="47">
        <f>VLOOKUP($C30,Segment!$AK$383:$AP$454,6,0)/1000</f>
        <v>-1094.879655924756</v>
      </c>
      <c r="S30" s="47">
        <f>VLOOKUP($C30,Segment!$I$460:$N$531,6,0)/1000</f>
        <v>-19643.03898792098</v>
      </c>
      <c r="T30" s="47">
        <f>VLOOKUP($C30,Segment!$P$460:$U$531,6,0)/1000</f>
        <v>-15279.343868188012</v>
      </c>
      <c r="U30" s="47">
        <f>VLOOKUP($C30,Segment!$AD$460:$AI$531,6,0)/1000</f>
        <v>-2086.7955419196337</v>
      </c>
      <c r="V30" s="47">
        <f>VLOOKUP($C30,Segment!$AK$460:$AP$531,6,0)/1000</f>
        <v>-2594.3526932588743</v>
      </c>
      <c r="W30" s="173">
        <f t="shared" si="9"/>
        <v>1.3695322853246692</v>
      </c>
      <c r="X30" s="132"/>
      <c r="Y30" s="47"/>
      <c r="Z30" s="47">
        <f>VLOOKUP($C30,Segment!$AK$152:$AP$223,2,0)/1000</f>
        <v>10587.090269800041</v>
      </c>
      <c r="AA30" s="47">
        <f>VLOOKUP($C30,Segment!$I$229:$N$300,2,0)/1000</f>
        <v>6849.9637002999998</v>
      </c>
      <c r="AB30" s="47">
        <f>VLOOKUP($C30,Segment!$P$229:$U$300,2,0)/1000</f>
        <v>5421.2905467999999</v>
      </c>
      <c r="AC30" s="47">
        <f>VLOOKUP($C30,Segment!$AD$229:$AI$300,2,0)/1000</f>
        <v>6368.6195873819852</v>
      </c>
      <c r="AD30" s="47">
        <f>VLOOKUP($C30,Segment!$AK$229:$AP$300,2,0)/1000</f>
        <v>3581.660548018001</v>
      </c>
      <c r="AE30" s="47">
        <f>VLOOKUP($C30,Segment!$I$306:$N$377,2,0)/1000</f>
        <v>6681.2696788199992</v>
      </c>
      <c r="AF30" s="47">
        <f>VLOOKUP($C30,Segment!$P$306:$U$377,2,0)/1000</f>
        <v>2692.425193920003</v>
      </c>
      <c r="AG30" s="47">
        <f>VLOOKUP($C30,Segment!$AD$306:$AI$377,2,0)/1000</f>
        <v>802.73452400421161</v>
      </c>
      <c r="AH30" s="47">
        <f>VLOOKUP($C30,Segment!$AK$306:$AP$377,2,0)/1000</f>
        <v>209.2688211131692</v>
      </c>
      <c r="AI30" s="47">
        <f>VLOOKUP($C30,Segment!$I$383:$N$454,2,0)/1000</f>
        <v>6161.8053198962843</v>
      </c>
      <c r="AJ30" s="47">
        <f>VLOOKUP($C30,Segment!$P$383:$U$454,2,0)/1000</f>
        <v>6995.1215849655773</v>
      </c>
      <c r="AK30" s="47">
        <f>VLOOKUP($C30,Segment!$AD$383:$AI$454,2,0)/1000</f>
        <v>3804.3895710677857</v>
      </c>
      <c r="AL30" s="47">
        <f>VLOOKUP($C30,Segment!$AK$383:$AP$454,2,0)/1000</f>
        <v>3415.5610449647716</v>
      </c>
      <c r="AM30" s="47">
        <f>VLOOKUP($C30,Segment!$I$460:$N$531,2,0)/1000</f>
        <v>-14365.30831833226</v>
      </c>
      <c r="AN30" s="47">
        <f>VLOOKUP($C30,Segment!$P$460:$U$531,2,0)/1000</f>
        <v>-7482.8871104817599</v>
      </c>
      <c r="AO30" s="47">
        <f>VLOOKUP($C30,Segment!$AD$460:$AI$531,2,0)/1000</f>
        <v>2914.7766106280683</v>
      </c>
      <c r="AP30" s="47">
        <f>VLOOKUP($C30,Segment!$AK$460:$AP$531,2,0)/1000</f>
        <v>4706.7919229107292</v>
      </c>
      <c r="AQ30" s="173">
        <f>AP30/AL30-1</f>
        <v>0.3780435661805821</v>
      </c>
      <c r="AS30" s="47"/>
      <c r="AT30" s="47">
        <f>VLOOKUP($C30,Segment!$AK$152:$AP$223,3,0)/1000</f>
        <v>0</v>
      </c>
      <c r="AU30" s="47">
        <f>VLOOKUP($C30,Segment!$I$229:$N$300,3,0)/1000</f>
        <v>0</v>
      </c>
      <c r="AV30" s="47">
        <f>VLOOKUP($C30,Segment!$P$229:$U$300,3,0)/1000</f>
        <v>0</v>
      </c>
      <c r="AW30" s="47">
        <f>VLOOKUP($C30,Segment!$AD$229:$AI$300,3,0)/1000</f>
        <v>0</v>
      </c>
      <c r="AX30" s="47">
        <f>VLOOKUP($C30,Segment!$AK$229:$AP$300,3,0)/1000</f>
        <v>0</v>
      </c>
      <c r="AY30" s="47">
        <f>VLOOKUP($C30,Segment!$I$306:$N$377,3,0)/1000</f>
        <v>0</v>
      </c>
      <c r="AZ30" s="47">
        <f>VLOOKUP($C30,Segment!$P$306:$U$377,3,0)/1000</f>
        <v>0</v>
      </c>
      <c r="BA30" s="47">
        <f>VLOOKUP($C30,Segment!$AD$306:$AI$377,3,0)/1000</f>
        <v>0</v>
      </c>
      <c r="BB30" s="47">
        <f>VLOOKUP($C30,Segment!$AK$306:$AP$377,3,0)/1000</f>
        <v>0</v>
      </c>
      <c r="BC30" s="47">
        <f>VLOOKUP($C30,Segment!$I$383:$N$454,3,0)/1000</f>
        <v>0</v>
      </c>
      <c r="BD30" s="47">
        <f>VLOOKUP($C30,Segment!$P$383:$U$454,3,0)/1000</f>
        <v>0</v>
      </c>
      <c r="BE30" s="47">
        <f>VLOOKUP($C30,Segment!$AD$383:$AI$454,3,0)/1000</f>
        <v>0</v>
      </c>
      <c r="BF30" s="47">
        <f>VLOOKUP($C30,Segment!$AK$383:$AP$454,3,0)/1000</f>
        <v>0</v>
      </c>
      <c r="BG30" s="47">
        <f>VLOOKUP($C30,Segment!$I$460:$N$531,3,0)/1000</f>
        <v>0</v>
      </c>
      <c r="BH30" s="47">
        <f>VLOOKUP($C30,Segment!$P$460:$U$531,3,0)/1000</f>
        <v>0</v>
      </c>
      <c r="BI30" s="47">
        <f>VLOOKUP($C30,Segment!$AD$460:$AI$531,3,0)/1000</f>
        <v>0</v>
      </c>
      <c r="BJ30" s="47">
        <f>VLOOKUP($C30,Segment!$AK$460:$AP$531,3,0)/1000</f>
        <v>0</v>
      </c>
      <c r="BL30" s="47"/>
      <c r="BM30" s="47">
        <f>VLOOKUP($C30,Segment!$AK$152:$AP$223,4,0)/1000</f>
        <v>0</v>
      </c>
      <c r="BN30" s="47">
        <f>VLOOKUP($C30,Segment!$I$229:$N$300,4,0)/1000</f>
        <v>0</v>
      </c>
      <c r="BO30" s="47">
        <f>VLOOKUP($C30,Segment!$P$229:$U$300,4,0)/1000</f>
        <v>0</v>
      </c>
      <c r="BP30" s="47">
        <f>VLOOKUP($C30,Segment!$AD$229:$AI$300,4,0)/1000</f>
        <v>0</v>
      </c>
      <c r="BQ30" s="47">
        <f>VLOOKUP($C30,Segment!$AK$229:$AP$300,4,0)/1000</f>
        <v>0</v>
      </c>
      <c r="BR30" s="47">
        <f>VLOOKUP($C30,Segment!$I$306:$N$377,4,0)/1000</f>
        <v>0</v>
      </c>
      <c r="BS30" s="47">
        <f>VLOOKUP($C30,Segment!$P$306:$U$377,4,0)/1000</f>
        <v>0</v>
      </c>
      <c r="BT30" s="47">
        <f>VLOOKUP($C30,Segment!$AD$306:$AI$377,4,0)/1000</f>
        <v>0</v>
      </c>
      <c r="BU30" s="47">
        <f>VLOOKUP($C30,Segment!$AK$306:$AP$377,4,0)/1000</f>
        <v>0</v>
      </c>
      <c r="BV30" s="47">
        <f>VLOOKUP($C30,Segment!$I$383:$N$454,4,0)/1000</f>
        <v>0</v>
      </c>
      <c r="BW30" s="47">
        <f>VLOOKUP($C30,Segment!$P$383:$U$454,4,0)/1000</f>
        <v>0</v>
      </c>
      <c r="BX30" s="47">
        <f>VLOOKUP($C30,Segment!$AD$383:$AI$454,4,0)/1000</f>
        <v>0</v>
      </c>
      <c r="BY30" s="47">
        <f>VLOOKUP($C30,Segment!$AK$383:$AP$454,4,0)/1000</f>
        <v>0</v>
      </c>
      <c r="BZ30" s="47">
        <f>VLOOKUP($C30,Segment!$I$460:$N$531,4,0)/1000</f>
        <v>0</v>
      </c>
      <c r="CA30" s="47">
        <f>VLOOKUP($C30,Segment!$P$460:$U$531,4,0)/1000</f>
        <v>0</v>
      </c>
      <c r="CB30" s="47">
        <f>VLOOKUP($C30,Segment!$AD$460:$AI$531,4,0)/1000</f>
        <v>0</v>
      </c>
      <c r="CC30" s="47">
        <f>VLOOKUP($C30,Segment!$AK$460:$AP$531,4,0)/1000</f>
        <v>0</v>
      </c>
      <c r="CE30" s="47"/>
      <c r="CF30" s="47">
        <f t="shared" ref="CF30:CV30" si="68">AT30+BM30</f>
        <v>0</v>
      </c>
      <c r="CG30" s="47">
        <f t="shared" si="68"/>
        <v>0</v>
      </c>
      <c r="CH30" s="47">
        <f t="shared" si="68"/>
        <v>0</v>
      </c>
      <c r="CI30" s="47">
        <f t="shared" si="68"/>
        <v>0</v>
      </c>
      <c r="CJ30" s="47">
        <f t="shared" si="68"/>
        <v>0</v>
      </c>
      <c r="CK30" s="47">
        <f t="shared" si="68"/>
        <v>0</v>
      </c>
      <c r="CL30" s="47">
        <f t="shared" si="68"/>
        <v>0</v>
      </c>
      <c r="CM30" s="47">
        <f t="shared" si="68"/>
        <v>0</v>
      </c>
      <c r="CN30" s="47">
        <f t="shared" si="68"/>
        <v>0</v>
      </c>
      <c r="CO30" s="47">
        <f t="shared" si="68"/>
        <v>0</v>
      </c>
      <c r="CP30" s="47">
        <f t="shared" si="68"/>
        <v>0</v>
      </c>
      <c r="CQ30" s="47">
        <f t="shared" si="68"/>
        <v>0</v>
      </c>
      <c r="CR30" s="47">
        <f t="shared" si="68"/>
        <v>0</v>
      </c>
      <c r="CS30" s="47">
        <f t="shared" si="68"/>
        <v>0</v>
      </c>
      <c r="CT30" s="47">
        <f t="shared" si="68"/>
        <v>0</v>
      </c>
      <c r="CU30" s="47">
        <f t="shared" si="68"/>
        <v>0</v>
      </c>
      <c r="CV30" s="47">
        <f t="shared" si="68"/>
        <v>0</v>
      </c>
      <c r="CW30" s="173"/>
      <c r="CY30" s="47"/>
      <c r="CZ30" s="47">
        <f>VLOOKUP($C30,Segment!$AK$152:$AP$223,5,0)/1000</f>
        <v>0</v>
      </c>
      <c r="DA30" s="47">
        <f>VLOOKUP($C30,Segment!$I$229:$N$300,5,0)/1000</f>
        <v>0</v>
      </c>
      <c r="DB30" s="47">
        <f>VLOOKUP($C30,Segment!$P$229:$U$300,5,0)/1000</f>
        <v>-127.44330380000001</v>
      </c>
      <c r="DC30" s="47">
        <f>VLOOKUP($C30,Segment!$AD$229:$AI$300,5,0)/1000</f>
        <v>127.44330380000001</v>
      </c>
      <c r="DD30" s="47">
        <f>VLOOKUP($C30,Segment!$AK$229:$AP$300,5,0)/1000</f>
        <v>0</v>
      </c>
      <c r="DE30" s="47">
        <f>VLOOKUP($C30,Segment!$I$306:$N$377,5,0)/1000</f>
        <v>-2048.7963189931888</v>
      </c>
      <c r="DF30" s="47">
        <f>VLOOKUP($C30,Segment!$P$306:$U$377,5,0)/1000</f>
        <v>-956.21750355778522</v>
      </c>
      <c r="DG30" s="47">
        <f>VLOOKUP($C30,Segment!$AD$306:$AI$377,5,0)/1000</f>
        <v>-1446.3755622917283</v>
      </c>
      <c r="DH30" s="47">
        <f>VLOOKUP($C30,Segment!$AK$306:$AP$377,5,0)/1000</f>
        <v>-3561.6352277992714</v>
      </c>
      <c r="DI30" s="47">
        <f>VLOOKUP($C30,Segment!$I$383:$N$454,5,0)/1000</f>
        <v>-3214.3501152192839</v>
      </c>
      <c r="DJ30" s="47">
        <f>VLOOKUP($C30,Segment!$P$383:$U$454,5,0)/1000</f>
        <v>-3058.3953040586839</v>
      </c>
      <c r="DK30" s="47">
        <f>VLOOKUP($C30,Segment!$AD$383:$AI$454,5,0)/1000</f>
        <v>-6032.263745891245</v>
      </c>
      <c r="DL30" s="47">
        <f>VLOOKUP($C30,Segment!$AK$383:$AP$454,5,0)/1000</f>
        <v>-4510.4407008895278</v>
      </c>
      <c r="DM30" s="47">
        <f>VLOOKUP($C30,Segment!$I$460:$N$531,5,0)/1000</f>
        <v>-5277.73066958872</v>
      </c>
      <c r="DN30" s="47">
        <f>VLOOKUP($C30,Segment!$P$460:$U$531,5,0)/1000</f>
        <v>-7796.4567577062526</v>
      </c>
      <c r="DO30" s="47">
        <f>VLOOKUP($C30,Segment!$AD$460:$AI$531,5,0)/1000</f>
        <v>-5001.572152547702</v>
      </c>
      <c r="DP30" s="47">
        <f>VLOOKUP($C30,Segment!$AK$460:$AP$531,5,0)/1000</f>
        <v>-7301.1446161696012</v>
      </c>
    </row>
    <row r="32" spans="3:120" x14ac:dyDescent="0.3">
      <c r="C32" s="36" t="s">
        <v>0</v>
      </c>
      <c r="E32" s="42"/>
      <c r="F32" s="38">
        <f>VLOOKUP($C32,Segment!$AK$152:$AP$223,6,0)/1000</f>
        <v>205557.8319100001</v>
      </c>
      <c r="G32" s="38">
        <f>VLOOKUP($C32,Segment!$I$229:$N$300,6,0)/1000</f>
        <v>107658.11</v>
      </c>
      <c r="H32" s="38">
        <f>VLOOKUP($C32,Segment!$P$229:$U$300,6,0)/1000</f>
        <v>4135.9653000000117</v>
      </c>
      <c r="I32" s="38">
        <f>VLOOKUP($C32,Segment!$AD$229:$AI$300,6,0)/1000</f>
        <v>9.9999904632568354E-6</v>
      </c>
      <c r="J32" s="38">
        <f>VLOOKUP($C32,Segment!$AK$229:$AP$300,6,0)/1000</f>
        <v>5641.5050000000147</v>
      </c>
      <c r="K32" s="38">
        <f>VLOOKUP($C32,Segment!$I$306:$N$377,6,0)/1000</f>
        <v>39475.983409999993</v>
      </c>
      <c r="L32" s="38">
        <f>VLOOKUP($C32,Segment!$P$306:$U$377,6,0)/1000</f>
        <v>30978.518640000002</v>
      </c>
      <c r="M32" s="38">
        <f>VLOOKUP($C32,Segment!$AD$306:$AI$377,6,0)/1000</f>
        <v>35504.546869999991</v>
      </c>
      <c r="N32" s="203">
        <f>VLOOKUP($C32,Segment!$AK$306:$AP$377,6,0)/1000</f>
        <v>0</v>
      </c>
      <c r="O32" s="203">
        <f>VLOOKUP($C32,Segment!$I$383:$N$454,6,0)/1000</f>
        <v>0</v>
      </c>
      <c r="P32" s="203">
        <f>VLOOKUP($C32,Segment!$P$383:$U$454,6,0)/1000</f>
        <v>0</v>
      </c>
      <c r="Q32" s="203">
        <f>VLOOKUP($C32,Segment!$AD$383:$AI$454,6,0)/1000</f>
        <v>0</v>
      </c>
      <c r="R32" s="203">
        <f>VLOOKUP($C32,Segment!$AK$383:$AP$454,6,0)/1000</f>
        <v>0</v>
      </c>
      <c r="S32" s="203">
        <f>VLOOKUP($C32,Segment!$I$460:$N$531,6,0)/1000</f>
        <v>0</v>
      </c>
      <c r="T32" s="203">
        <f>VLOOKUP($C32,Segment!$P$460:$U$531,6,0)/1000</f>
        <v>0</v>
      </c>
      <c r="U32" s="203">
        <f>VLOOKUP($C32,Segment!$AD$460:$AI$531,6,0)/1000</f>
        <v>0</v>
      </c>
      <c r="V32" s="203">
        <f>VLOOKUP($C32,Segment!$AK$460:$AP$531,6,0)/1000</f>
        <v>5.0000000000000002E-5</v>
      </c>
      <c r="Y32" s="38"/>
      <c r="Z32" s="38">
        <f>VLOOKUP($C32,Segment!$AK$152:$AP$223,2,0)/1000</f>
        <v>205557.8319100001</v>
      </c>
      <c r="AA32" s="38">
        <f>VLOOKUP($C32,Segment!$I$229:$N$300,2,0)/1000</f>
        <v>107658.11</v>
      </c>
      <c r="AB32" s="38">
        <f>VLOOKUP($C32,Segment!$P$229:$U$300,2,0)/1000</f>
        <v>4135.9653000000117</v>
      </c>
      <c r="AC32" s="38">
        <f>VLOOKUP($C32,Segment!$AD$229:$AI$300,2,0)/1000</f>
        <v>9.9999904632568354E-6</v>
      </c>
      <c r="AD32" s="38">
        <f>VLOOKUP($C32,Segment!$AK$229:$AP$300,2,0)/1000</f>
        <v>5641.5050000000147</v>
      </c>
      <c r="AE32" s="38">
        <f>VLOOKUP($C32,Segment!$I$306:$N$377,2,0)/1000</f>
        <v>39475.983409999993</v>
      </c>
      <c r="AF32" s="38">
        <f>VLOOKUP($C32,Segment!$P$306:$U$377,2,0)/1000</f>
        <v>30978.518640000002</v>
      </c>
      <c r="AG32" s="38">
        <f>VLOOKUP($C32,Segment!$AD$306:$AI$377,2,0)/1000</f>
        <v>35504.546869999991</v>
      </c>
      <c r="AH32" s="38">
        <f>VLOOKUP($C32,Segment!$AK$306:$AP$377,2,0)/1000</f>
        <v>0</v>
      </c>
      <c r="AI32" s="38">
        <f>VLOOKUP($C32,Segment!$I$383:$N$454,2,0)/1000</f>
        <v>0</v>
      </c>
      <c r="AJ32" s="38">
        <f>VLOOKUP($C32,Segment!$P$383:$U$454,2,0)/1000</f>
        <v>0</v>
      </c>
      <c r="AK32" s="38">
        <f>VLOOKUP($C32,Segment!$AD$383:$AI$454,2,0)/1000</f>
        <v>0</v>
      </c>
      <c r="AL32" s="38">
        <f>VLOOKUP($C32,Segment!$AK$383:$AP$454,2,0)/1000</f>
        <v>0</v>
      </c>
      <c r="AM32" s="38">
        <f>VLOOKUP($C32,Segment!$I$460:$N$531,2,0)/1000</f>
        <v>0</v>
      </c>
      <c r="AN32" s="38">
        <f>VLOOKUP($C32,Segment!$P$460:$U$531,2,0)/1000</f>
        <v>0</v>
      </c>
      <c r="AO32" s="38">
        <f>VLOOKUP($C32,Segment!$AD$460:$AI$531,2,0)/1000</f>
        <v>0</v>
      </c>
      <c r="AP32" s="38">
        <f>VLOOKUP($C32,Segment!$AK$460:$AP$531,2,0)/1000</f>
        <v>5.0000000000000002E-5</v>
      </c>
      <c r="AQ32" s="132" t="e">
        <f>AP32/AL32-1</f>
        <v>#DIV/0!</v>
      </c>
      <c r="AS32" s="38"/>
      <c r="AT32" s="38">
        <f>VLOOKUP($C32,Segment!$AK$152:$AP$223,3,0)/1000</f>
        <v>0</v>
      </c>
      <c r="AU32" s="38">
        <f>VLOOKUP($C32,Segment!$I$229:$N$300,3,0)/1000</f>
        <v>0</v>
      </c>
      <c r="AV32" s="38">
        <f>VLOOKUP($C32,Segment!$P$229:$U$300,3,0)/1000</f>
        <v>0</v>
      </c>
      <c r="AW32" s="38">
        <f>VLOOKUP($C32,Segment!$AD$229:$AI$300,3,0)/1000</f>
        <v>0</v>
      </c>
      <c r="AX32" s="38">
        <f>VLOOKUP($C32,Segment!$AK$229:$AP$300,3,0)/1000</f>
        <v>0</v>
      </c>
      <c r="AY32" s="38">
        <f>VLOOKUP($C32,Segment!$I$306:$N$377,3,0)/1000</f>
        <v>0</v>
      </c>
      <c r="AZ32" s="38">
        <f>VLOOKUP($C32,Segment!$P$306:$U$377,3,0)/1000</f>
        <v>0</v>
      </c>
      <c r="BA32" s="38">
        <f>VLOOKUP($C32,Segment!$AD$306:$AI$377,3,0)/1000</f>
        <v>0</v>
      </c>
      <c r="BB32" s="38">
        <f>VLOOKUP($C32,Segment!$AK$306:$AP$377,3,0)/1000</f>
        <v>0</v>
      </c>
      <c r="BC32" s="38">
        <f>VLOOKUP($C32,Segment!$I$383:$N$454,3,0)/1000</f>
        <v>0</v>
      </c>
      <c r="BD32" s="38">
        <f>VLOOKUP($C32,Segment!$P$383:$U$454,3,0)/1000</f>
        <v>0</v>
      </c>
      <c r="BE32" s="38">
        <f>VLOOKUP($C32,Segment!$AD$383:$AI$454,3,0)/1000</f>
        <v>0</v>
      </c>
      <c r="BF32" s="38">
        <f>VLOOKUP($C32,Segment!$AK$383:$AP$454,3,0)/1000</f>
        <v>0</v>
      </c>
      <c r="BG32" s="38">
        <f>VLOOKUP($C32,Segment!$I$460:$N$531,3,0)/1000</f>
        <v>0</v>
      </c>
      <c r="BH32" s="38">
        <f>VLOOKUP($C32,Segment!$P$460:$U$531,3,0)/1000</f>
        <v>0</v>
      </c>
      <c r="BI32" s="38">
        <f>VLOOKUP($C32,Segment!$AD$460:$AI$531,3,0)/1000</f>
        <v>0</v>
      </c>
      <c r="BJ32" s="38">
        <f>VLOOKUP($C32,Segment!$AK$460:$AP$531,3,0)/1000</f>
        <v>0</v>
      </c>
      <c r="BL32" s="38"/>
      <c r="BM32" s="38">
        <f>VLOOKUP($C32,Segment!$AK$152:$AP$223,4,0)/1000</f>
        <v>0</v>
      </c>
      <c r="BN32" s="38">
        <f>VLOOKUP($C32,Segment!$I$229:$N$300,4,0)/1000</f>
        <v>0</v>
      </c>
      <c r="BO32" s="38">
        <f>VLOOKUP($C32,Segment!$P$229:$U$300,4,0)/1000</f>
        <v>0</v>
      </c>
      <c r="BP32" s="38">
        <f>VLOOKUP($C32,Segment!$AD$229:$AI$300,4,0)/1000</f>
        <v>0</v>
      </c>
      <c r="BQ32" s="38">
        <f>VLOOKUP($C32,Segment!$AK$229:$AP$300,4,0)/1000</f>
        <v>0</v>
      </c>
      <c r="BR32" s="38">
        <f>VLOOKUP($C32,Segment!$I$306:$N$377,4,0)/1000</f>
        <v>0</v>
      </c>
      <c r="BS32" s="38">
        <f>VLOOKUP($C32,Segment!$P$306:$U$377,4,0)/1000</f>
        <v>0</v>
      </c>
      <c r="BT32" s="38">
        <f>VLOOKUP($C32,Segment!$AD$306:$AI$377,4,0)/1000</f>
        <v>0</v>
      </c>
      <c r="BU32" s="38">
        <f>VLOOKUP($C32,Segment!$AK$306:$AP$377,4,0)/1000</f>
        <v>0</v>
      </c>
      <c r="BV32" s="38">
        <f>VLOOKUP($C32,Segment!$I$383:$N$454,4,0)/1000</f>
        <v>0</v>
      </c>
      <c r="BW32" s="38">
        <f>VLOOKUP($C32,Segment!$P$383:$U$454,4,0)/1000</f>
        <v>0</v>
      </c>
      <c r="BX32" s="38">
        <f>VLOOKUP($C32,Segment!$AD$383:$AI$454,4,0)/1000</f>
        <v>0</v>
      </c>
      <c r="BY32" s="38">
        <f>VLOOKUP($C32,Segment!$AK$383:$AP$454,4,0)/1000</f>
        <v>0</v>
      </c>
      <c r="BZ32" s="38">
        <f>VLOOKUP($C32,Segment!$I$460:$N$531,4,0)/1000</f>
        <v>0</v>
      </c>
      <c r="CA32" s="38">
        <f>VLOOKUP($C32,Segment!$P$460:$U$531,4,0)/1000</f>
        <v>0</v>
      </c>
      <c r="CB32" s="38">
        <f>VLOOKUP($C32,Segment!$AD$460:$AI$531,4,0)/1000</f>
        <v>0</v>
      </c>
      <c r="CC32" s="38">
        <f>VLOOKUP($C32,Segment!$AK$460:$AP$531,4,0)/1000</f>
        <v>0</v>
      </c>
      <c r="CE32" s="38"/>
      <c r="CF32" s="38">
        <f t="shared" ref="CF32:CO33" si="69">AT32+BM32</f>
        <v>0</v>
      </c>
      <c r="CG32" s="38">
        <f t="shared" si="69"/>
        <v>0</v>
      </c>
      <c r="CH32" s="38">
        <f t="shared" si="69"/>
        <v>0</v>
      </c>
      <c r="CI32" s="38">
        <f t="shared" si="69"/>
        <v>0</v>
      </c>
      <c r="CJ32" s="38">
        <f t="shared" si="69"/>
        <v>0</v>
      </c>
      <c r="CK32" s="38">
        <f t="shared" si="69"/>
        <v>0</v>
      </c>
      <c r="CL32" s="38">
        <f t="shared" si="69"/>
        <v>0</v>
      </c>
      <c r="CM32" s="38">
        <f t="shared" si="69"/>
        <v>0</v>
      </c>
      <c r="CN32" s="38">
        <f t="shared" si="69"/>
        <v>0</v>
      </c>
      <c r="CO32" s="38">
        <f t="shared" si="69"/>
        <v>0</v>
      </c>
      <c r="CP32" s="38">
        <f t="shared" ref="CP32:CV33" si="70">BD32+BW32</f>
        <v>0</v>
      </c>
      <c r="CQ32" s="38">
        <f t="shared" si="70"/>
        <v>0</v>
      </c>
      <c r="CR32" s="38">
        <f t="shared" si="70"/>
        <v>0</v>
      </c>
      <c r="CS32" s="38">
        <f t="shared" si="70"/>
        <v>0</v>
      </c>
      <c r="CT32" s="38">
        <f t="shared" si="70"/>
        <v>0</v>
      </c>
      <c r="CU32" s="38">
        <f t="shared" si="70"/>
        <v>0</v>
      </c>
      <c r="CV32" s="38">
        <f t="shared" si="70"/>
        <v>0</v>
      </c>
      <c r="CY32" s="38"/>
      <c r="CZ32" s="38">
        <f>VLOOKUP($C32,Segment!$AK$152:$AP$223,5,0)/1000</f>
        <v>0</v>
      </c>
      <c r="DA32" s="38">
        <f>VLOOKUP($C32,Segment!$I$229:$N$300,5,0)/1000</f>
        <v>0</v>
      </c>
      <c r="DB32" s="38">
        <f>VLOOKUP($C32,Segment!$P$229:$U$300,5,0)/1000</f>
        <v>0</v>
      </c>
      <c r="DC32" s="38">
        <f>VLOOKUP($C32,Segment!$AD$229:$AI$300,5,0)/1000</f>
        <v>0</v>
      </c>
      <c r="DD32" s="38">
        <f>VLOOKUP($C32,Segment!$AK$229:$AP$300,5,0)/1000</f>
        <v>0</v>
      </c>
      <c r="DE32" s="38">
        <f>VLOOKUP($C32,Segment!$I$306:$N$377,5,0)/1000</f>
        <v>0</v>
      </c>
      <c r="DF32" s="38">
        <f>VLOOKUP($C32,Segment!$P$306:$U$377,5,0)/1000</f>
        <v>0</v>
      </c>
      <c r="DG32" s="38">
        <f>VLOOKUP($C32,Segment!$AD$306:$AI$377,5,0)/1000</f>
        <v>0</v>
      </c>
      <c r="DH32" s="38">
        <f>VLOOKUP($C32,Segment!$AK$306:$AP$377,5,0)/1000</f>
        <v>0</v>
      </c>
      <c r="DI32" s="38">
        <f>VLOOKUP($C32,Segment!$I$383:$N$454,5,0)/1000</f>
        <v>0</v>
      </c>
      <c r="DJ32" s="38">
        <f>VLOOKUP($C32,Segment!$P$383:$U$454,5,0)/1000</f>
        <v>0</v>
      </c>
      <c r="DK32" s="38">
        <f>VLOOKUP($C32,Segment!$AD$383:$AI$454,5,0)/1000</f>
        <v>0</v>
      </c>
      <c r="DL32" s="38">
        <f>VLOOKUP($C32,Segment!$AK$383:$AP$454,5,0)/1000</f>
        <v>0</v>
      </c>
      <c r="DM32" s="38">
        <f>VLOOKUP($C32,Segment!$I$460:$N$531,5,0)/1000</f>
        <v>0</v>
      </c>
      <c r="DN32" s="38">
        <f>VLOOKUP($C32,Segment!$P$460:$U$531,5,0)/1000</f>
        <v>0</v>
      </c>
      <c r="DO32" s="38">
        <f>VLOOKUP($C32,Segment!$AD$460:$AI$531,5,0)/1000</f>
        <v>0</v>
      </c>
      <c r="DP32" s="38">
        <f>VLOOKUP($C32,Segment!$AK$460:$AP$531,5,0)/1000</f>
        <v>0</v>
      </c>
    </row>
    <row r="33" spans="3:120" x14ac:dyDescent="0.3">
      <c r="C33" s="36" t="s">
        <v>2</v>
      </c>
      <c r="E33" s="42"/>
      <c r="F33" s="38">
        <f>VLOOKUP($C33,Segment!$AK$152:$AP$223,6,0)/1000</f>
        <v>-205400.02691000007</v>
      </c>
      <c r="G33" s="38">
        <f>VLOOKUP($C33,Segment!$I$229:$N$300,6,0)/1000</f>
        <v>-107658.11</v>
      </c>
      <c r="H33" s="38">
        <f>VLOOKUP($C33,Segment!$P$229:$U$300,6,0)/1000</f>
        <v>-4135.9626800000069</v>
      </c>
      <c r="I33" s="38">
        <f>VLOOKUP($C33,Segment!$AD$229:$AI$300,6,0)/1000</f>
        <v>0</v>
      </c>
      <c r="J33" s="38">
        <f>VLOOKUP($C33,Segment!$AK$229:$AP$300,6,0)/1000</f>
        <v>-5641.5070400000213</v>
      </c>
      <c r="K33" s="38">
        <f>VLOOKUP($C33,Segment!$I$306:$N$377,6,0)/1000</f>
        <v>-39475.983349999995</v>
      </c>
      <c r="L33" s="38">
        <f>VLOOKUP($C33,Segment!$P$306:$U$377,6,0)/1000</f>
        <v>-30978.518640000002</v>
      </c>
      <c r="M33" s="38">
        <f>VLOOKUP($C33,Segment!$AD$306:$AI$377,6,0)/1000</f>
        <v>-35504.546870000006</v>
      </c>
      <c r="N33" s="203">
        <f>VLOOKUP($C33,Segment!$AK$306:$AP$377,6,0)/1000</f>
        <v>0</v>
      </c>
      <c r="O33" s="203">
        <f>VLOOKUP($C33,Segment!$I$383:$N$454,6,0)/1000</f>
        <v>-4.6999999999999999E-4</v>
      </c>
      <c r="P33" s="203">
        <f>VLOOKUP($C33,Segment!$P$383:$U$454,6,0)/1000</f>
        <v>0</v>
      </c>
      <c r="Q33" s="203">
        <f>VLOOKUP($C33,Segment!$AD$383:$AI$454,6,0)/1000</f>
        <v>0</v>
      </c>
      <c r="R33" s="203">
        <f>VLOOKUP($C33,Segment!$AK$383:$AP$454,6,0)/1000</f>
        <v>0</v>
      </c>
      <c r="S33" s="203">
        <f>VLOOKUP($C33,Segment!$I$460:$N$531,6,0)/1000</f>
        <v>-4.6999999999999999E-4</v>
      </c>
      <c r="T33" s="203">
        <f>VLOOKUP($C33,Segment!$P$460:$U$531,6,0)/1000</f>
        <v>0</v>
      </c>
      <c r="U33" s="203">
        <f>VLOOKUP($C33,Segment!$AD$460:$AI$531,6,0)/1000</f>
        <v>0</v>
      </c>
      <c r="V33" s="203">
        <f>VLOOKUP($C33,Segment!$AK$460:$AP$531,6,0)/1000</f>
        <v>-5.0000000000000043E-5</v>
      </c>
      <c r="Y33" s="38"/>
      <c r="Z33" s="38">
        <f>VLOOKUP($C33,Segment!$AK$152:$AP$223,2,0)/1000</f>
        <v>-205400.02691000007</v>
      </c>
      <c r="AA33" s="38">
        <f>VLOOKUP($C33,Segment!$I$229:$N$300,2,0)/1000</f>
        <v>-107658.11</v>
      </c>
      <c r="AB33" s="38">
        <f>VLOOKUP($C33,Segment!$P$229:$U$300,2,0)/1000</f>
        <v>-4135.9626800000069</v>
      </c>
      <c r="AC33" s="38">
        <f>VLOOKUP($C33,Segment!$AD$229:$AI$300,2,0)/1000</f>
        <v>0</v>
      </c>
      <c r="AD33" s="38">
        <f>VLOOKUP($C33,Segment!$AK$229:$AP$300,2,0)/1000</f>
        <v>-5641.5070400000213</v>
      </c>
      <c r="AE33" s="38">
        <f>VLOOKUP($C33,Segment!$I$306:$N$377,2,0)/1000</f>
        <v>-39475.983349999995</v>
      </c>
      <c r="AF33" s="38">
        <f>VLOOKUP($C33,Segment!$P$306:$U$377,2,0)/1000</f>
        <v>-30978.518640000002</v>
      </c>
      <c r="AG33" s="38">
        <f>VLOOKUP($C33,Segment!$AD$306:$AI$377,2,0)/1000</f>
        <v>-35504.546870000006</v>
      </c>
      <c r="AH33" s="38">
        <f>VLOOKUP($C33,Segment!$AK$306:$AP$377,2,0)/1000</f>
        <v>0</v>
      </c>
      <c r="AI33" s="38">
        <f>VLOOKUP($C33,Segment!$I$383:$N$454,2,0)/1000</f>
        <v>-4.6999999999999999E-4</v>
      </c>
      <c r="AJ33" s="38">
        <f>VLOOKUP($C33,Segment!$P$383:$U$454,2,0)/1000</f>
        <v>0</v>
      </c>
      <c r="AK33" s="38">
        <f>VLOOKUP($C33,Segment!$AD$383:$AI$454,2,0)/1000</f>
        <v>0</v>
      </c>
      <c r="AL33" s="38">
        <f>VLOOKUP($C33,Segment!$AK$383:$AP$454,2,0)/1000</f>
        <v>0</v>
      </c>
      <c r="AM33" s="38">
        <f>VLOOKUP($C33,Segment!$I$460:$N$531,2,0)/1000</f>
        <v>-4.6999999999999999E-4</v>
      </c>
      <c r="AN33" s="38">
        <f>VLOOKUP($C33,Segment!$P$460:$U$531,2,0)/1000</f>
        <v>0</v>
      </c>
      <c r="AO33" s="38">
        <f>VLOOKUP($C33,Segment!$AD$460:$AI$531,2,0)/1000</f>
        <v>0</v>
      </c>
      <c r="AP33" s="38">
        <f>VLOOKUP($C33,Segment!$AK$460:$AP$531,2,0)/1000</f>
        <v>-5.0000000000000043E-5</v>
      </c>
      <c r="AQ33" s="132" t="e">
        <f>AP33/AL33-1</f>
        <v>#DIV/0!</v>
      </c>
      <c r="AS33" s="38"/>
      <c r="AT33" s="38">
        <f>VLOOKUP($C33,Segment!$AK$152:$AP$223,3,0)/1000</f>
        <v>0</v>
      </c>
      <c r="AU33" s="38">
        <f>VLOOKUP($C33,Segment!$I$229:$N$300,3,0)/1000</f>
        <v>0</v>
      </c>
      <c r="AV33" s="38">
        <f>VLOOKUP($C33,Segment!$P$229:$U$300,3,0)/1000</f>
        <v>0</v>
      </c>
      <c r="AW33" s="38">
        <f>VLOOKUP($C33,Segment!$AD$229:$AI$300,3,0)/1000</f>
        <v>0</v>
      </c>
      <c r="AX33" s="38">
        <f>VLOOKUP($C33,Segment!$AK$229:$AP$300,3,0)/1000</f>
        <v>0</v>
      </c>
      <c r="AY33" s="38">
        <f>VLOOKUP($C33,Segment!$I$306:$N$377,3,0)/1000</f>
        <v>0</v>
      </c>
      <c r="AZ33" s="38">
        <f>VLOOKUP($C33,Segment!$P$306:$U$377,3,0)/1000</f>
        <v>0</v>
      </c>
      <c r="BA33" s="38">
        <f>VLOOKUP($C33,Segment!$AD$306:$AI$377,3,0)/1000</f>
        <v>0</v>
      </c>
      <c r="BB33" s="38">
        <f>VLOOKUP($C33,Segment!$AK$306:$AP$377,3,0)/1000</f>
        <v>0</v>
      </c>
      <c r="BC33" s="38">
        <f>VLOOKUP($C33,Segment!$I$383:$N$454,3,0)/1000</f>
        <v>0</v>
      </c>
      <c r="BD33" s="38">
        <f>VLOOKUP($C33,Segment!$P$383:$U$454,3,0)/1000</f>
        <v>0</v>
      </c>
      <c r="BE33" s="38">
        <f>VLOOKUP($C33,Segment!$AD$383:$AI$454,3,0)/1000</f>
        <v>0</v>
      </c>
      <c r="BF33" s="38">
        <f>VLOOKUP($C33,Segment!$AK$383:$AP$454,3,0)/1000</f>
        <v>0</v>
      </c>
      <c r="BG33" s="38">
        <f>VLOOKUP($C33,Segment!$I$460:$N$531,3,0)/1000</f>
        <v>0</v>
      </c>
      <c r="BH33" s="38">
        <f>VLOOKUP($C33,Segment!$P$460:$U$531,3,0)/1000</f>
        <v>0</v>
      </c>
      <c r="BI33" s="38">
        <f>VLOOKUP($C33,Segment!$AD$460:$AI$531,3,0)/1000</f>
        <v>0</v>
      </c>
      <c r="BJ33" s="38">
        <f>VLOOKUP($C33,Segment!$AK$460:$AP$531,3,0)/1000</f>
        <v>0</v>
      </c>
      <c r="BL33" s="38"/>
      <c r="BM33" s="38">
        <f>VLOOKUP($C33,Segment!$AK$152:$AP$223,4,0)/1000</f>
        <v>0</v>
      </c>
      <c r="BN33" s="38">
        <f>VLOOKUP($C33,Segment!$I$229:$N$300,4,0)/1000</f>
        <v>0</v>
      </c>
      <c r="BO33" s="38">
        <f>VLOOKUP($C33,Segment!$P$229:$U$300,4,0)/1000</f>
        <v>0</v>
      </c>
      <c r="BP33" s="38">
        <f>VLOOKUP($C33,Segment!$AD$229:$AI$300,4,0)/1000</f>
        <v>0</v>
      </c>
      <c r="BQ33" s="38">
        <f>VLOOKUP($C33,Segment!$AK$229:$AP$300,4,0)/1000</f>
        <v>0</v>
      </c>
      <c r="BR33" s="38">
        <f>VLOOKUP($C33,Segment!$I$306:$N$377,4,0)/1000</f>
        <v>0</v>
      </c>
      <c r="BS33" s="38">
        <f>VLOOKUP($C33,Segment!$P$306:$U$377,4,0)/1000</f>
        <v>0</v>
      </c>
      <c r="BT33" s="38">
        <f>VLOOKUP($C33,Segment!$AD$306:$AI$377,4,0)/1000</f>
        <v>0</v>
      </c>
      <c r="BU33" s="38">
        <f>VLOOKUP($C33,Segment!$AK$306:$AP$377,4,0)/1000</f>
        <v>0</v>
      </c>
      <c r="BV33" s="38">
        <f>VLOOKUP($C33,Segment!$I$383:$N$454,4,0)/1000</f>
        <v>0</v>
      </c>
      <c r="BW33" s="38">
        <f>VLOOKUP($C33,Segment!$P$383:$U$454,4,0)/1000</f>
        <v>0</v>
      </c>
      <c r="BX33" s="38">
        <f>VLOOKUP($C33,Segment!$AD$383:$AI$454,4,0)/1000</f>
        <v>0</v>
      </c>
      <c r="BY33" s="38">
        <f>VLOOKUP($C33,Segment!$AK$383:$AP$454,4,0)/1000</f>
        <v>0</v>
      </c>
      <c r="BZ33" s="38">
        <f>VLOOKUP($C33,Segment!$I$460:$N$531,4,0)/1000</f>
        <v>0</v>
      </c>
      <c r="CA33" s="38">
        <f>VLOOKUP($C33,Segment!$P$460:$U$531,4,0)/1000</f>
        <v>0</v>
      </c>
      <c r="CB33" s="38">
        <f>VLOOKUP($C33,Segment!$AD$460:$AI$531,4,0)/1000</f>
        <v>0</v>
      </c>
      <c r="CC33" s="38">
        <f>VLOOKUP($C33,Segment!$AK$460:$AP$531,4,0)/1000</f>
        <v>0</v>
      </c>
      <c r="CE33" s="38"/>
      <c r="CF33" s="38">
        <f t="shared" si="69"/>
        <v>0</v>
      </c>
      <c r="CG33" s="38">
        <f t="shared" si="69"/>
        <v>0</v>
      </c>
      <c r="CH33" s="38">
        <f t="shared" si="69"/>
        <v>0</v>
      </c>
      <c r="CI33" s="38">
        <f t="shared" si="69"/>
        <v>0</v>
      </c>
      <c r="CJ33" s="38">
        <f t="shared" si="69"/>
        <v>0</v>
      </c>
      <c r="CK33" s="38">
        <f t="shared" si="69"/>
        <v>0</v>
      </c>
      <c r="CL33" s="38">
        <f t="shared" si="69"/>
        <v>0</v>
      </c>
      <c r="CM33" s="38">
        <f t="shared" si="69"/>
        <v>0</v>
      </c>
      <c r="CN33" s="38">
        <f t="shared" si="69"/>
        <v>0</v>
      </c>
      <c r="CO33" s="38">
        <f t="shared" si="69"/>
        <v>0</v>
      </c>
      <c r="CP33" s="38">
        <f t="shared" si="70"/>
        <v>0</v>
      </c>
      <c r="CQ33" s="38">
        <f t="shared" si="70"/>
        <v>0</v>
      </c>
      <c r="CR33" s="38">
        <f t="shared" si="70"/>
        <v>0</v>
      </c>
      <c r="CS33" s="38">
        <f t="shared" si="70"/>
        <v>0</v>
      </c>
      <c r="CT33" s="38">
        <f t="shared" si="70"/>
        <v>0</v>
      </c>
      <c r="CU33" s="38">
        <f t="shared" si="70"/>
        <v>0</v>
      </c>
      <c r="CV33" s="38">
        <f t="shared" si="70"/>
        <v>0</v>
      </c>
      <c r="CY33" s="38"/>
      <c r="CZ33" s="38">
        <f>VLOOKUP($C33,Segment!$AK$152:$AP$223,5,0)/1000</f>
        <v>0</v>
      </c>
      <c r="DA33" s="38">
        <f>VLOOKUP($C33,Segment!$I$229:$N$300,5,0)/1000</f>
        <v>0</v>
      </c>
      <c r="DB33" s="38">
        <f>VLOOKUP($C33,Segment!$P$229:$U$300,5,0)/1000</f>
        <v>0</v>
      </c>
      <c r="DC33" s="38">
        <f>VLOOKUP($C33,Segment!$AD$229:$AI$300,5,0)/1000</f>
        <v>0</v>
      </c>
      <c r="DD33" s="38">
        <f>VLOOKUP($C33,Segment!$AK$229:$AP$300,5,0)/1000</f>
        <v>0</v>
      </c>
      <c r="DE33" s="38">
        <f>VLOOKUP($C33,Segment!$I$306:$N$377,5,0)/1000</f>
        <v>0</v>
      </c>
      <c r="DF33" s="38">
        <f>VLOOKUP($C33,Segment!$P$306:$U$377,5,0)/1000</f>
        <v>0</v>
      </c>
      <c r="DG33" s="38">
        <f>VLOOKUP($C33,Segment!$AD$306:$AI$377,5,0)/1000</f>
        <v>0</v>
      </c>
      <c r="DH33" s="38">
        <f>VLOOKUP($C33,Segment!$AK$306:$AP$377,5,0)/1000</f>
        <v>0</v>
      </c>
      <c r="DI33" s="38">
        <f>VLOOKUP($C33,Segment!$I$383:$N$454,5,0)/1000</f>
        <v>0</v>
      </c>
      <c r="DJ33" s="38">
        <f>VLOOKUP($C33,Segment!$P$383:$U$454,5,0)/1000</f>
        <v>0</v>
      </c>
      <c r="DK33" s="38">
        <f>VLOOKUP($C33,Segment!$AD$383:$AI$454,5,0)/1000</f>
        <v>0</v>
      </c>
      <c r="DL33" s="38">
        <f>VLOOKUP($C33,Segment!$AK$383:$AP$454,5,0)/1000</f>
        <v>0</v>
      </c>
      <c r="DM33" s="38">
        <f>VLOOKUP($C33,Segment!$I$460:$N$531,5,0)/1000</f>
        <v>0</v>
      </c>
      <c r="DN33" s="38">
        <f>VLOOKUP($C33,Segment!$P$460:$U$531,5,0)/1000</f>
        <v>0</v>
      </c>
      <c r="DO33" s="38">
        <f>VLOOKUP($C33,Segment!$AD$460:$AI$531,5,0)/1000</f>
        <v>0</v>
      </c>
      <c r="DP33" s="38">
        <f>VLOOKUP($C33,Segment!$AK$460:$AP$531,5,0)/1000</f>
        <v>0</v>
      </c>
    </row>
    <row r="34" spans="3:120" x14ac:dyDescent="0.3">
      <c r="C34" s="43" t="s">
        <v>21</v>
      </c>
      <c r="D34" s="111"/>
      <c r="E34" s="44"/>
      <c r="F34" s="44">
        <f t="shared" ref="F34:M34" si="71">SUM(F32:F33)</f>
        <v>157.80500000002212</v>
      </c>
      <c r="G34" s="44">
        <f t="shared" si="71"/>
        <v>0</v>
      </c>
      <c r="H34" s="44">
        <f t="shared" si="71"/>
        <v>2.6200000047538197E-3</v>
      </c>
      <c r="I34" s="44">
        <f t="shared" si="71"/>
        <v>9.9999904632568354E-6</v>
      </c>
      <c r="J34" s="44">
        <f t="shared" si="71"/>
        <v>-2.0400000066729262E-3</v>
      </c>
      <c r="K34" s="44">
        <f t="shared" si="71"/>
        <v>5.999999848427251E-5</v>
      </c>
      <c r="L34" s="44">
        <f t="shared" si="71"/>
        <v>0</v>
      </c>
      <c r="M34" s="44">
        <f t="shared" si="71"/>
        <v>0</v>
      </c>
      <c r="N34" s="44">
        <f t="shared" ref="N34:V34" si="72">SUM(N32:N33)</f>
        <v>0</v>
      </c>
      <c r="O34" s="44">
        <f t="shared" si="72"/>
        <v>-4.6999999999999999E-4</v>
      </c>
      <c r="P34" s="44">
        <f t="shared" si="72"/>
        <v>0</v>
      </c>
      <c r="Q34" s="44">
        <f t="shared" si="72"/>
        <v>0</v>
      </c>
      <c r="R34" s="44">
        <f t="shared" si="72"/>
        <v>0</v>
      </c>
      <c r="S34" s="44">
        <f t="shared" si="72"/>
        <v>-4.6999999999999999E-4</v>
      </c>
      <c r="T34" s="44">
        <f t="shared" si="72"/>
        <v>0</v>
      </c>
      <c r="U34" s="44">
        <f t="shared" si="72"/>
        <v>0</v>
      </c>
      <c r="V34" s="44">
        <f t="shared" si="72"/>
        <v>0</v>
      </c>
      <c r="W34" s="170"/>
      <c r="Y34" s="44"/>
      <c r="Z34" s="44">
        <f t="shared" ref="Z34:AG34" si="73">SUM(Z32:Z33)</f>
        <v>157.80500000002212</v>
      </c>
      <c r="AA34" s="44">
        <f t="shared" si="73"/>
        <v>0</v>
      </c>
      <c r="AB34" s="44">
        <f t="shared" si="73"/>
        <v>2.6200000047538197E-3</v>
      </c>
      <c r="AC34" s="44">
        <f t="shared" si="73"/>
        <v>9.9999904632568354E-6</v>
      </c>
      <c r="AD34" s="44">
        <f t="shared" si="73"/>
        <v>-2.0400000066729262E-3</v>
      </c>
      <c r="AE34" s="44">
        <f t="shared" si="73"/>
        <v>5.999999848427251E-5</v>
      </c>
      <c r="AF34" s="44">
        <f t="shared" si="73"/>
        <v>0</v>
      </c>
      <c r="AG34" s="44">
        <f t="shared" si="73"/>
        <v>0</v>
      </c>
      <c r="AH34" s="44">
        <f t="shared" ref="AH34:AP34" si="74">SUM(AH32:AH33)</f>
        <v>0</v>
      </c>
      <c r="AI34" s="44">
        <f t="shared" si="74"/>
        <v>-4.6999999999999999E-4</v>
      </c>
      <c r="AJ34" s="44">
        <f t="shared" si="74"/>
        <v>0</v>
      </c>
      <c r="AK34" s="44">
        <f t="shared" si="74"/>
        <v>0</v>
      </c>
      <c r="AL34" s="44">
        <f t="shared" si="74"/>
        <v>0</v>
      </c>
      <c r="AM34" s="44">
        <f t="shared" si="74"/>
        <v>-4.6999999999999999E-4</v>
      </c>
      <c r="AN34" s="44">
        <f t="shared" si="74"/>
        <v>0</v>
      </c>
      <c r="AO34" s="44">
        <f t="shared" si="74"/>
        <v>0</v>
      </c>
      <c r="AP34" s="44">
        <f t="shared" si="74"/>
        <v>0</v>
      </c>
      <c r="AQ34" s="170"/>
      <c r="AR34" s="44"/>
      <c r="AS34" s="44"/>
      <c r="AT34" s="44">
        <f t="shared" ref="AT34:BA34" si="75">SUM(AT32:AT33)</f>
        <v>0</v>
      </c>
      <c r="AU34" s="44">
        <f t="shared" si="75"/>
        <v>0</v>
      </c>
      <c r="AV34" s="44">
        <f t="shared" si="75"/>
        <v>0</v>
      </c>
      <c r="AW34" s="44">
        <f t="shared" si="75"/>
        <v>0</v>
      </c>
      <c r="AX34" s="44">
        <f t="shared" si="75"/>
        <v>0</v>
      </c>
      <c r="AY34" s="44">
        <f t="shared" si="75"/>
        <v>0</v>
      </c>
      <c r="AZ34" s="44">
        <f t="shared" si="75"/>
        <v>0</v>
      </c>
      <c r="BA34" s="44">
        <f t="shared" si="75"/>
        <v>0</v>
      </c>
      <c r="BB34" s="44">
        <f t="shared" ref="BB34:BJ34" si="76">SUM(BB32:BB33)</f>
        <v>0</v>
      </c>
      <c r="BC34" s="44">
        <f t="shared" si="76"/>
        <v>0</v>
      </c>
      <c r="BD34" s="44">
        <f t="shared" si="76"/>
        <v>0</v>
      </c>
      <c r="BE34" s="44">
        <f t="shared" si="76"/>
        <v>0</v>
      </c>
      <c r="BF34" s="44">
        <f t="shared" si="76"/>
        <v>0</v>
      </c>
      <c r="BG34" s="44">
        <f t="shared" si="76"/>
        <v>0</v>
      </c>
      <c r="BH34" s="44">
        <f t="shared" si="76"/>
        <v>0</v>
      </c>
      <c r="BI34" s="44">
        <f t="shared" si="76"/>
        <v>0</v>
      </c>
      <c r="BJ34" s="44">
        <f t="shared" si="76"/>
        <v>0</v>
      </c>
      <c r="BK34" s="44"/>
      <c r="BL34" s="44"/>
      <c r="BM34" s="44">
        <f t="shared" ref="BM34:BT34" si="77">SUM(BM32:BM33)</f>
        <v>0</v>
      </c>
      <c r="BN34" s="44">
        <f t="shared" si="77"/>
        <v>0</v>
      </c>
      <c r="BO34" s="44">
        <f t="shared" si="77"/>
        <v>0</v>
      </c>
      <c r="BP34" s="44">
        <f t="shared" si="77"/>
        <v>0</v>
      </c>
      <c r="BQ34" s="44">
        <f t="shared" si="77"/>
        <v>0</v>
      </c>
      <c r="BR34" s="44">
        <f t="shared" si="77"/>
        <v>0</v>
      </c>
      <c r="BS34" s="44">
        <f t="shared" si="77"/>
        <v>0</v>
      </c>
      <c r="BT34" s="44">
        <f t="shared" si="77"/>
        <v>0</v>
      </c>
      <c r="BU34" s="44">
        <f t="shared" ref="BU34:CC34" si="78">SUM(BU32:BU33)</f>
        <v>0</v>
      </c>
      <c r="BV34" s="44">
        <f t="shared" si="78"/>
        <v>0</v>
      </c>
      <c r="BW34" s="44">
        <f t="shared" si="78"/>
        <v>0</v>
      </c>
      <c r="BX34" s="44">
        <f t="shared" si="78"/>
        <v>0</v>
      </c>
      <c r="BY34" s="44">
        <f t="shared" si="78"/>
        <v>0</v>
      </c>
      <c r="BZ34" s="44">
        <f t="shared" si="78"/>
        <v>0</v>
      </c>
      <c r="CA34" s="44">
        <f t="shared" si="78"/>
        <v>0</v>
      </c>
      <c r="CB34" s="44">
        <f t="shared" si="78"/>
        <v>0</v>
      </c>
      <c r="CC34" s="44">
        <f t="shared" si="78"/>
        <v>0</v>
      </c>
      <c r="CD34" s="44"/>
      <c r="CE34" s="44"/>
      <c r="CF34" s="44">
        <f t="shared" ref="CF34:CM34" si="79">SUM(CF32:CF33)</f>
        <v>0</v>
      </c>
      <c r="CG34" s="44">
        <f t="shared" si="79"/>
        <v>0</v>
      </c>
      <c r="CH34" s="44">
        <f t="shared" si="79"/>
        <v>0</v>
      </c>
      <c r="CI34" s="44">
        <f t="shared" si="79"/>
        <v>0</v>
      </c>
      <c r="CJ34" s="44">
        <f t="shared" si="79"/>
        <v>0</v>
      </c>
      <c r="CK34" s="44">
        <f t="shared" si="79"/>
        <v>0</v>
      </c>
      <c r="CL34" s="44">
        <f t="shared" si="79"/>
        <v>0</v>
      </c>
      <c r="CM34" s="44">
        <f t="shared" si="79"/>
        <v>0</v>
      </c>
      <c r="CN34" s="44">
        <f t="shared" ref="CN34:CV34" si="80">SUM(CN32:CN33)</f>
        <v>0</v>
      </c>
      <c r="CO34" s="44">
        <f t="shared" si="80"/>
        <v>0</v>
      </c>
      <c r="CP34" s="44">
        <f t="shared" si="80"/>
        <v>0</v>
      </c>
      <c r="CQ34" s="44">
        <f t="shared" si="80"/>
        <v>0</v>
      </c>
      <c r="CR34" s="44">
        <f t="shared" si="80"/>
        <v>0</v>
      </c>
      <c r="CS34" s="44">
        <f t="shared" si="80"/>
        <v>0</v>
      </c>
      <c r="CT34" s="44">
        <f t="shared" si="80"/>
        <v>0</v>
      </c>
      <c r="CU34" s="44">
        <f t="shared" si="80"/>
        <v>0</v>
      </c>
      <c r="CV34" s="44">
        <f t="shared" si="80"/>
        <v>0</v>
      </c>
      <c r="CW34" s="170"/>
      <c r="CX34" s="44"/>
      <c r="CY34" s="44"/>
      <c r="CZ34" s="44">
        <f t="shared" ref="CZ34:DG34" si="81">SUM(CZ32:CZ33)</f>
        <v>0</v>
      </c>
      <c r="DA34" s="44">
        <f t="shared" si="81"/>
        <v>0</v>
      </c>
      <c r="DB34" s="44">
        <f t="shared" si="81"/>
        <v>0</v>
      </c>
      <c r="DC34" s="44">
        <f t="shared" si="81"/>
        <v>0</v>
      </c>
      <c r="DD34" s="44">
        <f t="shared" si="81"/>
        <v>0</v>
      </c>
      <c r="DE34" s="44">
        <f t="shared" si="81"/>
        <v>0</v>
      </c>
      <c r="DF34" s="44">
        <f t="shared" si="81"/>
        <v>0</v>
      </c>
      <c r="DG34" s="44">
        <f t="shared" si="81"/>
        <v>0</v>
      </c>
      <c r="DH34" s="44">
        <f t="shared" ref="DH34:DP34" si="82">SUM(DH32:DH33)</f>
        <v>0</v>
      </c>
      <c r="DI34" s="44">
        <f t="shared" si="82"/>
        <v>0</v>
      </c>
      <c r="DJ34" s="44">
        <f t="shared" si="82"/>
        <v>0</v>
      </c>
      <c r="DK34" s="44">
        <f t="shared" si="82"/>
        <v>0</v>
      </c>
      <c r="DL34" s="44">
        <f t="shared" si="82"/>
        <v>0</v>
      </c>
      <c r="DM34" s="44">
        <f t="shared" si="82"/>
        <v>0</v>
      </c>
      <c r="DN34" s="44">
        <f t="shared" si="82"/>
        <v>0</v>
      </c>
      <c r="DO34" s="44">
        <f t="shared" si="82"/>
        <v>0</v>
      </c>
      <c r="DP34" s="44">
        <f t="shared" si="82"/>
        <v>0</v>
      </c>
    </row>
    <row r="35" spans="3:120" ht="13.5" thickBot="1" x14ac:dyDescent="0.35">
      <c r="C35" s="50" t="s">
        <v>22</v>
      </c>
      <c r="D35" s="114"/>
      <c r="E35" s="51"/>
      <c r="F35" s="51">
        <f t="shared" ref="F35:V35" si="83">F18+F27+F11+F30+F34</f>
        <v>311949.00101637165</v>
      </c>
      <c r="G35" s="51">
        <f t="shared" si="83"/>
        <v>232253.50575629997</v>
      </c>
      <c r="H35" s="51">
        <f t="shared" si="83"/>
        <v>254787.04899271979</v>
      </c>
      <c r="I35" s="51">
        <f t="shared" si="83"/>
        <v>288498.54727098224</v>
      </c>
      <c r="J35" s="51">
        <f t="shared" si="83"/>
        <v>313136.43009245803</v>
      </c>
      <c r="K35" s="51">
        <f t="shared" si="83"/>
        <v>362480.2688364468</v>
      </c>
      <c r="L35" s="51">
        <f t="shared" si="83"/>
        <v>322751.02772886225</v>
      </c>
      <c r="M35" s="51">
        <f t="shared" si="83"/>
        <v>299116.55898813257</v>
      </c>
      <c r="N35" s="52">
        <f t="shared" si="83"/>
        <v>467823.86654365371</v>
      </c>
      <c r="O35" s="52">
        <f t="shared" si="83"/>
        <v>462883.29988509696</v>
      </c>
      <c r="P35" s="52">
        <f t="shared" si="83"/>
        <v>471209.89251534682</v>
      </c>
      <c r="Q35" s="52">
        <f t="shared" si="83"/>
        <v>428633.85598325642</v>
      </c>
      <c r="R35" s="52">
        <f t="shared" si="83"/>
        <v>377925.98360909603</v>
      </c>
      <c r="S35" s="52">
        <f t="shared" si="83"/>
        <v>323688.67206599872</v>
      </c>
      <c r="T35" s="52">
        <f t="shared" si="83"/>
        <v>421841.1109630125</v>
      </c>
      <c r="U35" s="52">
        <f t="shared" si="83"/>
        <v>589265.6443608288</v>
      </c>
      <c r="V35" s="52">
        <f t="shared" si="83"/>
        <v>644482.93616314966</v>
      </c>
      <c r="W35" s="174">
        <f t="shared" si="9"/>
        <v>0.70531523132784679</v>
      </c>
      <c r="X35" s="132"/>
      <c r="Y35" s="51"/>
      <c r="Z35" s="51">
        <f t="shared" ref="Z35:AP35" si="84">Z18+Z27+Z11+Z30+Z34</f>
        <v>311949.00101637165</v>
      </c>
      <c r="AA35" s="51">
        <f t="shared" si="84"/>
        <v>232253.50575629997</v>
      </c>
      <c r="AB35" s="51">
        <f t="shared" si="84"/>
        <v>254914.49229651981</v>
      </c>
      <c r="AC35" s="51">
        <f t="shared" si="84"/>
        <v>288371.10396718228</v>
      </c>
      <c r="AD35" s="51">
        <f t="shared" si="84"/>
        <v>312561.19449245802</v>
      </c>
      <c r="AE35" s="51">
        <f t="shared" si="84"/>
        <v>360687.58713544003</v>
      </c>
      <c r="AF35" s="51">
        <f t="shared" si="84"/>
        <v>320306.10333241994</v>
      </c>
      <c r="AG35" s="51">
        <f t="shared" si="84"/>
        <v>296914.23453042423</v>
      </c>
      <c r="AH35" s="51">
        <f t="shared" si="84"/>
        <v>467556.28746145294</v>
      </c>
      <c r="AI35" s="51">
        <f t="shared" si="84"/>
        <v>462133.40404031618</v>
      </c>
      <c r="AJ35" s="51">
        <f t="shared" si="84"/>
        <v>470230.78754940553</v>
      </c>
      <c r="AK35" s="51">
        <f t="shared" si="84"/>
        <v>430629.76888914761</v>
      </c>
      <c r="AL35" s="51">
        <f t="shared" si="84"/>
        <v>378185.42335998552</v>
      </c>
      <c r="AM35" s="51">
        <f t="shared" si="84"/>
        <v>325078.78242558753</v>
      </c>
      <c r="AN35" s="51">
        <f t="shared" si="84"/>
        <v>425382.30976071878</v>
      </c>
      <c r="AO35" s="51">
        <f t="shared" si="84"/>
        <v>589411.99655337667</v>
      </c>
      <c r="AP35" s="51">
        <f t="shared" si="84"/>
        <v>646937.02930931922</v>
      </c>
      <c r="AQ35" s="174">
        <f>AP35/AL35-1</f>
        <v>0.7106344913074969</v>
      </c>
      <c r="AR35" s="132"/>
      <c r="AS35" s="51"/>
      <c r="AT35" s="51">
        <f t="shared" ref="AT35:BJ35" si="85">AT18+AT27+AT11+AT30+AT34</f>
        <v>0</v>
      </c>
      <c r="AU35" s="51">
        <f t="shared" si="85"/>
        <v>0</v>
      </c>
      <c r="AV35" s="51">
        <f t="shared" si="85"/>
        <v>0</v>
      </c>
      <c r="AW35" s="51">
        <f t="shared" si="85"/>
        <v>0</v>
      </c>
      <c r="AX35" s="51">
        <f t="shared" si="85"/>
        <v>0</v>
      </c>
      <c r="AY35" s="51">
        <f t="shared" si="85"/>
        <v>0</v>
      </c>
      <c r="AZ35" s="51">
        <f t="shared" si="85"/>
        <v>0</v>
      </c>
      <c r="BA35" s="51">
        <f t="shared" si="85"/>
        <v>0</v>
      </c>
      <c r="BB35" s="51">
        <f t="shared" si="85"/>
        <v>0</v>
      </c>
      <c r="BC35" s="51">
        <f t="shared" si="85"/>
        <v>0</v>
      </c>
      <c r="BD35" s="51">
        <f t="shared" si="85"/>
        <v>0</v>
      </c>
      <c r="BE35" s="51">
        <f t="shared" si="85"/>
        <v>0</v>
      </c>
      <c r="BF35" s="51">
        <f t="shared" si="85"/>
        <v>0</v>
      </c>
      <c r="BG35" s="51">
        <f t="shared" si="85"/>
        <v>0</v>
      </c>
      <c r="BH35" s="51">
        <f t="shared" si="85"/>
        <v>0</v>
      </c>
      <c r="BI35" s="51">
        <f t="shared" si="85"/>
        <v>0</v>
      </c>
      <c r="BJ35" s="51">
        <f t="shared" si="85"/>
        <v>0</v>
      </c>
      <c r="BK35" s="52"/>
      <c r="BL35" s="51"/>
      <c r="BM35" s="51">
        <f t="shared" ref="BM35:CC35" si="86">BM18+BM27+BM11+BM30+BM34</f>
        <v>0</v>
      </c>
      <c r="BN35" s="51">
        <f t="shared" si="86"/>
        <v>0</v>
      </c>
      <c r="BO35" s="51">
        <f t="shared" si="86"/>
        <v>0</v>
      </c>
      <c r="BP35" s="51">
        <f t="shared" si="86"/>
        <v>0</v>
      </c>
      <c r="BQ35" s="51">
        <f t="shared" si="86"/>
        <v>0</v>
      </c>
      <c r="BR35" s="51">
        <f t="shared" si="86"/>
        <v>0</v>
      </c>
      <c r="BS35" s="51">
        <f t="shared" si="86"/>
        <v>0</v>
      </c>
      <c r="BT35" s="51">
        <f t="shared" si="86"/>
        <v>0</v>
      </c>
      <c r="BU35" s="51">
        <f t="shared" si="86"/>
        <v>0</v>
      </c>
      <c r="BV35" s="51">
        <f t="shared" si="86"/>
        <v>0</v>
      </c>
      <c r="BW35" s="51">
        <f t="shared" si="86"/>
        <v>0</v>
      </c>
      <c r="BX35" s="51">
        <f t="shared" si="86"/>
        <v>0</v>
      </c>
      <c r="BY35" s="51">
        <f t="shared" si="86"/>
        <v>0</v>
      </c>
      <c r="BZ35" s="51">
        <f t="shared" si="86"/>
        <v>0</v>
      </c>
      <c r="CA35" s="51">
        <f t="shared" si="86"/>
        <v>0</v>
      </c>
      <c r="CB35" s="51">
        <f t="shared" si="86"/>
        <v>0</v>
      </c>
      <c r="CC35" s="51">
        <f t="shared" si="86"/>
        <v>0</v>
      </c>
      <c r="CD35" s="52"/>
      <c r="CE35" s="51"/>
      <c r="CF35" s="51">
        <f t="shared" ref="CF35:CV35" si="87">CF18+CF27+CF11+CF30+CF34</f>
        <v>0</v>
      </c>
      <c r="CG35" s="51">
        <f t="shared" si="87"/>
        <v>0</v>
      </c>
      <c r="CH35" s="51">
        <f t="shared" si="87"/>
        <v>0</v>
      </c>
      <c r="CI35" s="51">
        <f t="shared" si="87"/>
        <v>0</v>
      </c>
      <c r="CJ35" s="51">
        <f t="shared" si="87"/>
        <v>0</v>
      </c>
      <c r="CK35" s="51">
        <f t="shared" si="87"/>
        <v>0</v>
      </c>
      <c r="CL35" s="51">
        <f t="shared" si="87"/>
        <v>0</v>
      </c>
      <c r="CM35" s="51">
        <f t="shared" si="87"/>
        <v>0</v>
      </c>
      <c r="CN35" s="51">
        <f t="shared" si="87"/>
        <v>0</v>
      </c>
      <c r="CO35" s="51">
        <f t="shared" si="87"/>
        <v>0</v>
      </c>
      <c r="CP35" s="51">
        <f t="shared" si="87"/>
        <v>0</v>
      </c>
      <c r="CQ35" s="51">
        <f t="shared" si="87"/>
        <v>0</v>
      </c>
      <c r="CR35" s="51">
        <f t="shared" si="87"/>
        <v>0</v>
      </c>
      <c r="CS35" s="51">
        <f t="shared" si="87"/>
        <v>0</v>
      </c>
      <c r="CT35" s="51">
        <f t="shared" si="87"/>
        <v>0</v>
      </c>
      <c r="CU35" s="51">
        <f t="shared" si="87"/>
        <v>0</v>
      </c>
      <c r="CV35" s="51">
        <f t="shared" si="87"/>
        <v>0</v>
      </c>
      <c r="CW35" s="174"/>
      <c r="CX35" s="52"/>
      <c r="CY35" s="51"/>
      <c r="CZ35" s="51">
        <f t="shared" ref="CZ35:DP35" si="88">CZ18+CZ27+CZ11+CZ30+CZ34</f>
        <v>0</v>
      </c>
      <c r="DA35" s="51">
        <f t="shared" si="88"/>
        <v>0</v>
      </c>
      <c r="DB35" s="51">
        <f t="shared" si="88"/>
        <v>-127.44330380000001</v>
      </c>
      <c r="DC35" s="51">
        <f t="shared" si="88"/>
        <v>127.44330380000001</v>
      </c>
      <c r="DD35" s="51">
        <f t="shared" si="88"/>
        <v>575.23559999999998</v>
      </c>
      <c r="DE35" s="51">
        <f t="shared" si="88"/>
        <v>1792.6817010068112</v>
      </c>
      <c r="DF35" s="51">
        <f t="shared" si="88"/>
        <v>2444.9243964422139</v>
      </c>
      <c r="DG35" s="51">
        <f t="shared" si="88"/>
        <v>2202.3244577082742</v>
      </c>
      <c r="DH35" s="51">
        <f t="shared" si="88"/>
        <v>267.57908220072659</v>
      </c>
      <c r="DI35" s="51">
        <f t="shared" si="88"/>
        <v>749.89584478071629</v>
      </c>
      <c r="DJ35" s="51">
        <f t="shared" si="88"/>
        <v>979.10496594131519</v>
      </c>
      <c r="DK35" s="51">
        <f t="shared" si="88"/>
        <v>-1995.9129058912445</v>
      </c>
      <c r="DL35" s="51">
        <f t="shared" si="88"/>
        <v>-259.43975088952811</v>
      </c>
      <c r="DM35" s="51">
        <f t="shared" si="88"/>
        <v>-1390.1103595887198</v>
      </c>
      <c r="DN35" s="51">
        <f t="shared" si="88"/>
        <v>-3541.1987977062536</v>
      </c>
      <c r="DO35" s="51">
        <f t="shared" si="88"/>
        <v>-146.35219254770254</v>
      </c>
      <c r="DP35" s="51">
        <f t="shared" si="88"/>
        <v>-2454.0931461696009</v>
      </c>
    </row>
    <row r="36" spans="3:120" ht="13.5" thickTop="1" x14ac:dyDescent="0.3">
      <c r="C36" s="39" t="s">
        <v>58</v>
      </c>
      <c r="D36" s="109"/>
      <c r="E36" s="41"/>
      <c r="F36" s="41">
        <f t="shared" ref="F36:V36" si="89">(F35-F24-F17-F15-F10)/1000</f>
        <v>381.49816647637169</v>
      </c>
      <c r="G36" s="41">
        <f t="shared" si="89"/>
        <v>274.92831475629993</v>
      </c>
      <c r="H36" s="41">
        <f t="shared" si="89"/>
        <v>308.53111564271973</v>
      </c>
      <c r="I36" s="41">
        <f t="shared" si="89"/>
        <v>361.35611260098227</v>
      </c>
      <c r="J36" s="41">
        <f t="shared" si="89"/>
        <v>400.057059642458</v>
      </c>
      <c r="K36" s="41">
        <f t="shared" si="89"/>
        <v>464.67719016644679</v>
      </c>
      <c r="L36" s="41">
        <f t="shared" si="89"/>
        <v>457.18133981886228</v>
      </c>
      <c r="M36" s="41">
        <f t="shared" si="89"/>
        <v>480.37491964813256</v>
      </c>
      <c r="N36" s="41">
        <f t="shared" si="89"/>
        <v>691.15053904365368</v>
      </c>
      <c r="O36" s="41">
        <f t="shared" si="89"/>
        <v>735.11893089509692</v>
      </c>
      <c r="P36" s="41">
        <f t="shared" si="89"/>
        <v>789.5853268253469</v>
      </c>
      <c r="Q36" s="41">
        <f t="shared" si="89"/>
        <v>794.31444710325627</v>
      </c>
      <c r="R36" s="41">
        <f t="shared" si="89"/>
        <v>810.80016351909569</v>
      </c>
      <c r="S36" s="41">
        <f t="shared" si="89"/>
        <v>794.21801318599864</v>
      </c>
      <c r="T36" s="41">
        <f t="shared" si="89"/>
        <v>834.21645480301243</v>
      </c>
      <c r="U36" s="41">
        <f t="shared" si="89"/>
        <v>1040.1023671317421</v>
      </c>
      <c r="V36" s="41">
        <f t="shared" si="89"/>
        <v>1189.546626024686</v>
      </c>
      <c r="W36" s="169"/>
      <c r="Y36" s="41"/>
      <c r="Z36" s="41">
        <f t="shared" ref="Z36:AP36" si="90">(Z35-Z24-Z17-Z15-Z10)/1000</f>
        <v>381.49816647637169</v>
      </c>
      <c r="AA36" s="41">
        <f t="shared" si="90"/>
        <v>274.92831475629993</v>
      </c>
      <c r="AB36" s="41">
        <f t="shared" si="90"/>
        <v>308.65855894651975</v>
      </c>
      <c r="AC36" s="41">
        <f t="shared" si="90"/>
        <v>361.22866929718231</v>
      </c>
      <c r="AD36" s="41">
        <f t="shared" si="90"/>
        <v>399.47947469245798</v>
      </c>
      <c r="AE36" s="41">
        <f t="shared" si="90"/>
        <v>462.88021748544003</v>
      </c>
      <c r="AF36" s="41">
        <f t="shared" si="90"/>
        <v>454.73442056241993</v>
      </c>
      <c r="AG36" s="41">
        <f t="shared" si="90"/>
        <v>478.15094338042417</v>
      </c>
      <c r="AH36" s="41">
        <f t="shared" si="90"/>
        <v>690.85785624145296</v>
      </c>
      <c r="AI36" s="41">
        <f t="shared" si="90"/>
        <v>734.34236280031632</v>
      </c>
      <c r="AJ36" s="41">
        <f t="shared" si="90"/>
        <v>788.58585484940568</v>
      </c>
      <c r="AK36" s="41">
        <f t="shared" si="90"/>
        <v>796.29063742914752</v>
      </c>
      <c r="AL36" s="41">
        <f t="shared" si="90"/>
        <v>811.03342969998528</v>
      </c>
      <c r="AM36" s="41">
        <f t="shared" si="90"/>
        <v>795.59534125558741</v>
      </c>
      <c r="AN36" s="41">
        <f t="shared" si="90"/>
        <v>837.74308131071871</v>
      </c>
      <c r="AO36" s="41">
        <f t="shared" si="90"/>
        <v>1040.2275781742901</v>
      </c>
      <c r="AP36" s="41">
        <f t="shared" si="90"/>
        <v>1191.9696096108555</v>
      </c>
      <c r="AQ36" s="169">
        <f>AP36/AL36-1</f>
        <v>0.46969232828267615</v>
      </c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169"/>
      <c r="CY36" s="41"/>
      <c r="CZ36" s="41">
        <f t="shared" ref="CZ36:DP36" si="91">(CZ35-CZ24-CZ17-CZ15-CZ10)/1000</f>
        <v>0</v>
      </c>
      <c r="DA36" s="41">
        <f t="shared" si="91"/>
        <v>0</v>
      </c>
      <c r="DB36" s="41">
        <f t="shared" si="91"/>
        <v>-0.12744330380000002</v>
      </c>
      <c r="DC36" s="41">
        <f t="shared" si="91"/>
        <v>0.12744330380000002</v>
      </c>
      <c r="DD36" s="41">
        <f t="shared" si="91"/>
        <v>0.57758494999999999</v>
      </c>
      <c r="DE36" s="41">
        <f t="shared" si="91"/>
        <v>1.7969726810068112</v>
      </c>
      <c r="DF36" s="41">
        <f t="shared" si="91"/>
        <v>2.4469192564422135</v>
      </c>
      <c r="DG36" s="41">
        <f t="shared" si="91"/>
        <v>2.2239762677082742</v>
      </c>
      <c r="DH36" s="41">
        <f t="shared" si="91"/>
        <v>0.29268280220072662</v>
      </c>
      <c r="DI36" s="41">
        <f t="shared" si="91"/>
        <v>0.7765680947807162</v>
      </c>
      <c r="DJ36" s="41">
        <f t="shared" si="91"/>
        <v>0.9994719759413152</v>
      </c>
      <c r="DK36" s="41">
        <f t="shared" si="91"/>
        <v>-1.9761903258912443</v>
      </c>
      <c r="DL36" s="41">
        <f t="shared" si="91"/>
        <v>-0.23326618088952811</v>
      </c>
      <c r="DM36" s="41">
        <f t="shared" si="91"/>
        <v>-1.3773280695887198</v>
      </c>
      <c r="DN36" s="41">
        <f t="shared" si="91"/>
        <v>-3.5266265077062533</v>
      </c>
      <c r="DO36" s="41">
        <f t="shared" si="91"/>
        <v>-0.12521104254770254</v>
      </c>
      <c r="DP36" s="41">
        <f t="shared" si="91"/>
        <v>-2.4229835861696012</v>
      </c>
    </row>
    <row r="37" spans="3:120" x14ac:dyDescent="0.3">
      <c r="C37" s="39" t="s">
        <v>59</v>
      </c>
      <c r="D37" s="109"/>
      <c r="E37" s="40"/>
      <c r="F37" s="40">
        <f t="shared" ref="F37:V37" si="92">(F36*1000)/F146</f>
        <v>0.27298011327349975</v>
      </c>
      <c r="G37" s="40">
        <f t="shared" si="92"/>
        <v>0.16171370056400314</v>
      </c>
      <c r="H37" s="40">
        <f t="shared" si="92"/>
        <v>0.1857849346054031</v>
      </c>
      <c r="I37" s="40">
        <f t="shared" si="92"/>
        <v>0.20386919444987361</v>
      </c>
      <c r="J37" s="40">
        <f t="shared" si="92"/>
        <v>0.20708309747100065</v>
      </c>
      <c r="K37" s="40">
        <f t="shared" si="92"/>
        <v>0.18594883858405958</v>
      </c>
      <c r="L37" s="40">
        <f t="shared" si="92"/>
        <v>0.17522400265919102</v>
      </c>
      <c r="M37" s="40">
        <f t="shared" si="92"/>
        <v>0.15071839036670481</v>
      </c>
      <c r="N37" s="40">
        <f t="shared" si="92"/>
        <v>0.22289277818437719</v>
      </c>
      <c r="O37" s="40">
        <f t="shared" si="92"/>
        <v>0.17750952685556592</v>
      </c>
      <c r="P37" s="40">
        <f t="shared" si="92"/>
        <v>0.20821984087807457</v>
      </c>
      <c r="Q37" s="40">
        <f t="shared" si="92"/>
        <v>0.19204471746653803</v>
      </c>
      <c r="R37" s="40">
        <f t="shared" si="92"/>
        <v>0.17873045899720919</v>
      </c>
      <c r="S37" s="40">
        <f t="shared" si="92"/>
        <v>0.30695510686723732</v>
      </c>
      <c r="T37" s="40">
        <f t="shared" si="92"/>
        <v>0.38248287454488794</v>
      </c>
      <c r="U37" s="40">
        <f t="shared" si="92"/>
        <v>0.2926461289649247</v>
      </c>
      <c r="V37" s="40">
        <f t="shared" si="92"/>
        <v>0.35962091297329274</v>
      </c>
      <c r="W37" s="169"/>
      <c r="Y37" s="40"/>
      <c r="Z37" s="40">
        <f t="shared" ref="Z37:AP37" si="93">(Z36*1000)/Z146</f>
        <v>0.27298011327349975</v>
      </c>
      <c r="AA37" s="40">
        <f t="shared" si="93"/>
        <v>0.16171370056400314</v>
      </c>
      <c r="AB37" s="40">
        <f t="shared" si="93"/>
        <v>0.18586167579830698</v>
      </c>
      <c r="AC37" s="40">
        <f t="shared" si="93"/>
        <v>0.20379729373260966</v>
      </c>
      <c r="AD37" s="40">
        <f t="shared" si="93"/>
        <v>0.20678411991863466</v>
      </c>
      <c r="AE37" s="40">
        <f t="shared" si="93"/>
        <v>0.18522974801953071</v>
      </c>
      <c r="AF37" s="40">
        <f t="shared" si="93"/>
        <v>0.17428617132410734</v>
      </c>
      <c r="AG37" s="40">
        <f t="shared" si="93"/>
        <v>0.15002061429727911</v>
      </c>
      <c r="AH37" s="40">
        <f t="shared" si="93"/>
        <v>0.22279838936569876</v>
      </c>
      <c r="AI37" s="40">
        <f t="shared" si="93"/>
        <v>0.1773220085788868</v>
      </c>
      <c r="AJ37" s="40">
        <f t="shared" si="93"/>
        <v>0.20795627228235444</v>
      </c>
      <c r="AK37" s="40">
        <f t="shared" si="93"/>
        <v>0.19252250924557457</v>
      </c>
      <c r="AL37" s="40">
        <f t="shared" si="93"/>
        <v>0.17878187952406005</v>
      </c>
      <c r="AM37" s="40">
        <f t="shared" si="93"/>
        <v>0.30748742655499645</v>
      </c>
      <c r="AN37" s="40">
        <f t="shared" si="93"/>
        <v>0.38409981009722272</v>
      </c>
      <c r="AO37" s="40">
        <f t="shared" si="93"/>
        <v>0.29268135869621204</v>
      </c>
      <c r="AP37" s="40">
        <f t="shared" si="93"/>
        <v>0.36035342362089096</v>
      </c>
      <c r="AQ37" s="169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169"/>
      <c r="CY37" s="40"/>
      <c r="CZ37" s="40">
        <f t="shared" ref="CZ37:DP37" si="94">(CZ36*1000)/CZ146</f>
        <v>0</v>
      </c>
      <c r="DA37" s="40">
        <f t="shared" si="94"/>
        <v>0</v>
      </c>
      <c r="DB37" s="40">
        <f t="shared" si="94"/>
        <v>-7.674119290385492E-5</v>
      </c>
      <c r="DC37" s="40">
        <f t="shared" si="94"/>
        <v>7.190071726398658E-5</v>
      </c>
      <c r="DD37" s="40">
        <f t="shared" si="94"/>
        <v>2.9897755236598012E-4</v>
      </c>
      <c r="DE37" s="40">
        <f t="shared" si="94"/>
        <v>7.1909056452891529E-4</v>
      </c>
      <c r="DF37" s="40">
        <f t="shared" si="94"/>
        <v>9.3783133508365155E-4</v>
      </c>
      <c r="DG37" s="40">
        <f t="shared" si="94"/>
        <v>6.9777606942566346E-4</v>
      </c>
      <c r="DH37" s="40">
        <f t="shared" si="94"/>
        <v>9.4388818678455938E-5</v>
      </c>
      <c r="DI37" s="40">
        <f t="shared" si="94"/>
        <v>1.8751827667913025E-4</v>
      </c>
      <c r="DJ37" s="40">
        <f t="shared" si="94"/>
        <v>2.6356859572015387E-4</v>
      </c>
      <c r="DK37" s="40">
        <f t="shared" si="94"/>
        <v>-4.7779177903653909E-4</v>
      </c>
      <c r="DL37" s="40">
        <f t="shared" si="94"/>
        <v>-5.1420526850855124E-5</v>
      </c>
      <c r="DM37" s="40">
        <f t="shared" si="94"/>
        <v>-5.3231968775913465E-4</v>
      </c>
      <c r="DN37" s="40">
        <f t="shared" si="94"/>
        <v>-1.6169355523347995E-3</v>
      </c>
      <c r="DO37" s="40">
        <f t="shared" si="94"/>
        <v>-3.5229731287215114E-5</v>
      </c>
      <c r="DP37" s="40">
        <f t="shared" si="94"/>
        <v>-7.3251064759821541E-4</v>
      </c>
    </row>
    <row r="38" spans="3:120" x14ac:dyDescent="0.3">
      <c r="C38" s="39" t="s">
        <v>60</v>
      </c>
      <c r="D38" s="109"/>
      <c r="E38" s="40"/>
      <c r="F38" s="40">
        <f t="shared" ref="F38:V38" si="95">(F36*1000)/AVERAGE(E130:F130)*4</f>
        <v>0.20291945914690043</v>
      </c>
      <c r="G38" s="40">
        <f t="shared" si="95"/>
        <v>0.13366679097485276</v>
      </c>
      <c r="H38" s="40">
        <f t="shared" si="95"/>
        <v>0.13947588174838685</v>
      </c>
      <c r="I38" s="40">
        <f t="shared" si="95"/>
        <v>0.1553502084398144</v>
      </c>
      <c r="J38" s="40">
        <f t="shared" si="95"/>
        <v>0.1604008492033149</v>
      </c>
      <c r="K38" s="40">
        <f t="shared" si="95"/>
        <v>0.17066374907619666</v>
      </c>
      <c r="L38" s="40">
        <f t="shared" si="95"/>
        <v>0.15333008583662214</v>
      </c>
      <c r="M38" s="40">
        <f t="shared" si="95"/>
        <v>0.14745446932466266</v>
      </c>
      <c r="N38" s="40">
        <f t="shared" si="95"/>
        <v>0.19387890399892629</v>
      </c>
      <c r="O38" s="40">
        <f t="shared" si="95"/>
        <v>0.18594881962175278</v>
      </c>
      <c r="P38" s="40">
        <f t="shared" si="95"/>
        <v>0.1809062127283747</v>
      </c>
      <c r="Q38" s="40">
        <f t="shared" si="95"/>
        <v>0.16805752537824309</v>
      </c>
      <c r="R38" s="40">
        <f t="shared" si="95"/>
        <v>0.15884715790122322</v>
      </c>
      <c r="S38" s="40">
        <f t="shared" si="95"/>
        <v>0.15125734927934611</v>
      </c>
      <c r="T38" s="40">
        <f t="shared" si="95"/>
        <v>0.16193157724114482</v>
      </c>
      <c r="U38" s="40">
        <f t="shared" si="95"/>
        <v>0.20205236637501708</v>
      </c>
      <c r="V38" s="40">
        <f t="shared" si="95"/>
        <v>0.22690843640012182</v>
      </c>
      <c r="W38" s="169"/>
      <c r="Y38" s="40"/>
      <c r="Z38" s="40">
        <f t="shared" ref="Z38:AP38" si="96">(Z36*1000)/AVERAGE(Y130:Z130)*4</f>
        <v>0.20291945914690043</v>
      </c>
      <c r="AA38" s="40">
        <f t="shared" si="96"/>
        <v>0.13366679097485276</v>
      </c>
      <c r="AB38" s="40">
        <f t="shared" si="96"/>
        <v>0.13953349430760442</v>
      </c>
      <c r="AC38" s="40">
        <f t="shared" si="96"/>
        <v>0.15529541942941943</v>
      </c>
      <c r="AD38" s="40">
        <f t="shared" si="96"/>
        <v>0.16016926944679255</v>
      </c>
      <c r="AE38" s="40">
        <f t="shared" si="96"/>
        <v>0.17000376812335871</v>
      </c>
      <c r="AF38" s="40">
        <f t="shared" si="96"/>
        <v>0.15250943480179591</v>
      </c>
      <c r="AG38" s="40">
        <f t="shared" si="96"/>
        <v>0.14677180412518515</v>
      </c>
      <c r="AH38" s="40">
        <f t="shared" si="96"/>
        <v>0.19379680173942648</v>
      </c>
      <c r="AI38" s="40">
        <f t="shared" si="96"/>
        <v>0.18575238620872048</v>
      </c>
      <c r="AJ38" s="40">
        <f t="shared" si="96"/>
        <v>0.18067721823752891</v>
      </c>
      <c r="AK38" s="40">
        <f t="shared" si="96"/>
        <v>0.1684756389566337</v>
      </c>
      <c r="AL38" s="40">
        <f t="shared" si="96"/>
        <v>0.15889285802751324</v>
      </c>
      <c r="AM38" s="40">
        <f t="shared" si="96"/>
        <v>0.1515196588586244</v>
      </c>
      <c r="AN38" s="40">
        <f t="shared" si="96"/>
        <v>0.16261613841162442</v>
      </c>
      <c r="AO38" s="40">
        <f t="shared" si="96"/>
        <v>0.20207669012260443</v>
      </c>
      <c r="AP38" s="40">
        <f t="shared" si="96"/>
        <v>0.22737062544335271</v>
      </c>
      <c r="AQ38" s="169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169"/>
      <c r="CY38" s="40"/>
      <c r="CZ38" s="40">
        <f t="shared" ref="CZ38:DP38" si="97">(CZ36*1000)/AVERAGE(CY130:CZ130)*4</f>
        <v>0</v>
      </c>
      <c r="DA38" s="40">
        <f t="shared" si="97"/>
        <v>0</v>
      </c>
      <c r="DB38" s="40">
        <f t="shared" si="97"/>
        <v>-5.7612559217581072E-5</v>
      </c>
      <c r="DC38" s="40">
        <f t="shared" si="97"/>
        <v>5.478901039499056E-5</v>
      </c>
      <c r="DD38" s="40">
        <f t="shared" si="97"/>
        <v>2.3157975652236625E-4</v>
      </c>
      <c r="DE38" s="40">
        <f t="shared" si="97"/>
        <v>6.5998095283798007E-4</v>
      </c>
      <c r="DF38" s="40">
        <f t="shared" si="97"/>
        <v>8.2065103482617877E-4</v>
      </c>
      <c r="DG38" s="40">
        <f t="shared" si="97"/>
        <v>6.8266519947747289E-4</v>
      </c>
      <c r="DH38" s="40">
        <f t="shared" si="97"/>
        <v>8.2102259499832844E-5</v>
      </c>
      <c r="DI38" s="40">
        <f t="shared" si="97"/>
        <v>1.9643341303231119E-4</v>
      </c>
      <c r="DJ38" s="40">
        <f t="shared" si="97"/>
        <v>2.2899449084580464E-4</v>
      </c>
      <c r="DK38" s="40">
        <f t="shared" si="97"/>
        <v>-4.1811357839061618E-4</v>
      </c>
      <c r="DL38" s="40">
        <f t="shared" si="97"/>
        <v>-4.5700126289998573E-5</v>
      </c>
      <c r="DM38" s="40">
        <f t="shared" si="97"/>
        <v>-2.6230957927825201E-4</v>
      </c>
      <c r="DN38" s="40">
        <f t="shared" si="97"/>
        <v>-6.845611704796137E-4</v>
      </c>
      <c r="DO38" s="40">
        <f t="shared" si="97"/>
        <v>-2.4323747587281269E-5</v>
      </c>
      <c r="DP38" s="40">
        <f t="shared" si="97"/>
        <v>-4.6218904323090768E-4</v>
      </c>
    </row>
    <row r="39" spans="3:120" x14ac:dyDescent="0.3">
      <c r="C39" s="45"/>
      <c r="D39" s="112"/>
      <c r="E39" s="45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45"/>
      <c r="T39" s="145"/>
      <c r="U39" s="145"/>
      <c r="V39" s="145"/>
      <c r="W39" s="172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172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  <c r="CU39" s="45"/>
      <c r="CV39" s="45"/>
      <c r="CW39" s="172"/>
      <c r="CY39" s="45"/>
      <c r="CZ39" s="45"/>
      <c r="DA39" s="45"/>
      <c r="DB39" s="45"/>
      <c r="DC39" s="45"/>
      <c r="DD39" s="45"/>
      <c r="DE39" s="45"/>
      <c r="DF39" s="45"/>
      <c r="DG39" s="45"/>
      <c r="DH39" s="45"/>
      <c r="DI39" s="45"/>
      <c r="DJ39" s="45"/>
      <c r="DK39" s="45"/>
      <c r="DL39" s="45"/>
      <c r="DM39" s="45"/>
      <c r="DN39" s="45"/>
      <c r="DO39" s="45"/>
      <c r="DP39" s="45"/>
    </row>
    <row r="40" spans="3:120" x14ac:dyDescent="0.3">
      <c r="C40" s="37" t="s">
        <v>23</v>
      </c>
      <c r="D40" s="107"/>
      <c r="E40" s="37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32"/>
      <c r="T40" s="232"/>
      <c r="U40" s="232"/>
      <c r="V40" s="232"/>
      <c r="W40" s="171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171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171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</row>
    <row r="41" spans="3:120" x14ac:dyDescent="0.3">
      <c r="C41" s="36" t="s">
        <v>24</v>
      </c>
      <c r="E41" s="42"/>
      <c r="F41" s="38">
        <f>VLOOKUP($C41,Segment!$AK$152:$AP$223,6,0)/1000</f>
        <v>80939.520999999993</v>
      </c>
      <c r="G41" s="38">
        <f>VLOOKUP($C41,Segment!$I$229:$N$300,6,0)/1000</f>
        <v>124707.94500000001</v>
      </c>
      <c r="H41" s="38">
        <f>VLOOKUP($C41,Segment!$P$229:$U$300,6,0)/1000</f>
        <v>129574.62699999999</v>
      </c>
      <c r="I41" s="38">
        <f>VLOOKUP($C41,Segment!$AD$229:$AI$300,6,0)/1000</f>
        <v>121914.17</v>
      </c>
      <c r="J41" s="38">
        <f>VLOOKUP($C41,Segment!$AK$229:$AP$300,6,0)/1000</f>
        <v>140638.44699999999</v>
      </c>
      <c r="K41" s="38">
        <f>VLOOKUP($C41,Segment!$I$306:$N$377,6,0)/1000</f>
        <v>252032.70800000001</v>
      </c>
      <c r="L41" s="203">
        <f>VLOOKUP($C41,Segment!$P$306:$U$377,6,0)/1000</f>
        <v>252301.46900000001</v>
      </c>
      <c r="M41" s="203">
        <f>VLOOKUP($C41,Segment!$AD$306:$AI$377,6,0)/1000</f>
        <v>219267.05799999999</v>
      </c>
      <c r="N41" s="203">
        <f>VLOOKUP($C41,Segment!$AK$306:$AP$377,6,0)/1000</f>
        <v>224714.76</v>
      </c>
      <c r="O41" s="203">
        <f>VLOOKUP($C41,Segment!$I$383:$N$454,6,0)/1000</f>
        <v>436966.42</v>
      </c>
      <c r="P41" s="203">
        <f>VLOOKUP($C41,Segment!$P$383:$U$454,6,0)/1000</f>
        <v>395408.13400000002</v>
      </c>
      <c r="Q41" s="203">
        <f>VLOOKUP($C41,Segment!$AD$383:$AI$454,6,0)/1000</f>
        <v>336397.89</v>
      </c>
      <c r="R41" s="203">
        <f>VLOOKUP($C41,Segment!$AK$383:$AP$454,6,0)/1000</f>
        <v>323071.00900000002</v>
      </c>
      <c r="S41" s="203">
        <f>VLOOKUP($C41,Segment!$I$460:$N$531,6,0)/1000</f>
        <v>695604.69200000004</v>
      </c>
      <c r="T41" s="203">
        <f>VLOOKUP($C41,Segment!$P$460:$U$531,6,0)/1000</f>
        <v>520402.07799999998</v>
      </c>
      <c r="U41" s="203">
        <f>VLOOKUP($C41,Segment!$AD$460:$AI$531,6,0)/1000</f>
        <v>540572.14</v>
      </c>
      <c r="V41" s="203">
        <f>VLOOKUP($C41,Segment!$AK$460:$AP$531,6,0)/1000</f>
        <v>526151.16099999996</v>
      </c>
      <c r="W41" s="132">
        <f t="shared" si="9"/>
        <v>0.62859292955004809</v>
      </c>
      <c r="X41" s="132"/>
      <c r="Y41" s="38"/>
      <c r="Z41" s="38">
        <f>VLOOKUP($C41,Segment!$AK$152:$AP$223,2,0)/1000</f>
        <v>0</v>
      </c>
      <c r="AA41" s="38">
        <f>VLOOKUP($C41,Segment!$I$229:$N$300,2,0)/1000</f>
        <v>0</v>
      </c>
      <c r="AB41" s="38">
        <f>VLOOKUP($C41,Segment!$P$229:$U$300,2,0)/1000</f>
        <v>0</v>
      </c>
      <c r="AC41" s="38">
        <f>VLOOKUP($C41,Segment!$AD$229:$AI$300,2,0)/1000</f>
        <v>0</v>
      </c>
      <c r="AD41" s="38">
        <f>VLOOKUP($C41,Segment!$AK$229:$AP$300,2,0)/1000</f>
        <v>0</v>
      </c>
      <c r="AE41" s="38">
        <f>VLOOKUP($C41,Segment!$I$306:$N$377,2,0)/1000</f>
        <v>0</v>
      </c>
      <c r="AF41" s="38">
        <f>VLOOKUP($C41,Segment!$P$306:$U$377,2,0)/1000</f>
        <v>0</v>
      </c>
      <c r="AG41" s="38">
        <f>VLOOKUP($C41,Segment!$AD$306:$AI$377,2,0)/1000</f>
        <v>0</v>
      </c>
      <c r="AH41" s="38">
        <f>VLOOKUP($C41,Segment!$AK$306:$AP$377,2,0)/1000</f>
        <v>0</v>
      </c>
      <c r="AI41" s="38">
        <f>VLOOKUP($C41,Segment!$I$383:$N$454,2,0)/1000</f>
        <v>0</v>
      </c>
      <c r="AJ41" s="38">
        <f>VLOOKUP($C41,Segment!$P$383:$U$454,2,0)/1000</f>
        <v>0</v>
      </c>
      <c r="AK41" s="38">
        <f>VLOOKUP($C41,Segment!$AD$383:$AI$454,2,0)/1000</f>
        <v>0</v>
      </c>
      <c r="AL41" s="38">
        <f>VLOOKUP($C41,Segment!$AK$383:$AP$454,2,0)/1000</f>
        <v>0</v>
      </c>
      <c r="AM41" s="38">
        <f>VLOOKUP($C41,Segment!$I$460:$N$531,2,0)/1000</f>
        <v>0</v>
      </c>
      <c r="AN41" s="38">
        <f>VLOOKUP($C41,Segment!$P$460:$U$531,2,0)/1000</f>
        <v>0</v>
      </c>
      <c r="AO41" s="38">
        <f>VLOOKUP($C41,Segment!$AD$460:$AI$531,2,0)/1000</f>
        <v>0</v>
      </c>
      <c r="AP41" s="38">
        <f>VLOOKUP($C41,Segment!$AK$460:$AP$531,2,0)/1000</f>
        <v>0</v>
      </c>
      <c r="AS41" s="38"/>
      <c r="AT41" s="38">
        <f>VLOOKUP($C41,Segment!$AK$152:$AP$223,3,0)/1000</f>
        <v>80939.520999999993</v>
      </c>
      <c r="AU41" s="38">
        <f>VLOOKUP($C41,Segment!$I$229:$N$300,3,0)/1000</f>
        <v>124707.94500000001</v>
      </c>
      <c r="AV41" s="38">
        <f>VLOOKUP($C41,Segment!$P$229:$U$300,3,0)/1000</f>
        <v>129574.62699999999</v>
      </c>
      <c r="AW41" s="38">
        <f>VLOOKUP($C41,Segment!$AD$229:$AI$300,3,0)/1000</f>
        <v>121914.17</v>
      </c>
      <c r="AX41" s="38">
        <f>VLOOKUP($C41,Segment!$AK$229:$AP$300,3,0)/1000</f>
        <v>140638.44699999999</v>
      </c>
      <c r="AY41" s="38">
        <f>VLOOKUP($C41,Segment!$I$306:$N$377,3,0)/1000</f>
        <v>252032.70800000001</v>
      </c>
      <c r="AZ41" s="38">
        <f>VLOOKUP($C41,Segment!$P$306:$U$377,3,0)/1000</f>
        <v>252301.46900000001</v>
      </c>
      <c r="BA41" s="38">
        <f>VLOOKUP($C41,Segment!$AD$306:$AI$377,3,0)/1000</f>
        <v>219267.05799999999</v>
      </c>
      <c r="BB41" s="38">
        <f>VLOOKUP($C41,Segment!$AK$306:$AP$377,3,0)/1000</f>
        <v>224714.76</v>
      </c>
      <c r="BC41" s="38">
        <f>VLOOKUP($C41,Segment!$I$383:$N$454,3,0)/1000</f>
        <v>436966.42</v>
      </c>
      <c r="BD41" s="38">
        <f>VLOOKUP($C41,Segment!$P$383:$U$454,3,0)/1000</f>
        <v>395408.13400000002</v>
      </c>
      <c r="BE41" s="38">
        <f>VLOOKUP($C41,Segment!$AD$383:$AI$454,3,0)/1000</f>
        <v>336397.89</v>
      </c>
      <c r="BF41" s="38">
        <f>VLOOKUP($C41,Segment!$AK$383:$AP$454,3,0)/1000</f>
        <v>323071.00900000002</v>
      </c>
      <c r="BG41" s="38">
        <f>VLOOKUP($C41,Segment!$I$460:$N$531,3,0)/1000</f>
        <v>695604.69200000004</v>
      </c>
      <c r="BH41" s="38">
        <f>VLOOKUP($C41,Segment!$P$460:$U$531,3,0)/1000</f>
        <v>520402.07799999998</v>
      </c>
      <c r="BI41" s="38">
        <f>VLOOKUP($C41,Segment!$AD$460:$AI$531,3,0)/1000</f>
        <v>540572.14</v>
      </c>
      <c r="BJ41" s="38">
        <f>VLOOKUP($C41,Segment!$AK$460:$AP$531,3,0)/1000</f>
        <v>526151.16099999996</v>
      </c>
      <c r="BL41" s="38"/>
      <c r="BM41" s="38">
        <f>VLOOKUP($C41,Segment!$AK$152:$AP$223,4,0)/1000</f>
        <v>0</v>
      </c>
      <c r="BN41" s="38">
        <f>VLOOKUP($C41,Segment!$I$229:$N$300,4,0)/1000</f>
        <v>0</v>
      </c>
      <c r="BO41" s="38">
        <f>VLOOKUP($C41,Segment!$P$229:$U$300,4,0)/1000</f>
        <v>0</v>
      </c>
      <c r="BP41" s="38">
        <f>VLOOKUP($C41,Segment!$AD$229:$AI$300,4,0)/1000</f>
        <v>0</v>
      </c>
      <c r="BQ41" s="38">
        <f>VLOOKUP($C41,Segment!$AK$229:$AP$300,4,0)/1000</f>
        <v>0</v>
      </c>
      <c r="BR41" s="38">
        <f>VLOOKUP($C41,Segment!$I$306:$N$377,4,0)/1000</f>
        <v>0</v>
      </c>
      <c r="BS41" s="38">
        <f>VLOOKUP($C41,Segment!$P$306:$U$377,4,0)/1000</f>
        <v>0</v>
      </c>
      <c r="BT41" s="38">
        <f>VLOOKUP($C41,Segment!$AD$306:$AI$377,4,0)/1000</f>
        <v>0</v>
      </c>
      <c r="BU41" s="38">
        <f>VLOOKUP($C41,Segment!$AK$306:$AP$377,4,0)/1000</f>
        <v>0</v>
      </c>
      <c r="BV41" s="38">
        <f>VLOOKUP($C41,Segment!$I$383:$N$454,4,0)/1000</f>
        <v>0</v>
      </c>
      <c r="BW41" s="38">
        <f>VLOOKUP($C41,Segment!$P$383:$U$454,4,0)/1000</f>
        <v>0</v>
      </c>
      <c r="BX41" s="38">
        <f>VLOOKUP($C41,Segment!$AD$383:$AI$454,4,0)/1000</f>
        <v>0</v>
      </c>
      <c r="BY41" s="38">
        <f>VLOOKUP($C41,Segment!$AK$383:$AP$454,4,0)/1000</f>
        <v>0</v>
      </c>
      <c r="BZ41" s="38">
        <f>VLOOKUP($C41,Segment!$I$460:$N$531,4,0)/1000</f>
        <v>0</v>
      </c>
      <c r="CA41" s="38">
        <f>VLOOKUP($C41,Segment!$P$460:$U$531,4,0)/1000</f>
        <v>0</v>
      </c>
      <c r="CB41" s="38">
        <f>VLOOKUP($C41,Segment!$AD$460:$AI$531,4,0)/1000</f>
        <v>0</v>
      </c>
      <c r="CC41" s="38">
        <f>VLOOKUP($C41,Segment!$AK$460:$AP$531,4,0)/1000</f>
        <v>0</v>
      </c>
      <c r="CE41" s="38"/>
      <c r="CF41" s="38">
        <f t="shared" ref="CF41:CO43" si="98">AT41+BM41</f>
        <v>80939.520999999993</v>
      </c>
      <c r="CG41" s="38">
        <f t="shared" si="98"/>
        <v>124707.94500000001</v>
      </c>
      <c r="CH41" s="38">
        <f t="shared" si="98"/>
        <v>129574.62699999999</v>
      </c>
      <c r="CI41" s="38">
        <f t="shared" si="98"/>
        <v>121914.17</v>
      </c>
      <c r="CJ41" s="38">
        <f t="shared" si="98"/>
        <v>140638.44699999999</v>
      </c>
      <c r="CK41" s="38">
        <f t="shared" si="98"/>
        <v>252032.70800000001</v>
      </c>
      <c r="CL41" s="38">
        <f t="shared" si="98"/>
        <v>252301.46900000001</v>
      </c>
      <c r="CM41" s="38">
        <f t="shared" si="98"/>
        <v>219267.05799999999</v>
      </c>
      <c r="CN41" s="38">
        <f t="shared" si="98"/>
        <v>224714.76</v>
      </c>
      <c r="CO41" s="38">
        <f t="shared" si="98"/>
        <v>436966.42</v>
      </c>
      <c r="CP41" s="38">
        <f t="shared" ref="CP41:CV43" si="99">BD41+BW41</f>
        <v>395408.13400000002</v>
      </c>
      <c r="CQ41" s="38">
        <f t="shared" si="99"/>
        <v>336397.89</v>
      </c>
      <c r="CR41" s="38">
        <f t="shared" si="99"/>
        <v>323071.00900000002</v>
      </c>
      <c r="CS41" s="38">
        <f t="shared" si="99"/>
        <v>695604.69200000004</v>
      </c>
      <c r="CT41" s="38">
        <f t="shared" si="99"/>
        <v>520402.07799999998</v>
      </c>
      <c r="CU41" s="38">
        <f t="shared" si="99"/>
        <v>540572.14</v>
      </c>
      <c r="CV41" s="38">
        <f t="shared" si="99"/>
        <v>526151.16099999996</v>
      </c>
      <c r="CX41" s="132"/>
      <c r="CY41" s="38"/>
      <c r="CZ41" s="38">
        <f>VLOOKUP($C41,Segment!$AK$152:$AP$223,5,0)/1000</f>
        <v>0</v>
      </c>
      <c r="DA41" s="38">
        <f>VLOOKUP($C41,Segment!$I$229:$N$300,5,0)/1000</f>
        <v>0</v>
      </c>
      <c r="DB41" s="38">
        <f>VLOOKUP($C41,Segment!$P$229:$U$300,5,0)/1000</f>
        <v>0</v>
      </c>
      <c r="DC41" s="38">
        <f>VLOOKUP($C41,Segment!$AD$229:$AI$300,5,0)/1000</f>
        <v>0</v>
      </c>
      <c r="DD41" s="38">
        <f>VLOOKUP($C41,Segment!$AK$229:$AP$300,5,0)/1000</f>
        <v>0</v>
      </c>
      <c r="DE41" s="38">
        <f>VLOOKUP($C41,Segment!$I$306:$N$377,5,0)/1000</f>
        <v>0</v>
      </c>
      <c r="DF41" s="38">
        <f>VLOOKUP($C41,Segment!$P$306:$U$377,5,0)/1000</f>
        <v>0</v>
      </c>
      <c r="DG41" s="38">
        <f>VLOOKUP($C41,Segment!$AD$306:$AI$377,5,0)/1000</f>
        <v>0</v>
      </c>
      <c r="DH41" s="38">
        <f>VLOOKUP($C41,Segment!$AK$306:$AP$377,5,0)/1000</f>
        <v>0</v>
      </c>
      <c r="DI41" s="38">
        <f>VLOOKUP($C41,Segment!$I$383:$N$454,5,0)/1000</f>
        <v>0</v>
      </c>
      <c r="DJ41" s="38">
        <f>VLOOKUP($C41,Segment!$P$383:$U$454,5,0)/1000</f>
        <v>0</v>
      </c>
      <c r="DK41" s="38">
        <f>VLOOKUP($C41,Segment!$AD$383:$AI$454,5,0)/1000</f>
        <v>0</v>
      </c>
      <c r="DL41" s="38">
        <f>VLOOKUP($C41,Segment!$AK$383:$AP$454,5,0)/1000</f>
        <v>0</v>
      </c>
      <c r="DM41" s="38">
        <f>VLOOKUP($C41,Segment!$I$460:$N$531,5,0)/1000</f>
        <v>0</v>
      </c>
      <c r="DN41" s="38">
        <f>VLOOKUP($C41,Segment!$P$460:$U$531,5,0)/1000</f>
        <v>0</v>
      </c>
      <c r="DO41" s="38">
        <f>VLOOKUP($C41,Segment!$AD$460:$AI$531,5,0)/1000</f>
        <v>0</v>
      </c>
      <c r="DP41" s="38">
        <f>VLOOKUP($C41,Segment!$AK$460:$AP$531,5,0)/1000</f>
        <v>0</v>
      </c>
    </row>
    <row r="42" spans="3:120" x14ac:dyDescent="0.3">
      <c r="C42" s="36" t="s">
        <v>25</v>
      </c>
      <c r="E42" s="42"/>
      <c r="F42" s="38">
        <f>VLOOKUP($C42,Segment!$AK$152:$AP$223,6,0)/1000</f>
        <v>-13675.823</v>
      </c>
      <c r="G42" s="38">
        <f>VLOOKUP($C42,Segment!$I$229:$N$300,6,0)/1000</f>
        <v>-14890.859</v>
      </c>
      <c r="H42" s="38">
        <f>VLOOKUP($C42,Segment!$P$229:$U$300,6,0)/1000</f>
        <v>-20544.231</v>
      </c>
      <c r="I42" s="38">
        <f>VLOOKUP($C42,Segment!$AD$229:$AI$300,6,0)/1000</f>
        <v>-2623.5</v>
      </c>
      <c r="J42" s="38">
        <f>VLOOKUP($C42,Segment!$AK$229:$AP$300,6,0)/1000</f>
        <v>-6093.5249999999996</v>
      </c>
      <c r="K42" s="38">
        <f>VLOOKUP($C42,Segment!$I$306:$N$377,6,0)/1000</f>
        <v>-43926.192000000003</v>
      </c>
      <c r="L42" s="38">
        <f>VLOOKUP($C42,Segment!$P$306:$U$377,6,0)/1000</f>
        <v>-55914.262000000002</v>
      </c>
      <c r="M42" s="203">
        <f>VLOOKUP($C42,Segment!$AD$306:$AI$377,6,0)/1000</f>
        <v>1178.02</v>
      </c>
      <c r="N42" s="203">
        <f>VLOOKUP($C42,Segment!$AK$306:$AP$377,6,0)/1000</f>
        <v>-7071.1189999999997</v>
      </c>
      <c r="O42" s="203">
        <f>VLOOKUP($C42,Segment!$I$383:$N$454,6,0)/1000</f>
        <v>-71292.736999999994</v>
      </c>
      <c r="P42" s="203">
        <f>VLOOKUP($C42,Segment!$P$383:$U$454,6,0)/1000</f>
        <v>-93045.021999999997</v>
      </c>
      <c r="Q42" s="203">
        <f>VLOOKUP($C42,Segment!$AD$383:$AI$454,6,0)/1000</f>
        <v>-21919.276999999998</v>
      </c>
      <c r="R42" s="203">
        <f>VLOOKUP($C42,Segment!$AK$383:$AP$454,6,0)/1000</f>
        <v>-7938.0919999999996</v>
      </c>
      <c r="S42" s="203">
        <f>VLOOKUP($C42,Segment!$I$460:$N$531,6,0)/1000</f>
        <v>-134088.28200000001</v>
      </c>
      <c r="T42" s="203">
        <f>VLOOKUP($C42,Segment!$P$460:$U$531,6,0)/1000</f>
        <v>-17167.328000000001</v>
      </c>
      <c r="U42" s="203">
        <f>VLOOKUP($C42,Segment!$AD$460:$AI$531,6,0)/1000</f>
        <v>-62511.805999999997</v>
      </c>
      <c r="V42" s="203">
        <f>VLOOKUP($C42,Segment!$AK$460:$AP$531,6,0)/1000</f>
        <v>-42186.898000000001</v>
      </c>
      <c r="W42" s="132">
        <f t="shared" si="9"/>
        <v>4.3144884186275494</v>
      </c>
      <c r="X42" s="132"/>
      <c r="Y42" s="38"/>
      <c r="Z42" s="38">
        <f>VLOOKUP($C42,Segment!$AK$152:$AP$223,2,0)/1000</f>
        <v>0</v>
      </c>
      <c r="AA42" s="38">
        <f>VLOOKUP($C42,Segment!$I$229:$N$300,2,0)/1000</f>
        <v>0</v>
      </c>
      <c r="AB42" s="38">
        <f>VLOOKUP($C42,Segment!$P$229:$U$300,2,0)/1000</f>
        <v>0</v>
      </c>
      <c r="AC42" s="38">
        <f>VLOOKUP($C42,Segment!$AD$229:$AI$300,2,0)/1000</f>
        <v>0</v>
      </c>
      <c r="AD42" s="38">
        <f>VLOOKUP($C42,Segment!$AK$229:$AP$300,2,0)/1000</f>
        <v>0</v>
      </c>
      <c r="AE42" s="38">
        <f>VLOOKUP($C42,Segment!$I$306:$N$377,2,0)/1000</f>
        <v>0</v>
      </c>
      <c r="AF42" s="38">
        <f>VLOOKUP($C42,Segment!$P$306:$U$377,2,0)/1000</f>
        <v>0</v>
      </c>
      <c r="AG42" s="38">
        <f>VLOOKUP($C42,Segment!$AD$306:$AI$377,2,0)/1000</f>
        <v>0</v>
      </c>
      <c r="AH42" s="38">
        <f>VLOOKUP($C42,Segment!$AK$306:$AP$377,2,0)/1000</f>
        <v>0</v>
      </c>
      <c r="AI42" s="38">
        <f>VLOOKUP($C42,Segment!$I$383:$N$454,2,0)/1000</f>
        <v>0</v>
      </c>
      <c r="AJ42" s="38">
        <f>VLOOKUP($C42,Segment!$P$383:$U$454,2,0)/1000</f>
        <v>0</v>
      </c>
      <c r="AK42" s="38">
        <f>VLOOKUP($C42,Segment!$AD$383:$AI$454,2,0)/1000</f>
        <v>0</v>
      </c>
      <c r="AL42" s="38">
        <f>VLOOKUP($C42,Segment!$AK$383:$AP$454,2,0)/1000</f>
        <v>0</v>
      </c>
      <c r="AM42" s="38">
        <f>VLOOKUP($C42,Segment!$I$460:$N$531,2,0)/1000</f>
        <v>0</v>
      </c>
      <c r="AN42" s="38">
        <f>VLOOKUP($C42,Segment!$P$460:$U$531,2,0)/1000</f>
        <v>0</v>
      </c>
      <c r="AO42" s="38">
        <f>VLOOKUP($C42,Segment!$AD$460:$AI$531,2,0)/1000</f>
        <v>0</v>
      </c>
      <c r="AP42" s="38">
        <f>VLOOKUP($C42,Segment!$AK$460:$AP$531,2,0)/1000</f>
        <v>0</v>
      </c>
      <c r="AS42" s="38"/>
      <c r="AT42" s="38">
        <f>VLOOKUP($C42,Segment!$AK$152:$AP$223,3,0)/1000</f>
        <v>-13675.823</v>
      </c>
      <c r="AU42" s="38">
        <f>VLOOKUP($C42,Segment!$I$229:$N$300,3,0)/1000</f>
        <v>-14890.859</v>
      </c>
      <c r="AV42" s="38">
        <f>VLOOKUP($C42,Segment!$P$229:$U$300,3,0)/1000</f>
        <v>-20544.231</v>
      </c>
      <c r="AW42" s="38">
        <f>VLOOKUP($C42,Segment!$AD$229:$AI$300,3,0)/1000</f>
        <v>-2623.5</v>
      </c>
      <c r="AX42" s="38">
        <f>VLOOKUP($C42,Segment!$AK$229:$AP$300,3,0)/1000</f>
        <v>-6093.5249999999996</v>
      </c>
      <c r="AY42" s="38">
        <f>VLOOKUP($C42,Segment!$I$306:$N$377,3,0)/1000</f>
        <v>-43926.192000000003</v>
      </c>
      <c r="AZ42" s="38">
        <f>VLOOKUP($C42,Segment!$P$306:$U$377,3,0)/1000</f>
        <v>-55914.262000000002</v>
      </c>
      <c r="BA42" s="38">
        <f>VLOOKUP($C42,Segment!$AD$306:$AI$377,3,0)/1000</f>
        <v>1178.02</v>
      </c>
      <c r="BB42" s="38">
        <f>VLOOKUP($C42,Segment!$AK$306:$AP$377,3,0)/1000</f>
        <v>-7071.1189999999997</v>
      </c>
      <c r="BC42" s="38">
        <f>VLOOKUP($C42,Segment!$I$383:$N$454,3,0)/1000</f>
        <v>-71292.736999999994</v>
      </c>
      <c r="BD42" s="38">
        <f>VLOOKUP($C42,Segment!$P$383:$U$454,3,0)/1000</f>
        <v>-93045.021999999997</v>
      </c>
      <c r="BE42" s="38">
        <f>VLOOKUP($C42,Segment!$AD$383:$AI$454,3,0)/1000</f>
        <v>-21919.276999999998</v>
      </c>
      <c r="BF42" s="38">
        <f>VLOOKUP($C42,Segment!$AK$383:$AP$454,3,0)/1000</f>
        <v>-7938.0919999999996</v>
      </c>
      <c r="BG42" s="38">
        <f>VLOOKUP($C42,Segment!$I$460:$N$531,3,0)/1000</f>
        <v>-134088.28200000001</v>
      </c>
      <c r="BH42" s="38">
        <f>VLOOKUP($C42,Segment!$P$460:$U$531,3,0)/1000</f>
        <v>-17167.328000000001</v>
      </c>
      <c r="BI42" s="38">
        <f>VLOOKUP($C42,Segment!$AD$460:$AI$531,3,0)/1000</f>
        <v>-62511.805999999997</v>
      </c>
      <c r="BJ42" s="38">
        <f>VLOOKUP($C42,Segment!$AK$460:$AP$531,3,0)/1000</f>
        <v>-42186.898000000001</v>
      </c>
      <c r="BL42" s="38"/>
      <c r="BM42" s="38">
        <f>VLOOKUP($C42,Segment!$AK$152:$AP$223,4,0)/1000</f>
        <v>0</v>
      </c>
      <c r="BN42" s="38">
        <f>VLOOKUP($C42,Segment!$I$229:$N$300,4,0)/1000</f>
        <v>0</v>
      </c>
      <c r="BO42" s="38">
        <f>VLOOKUP($C42,Segment!$P$229:$U$300,4,0)/1000</f>
        <v>0</v>
      </c>
      <c r="BP42" s="38">
        <f>VLOOKUP($C42,Segment!$AD$229:$AI$300,4,0)/1000</f>
        <v>0</v>
      </c>
      <c r="BQ42" s="38">
        <f>VLOOKUP($C42,Segment!$AK$229:$AP$300,4,0)/1000</f>
        <v>0</v>
      </c>
      <c r="BR42" s="38">
        <f>VLOOKUP($C42,Segment!$I$306:$N$377,4,0)/1000</f>
        <v>0</v>
      </c>
      <c r="BS42" s="38">
        <f>VLOOKUP($C42,Segment!$P$306:$U$377,4,0)/1000</f>
        <v>0</v>
      </c>
      <c r="BT42" s="38">
        <f>VLOOKUP($C42,Segment!$AD$306:$AI$377,4,0)/1000</f>
        <v>0</v>
      </c>
      <c r="BU42" s="38">
        <f>VLOOKUP($C42,Segment!$AK$306:$AP$377,4,0)/1000</f>
        <v>0</v>
      </c>
      <c r="BV42" s="38">
        <f>VLOOKUP($C42,Segment!$I$383:$N$454,4,0)/1000</f>
        <v>0</v>
      </c>
      <c r="BW42" s="38">
        <f>VLOOKUP($C42,Segment!$P$383:$U$454,4,0)/1000</f>
        <v>0</v>
      </c>
      <c r="BX42" s="38">
        <f>VLOOKUP($C42,Segment!$AD$383:$AI$454,4,0)/1000</f>
        <v>0</v>
      </c>
      <c r="BY42" s="38">
        <f>VLOOKUP($C42,Segment!$AK$383:$AP$454,4,0)/1000</f>
        <v>0</v>
      </c>
      <c r="BZ42" s="38">
        <f>VLOOKUP($C42,Segment!$I$460:$N$531,4,0)/1000</f>
        <v>0</v>
      </c>
      <c r="CA42" s="38">
        <f>VLOOKUP($C42,Segment!$P$460:$U$531,4,0)/1000</f>
        <v>0</v>
      </c>
      <c r="CB42" s="38">
        <f>VLOOKUP($C42,Segment!$AD$460:$AI$531,4,0)/1000</f>
        <v>0</v>
      </c>
      <c r="CC42" s="38">
        <f>VLOOKUP($C42,Segment!$AK$460:$AP$531,4,0)/1000</f>
        <v>0</v>
      </c>
      <c r="CE42" s="38"/>
      <c r="CF42" s="38">
        <f t="shared" si="98"/>
        <v>-13675.823</v>
      </c>
      <c r="CG42" s="38">
        <f t="shared" si="98"/>
        <v>-14890.859</v>
      </c>
      <c r="CH42" s="38">
        <f t="shared" si="98"/>
        <v>-20544.231</v>
      </c>
      <c r="CI42" s="38">
        <f t="shared" si="98"/>
        <v>-2623.5</v>
      </c>
      <c r="CJ42" s="38">
        <f t="shared" si="98"/>
        <v>-6093.5249999999996</v>
      </c>
      <c r="CK42" s="38">
        <f t="shared" si="98"/>
        <v>-43926.192000000003</v>
      </c>
      <c r="CL42" s="38">
        <f t="shared" si="98"/>
        <v>-55914.262000000002</v>
      </c>
      <c r="CM42" s="38">
        <f t="shared" si="98"/>
        <v>1178.02</v>
      </c>
      <c r="CN42" s="38">
        <f t="shared" si="98"/>
        <v>-7071.1189999999997</v>
      </c>
      <c r="CO42" s="38">
        <f t="shared" si="98"/>
        <v>-71292.736999999994</v>
      </c>
      <c r="CP42" s="38">
        <f t="shared" si="99"/>
        <v>-93045.021999999997</v>
      </c>
      <c r="CQ42" s="38">
        <f t="shared" si="99"/>
        <v>-21919.276999999998</v>
      </c>
      <c r="CR42" s="38">
        <f t="shared" si="99"/>
        <v>-7938.0919999999996</v>
      </c>
      <c r="CS42" s="38">
        <f t="shared" si="99"/>
        <v>-134088.28200000001</v>
      </c>
      <c r="CT42" s="38">
        <f t="shared" si="99"/>
        <v>-17167.328000000001</v>
      </c>
      <c r="CU42" s="38">
        <f t="shared" si="99"/>
        <v>-62511.805999999997</v>
      </c>
      <c r="CV42" s="38">
        <f t="shared" si="99"/>
        <v>-42186.898000000001</v>
      </c>
      <c r="CY42" s="38"/>
      <c r="CZ42" s="38">
        <f>VLOOKUP($C42,Segment!$AK$152:$AP$223,5,0)/1000</f>
        <v>0</v>
      </c>
      <c r="DA42" s="38">
        <f>VLOOKUP($C42,Segment!$I$229:$N$300,5,0)/1000</f>
        <v>0</v>
      </c>
      <c r="DB42" s="38">
        <f>VLOOKUP($C42,Segment!$P$229:$U$300,5,0)/1000</f>
        <v>0</v>
      </c>
      <c r="DC42" s="38">
        <f>VLOOKUP($C42,Segment!$AD$229:$AI$300,5,0)/1000</f>
        <v>0</v>
      </c>
      <c r="DD42" s="38">
        <f>VLOOKUP($C42,Segment!$AK$229:$AP$300,5,0)/1000</f>
        <v>0</v>
      </c>
      <c r="DE42" s="38">
        <f>VLOOKUP($C42,Segment!$I$306:$N$377,5,0)/1000</f>
        <v>0</v>
      </c>
      <c r="DF42" s="38">
        <f>VLOOKUP($C42,Segment!$P$306:$U$377,5,0)/1000</f>
        <v>0</v>
      </c>
      <c r="DG42" s="38">
        <f>VLOOKUP($C42,Segment!$AD$306:$AI$377,5,0)/1000</f>
        <v>0</v>
      </c>
      <c r="DH42" s="38">
        <f>VLOOKUP($C42,Segment!$AK$306:$AP$377,5,0)/1000</f>
        <v>0</v>
      </c>
      <c r="DI42" s="38">
        <f>VLOOKUP($C42,Segment!$I$383:$N$454,5,0)/1000</f>
        <v>0</v>
      </c>
      <c r="DJ42" s="38">
        <f>VLOOKUP($C42,Segment!$P$383:$U$454,5,0)/1000</f>
        <v>0</v>
      </c>
      <c r="DK42" s="38">
        <f>VLOOKUP($C42,Segment!$AD$383:$AI$454,5,0)/1000</f>
        <v>0</v>
      </c>
      <c r="DL42" s="38">
        <f>VLOOKUP($C42,Segment!$AK$383:$AP$454,5,0)/1000</f>
        <v>0</v>
      </c>
      <c r="DM42" s="38">
        <f>VLOOKUP($C42,Segment!$I$460:$N$531,5,0)/1000</f>
        <v>0</v>
      </c>
      <c r="DN42" s="38">
        <f>VLOOKUP($C42,Segment!$P$460:$U$531,5,0)/1000</f>
        <v>0</v>
      </c>
      <c r="DO42" s="38">
        <f>VLOOKUP($C42,Segment!$AD$460:$AI$531,5,0)/1000</f>
        <v>0</v>
      </c>
      <c r="DP42" s="38">
        <f>VLOOKUP($C42,Segment!$AK$460:$AP$531,5,0)/1000</f>
        <v>0</v>
      </c>
    </row>
    <row r="43" spans="3:120" x14ac:dyDescent="0.3">
      <c r="C43" s="36" t="s">
        <v>26</v>
      </c>
      <c r="E43" s="42"/>
      <c r="F43" s="38">
        <f>VLOOKUP($C43,Segment!$AK$152:$AP$223,6,0)/1000</f>
        <v>-20171.785</v>
      </c>
      <c r="G43" s="38">
        <f>VLOOKUP($C43,Segment!$I$229:$N$300,6,0)/1000</f>
        <v>-37922.277999999998</v>
      </c>
      <c r="H43" s="38">
        <f>VLOOKUP($C43,Segment!$P$229:$U$300,6,0)/1000</f>
        <v>-37917.364000000001</v>
      </c>
      <c r="I43" s="38">
        <f>VLOOKUP($C43,Segment!$AD$229:$AI$300,6,0)/1000</f>
        <v>-34374.105000000003</v>
      </c>
      <c r="J43" s="38">
        <f>VLOOKUP($C43,Segment!$AK$229:$AP$300,6,0)/1000</f>
        <v>-44434.195</v>
      </c>
      <c r="K43" s="38">
        <f>VLOOKUP($C43,Segment!$I$306:$N$377,6,0)/1000</f>
        <v>-70031.923999999999</v>
      </c>
      <c r="L43" s="38">
        <f>VLOOKUP($C43,Segment!$P$306:$U$377,6,0)/1000</f>
        <v>-67048.069000000003</v>
      </c>
      <c r="M43" s="38">
        <f>VLOOKUP($C43,Segment!$AD$306:$AI$377,6,0)/1000</f>
        <v>-74031.173999999999</v>
      </c>
      <c r="N43" s="203">
        <f>VLOOKUP($C43,Segment!$AK$306:$AP$377,6,0)/1000</f>
        <v>-73303.467000000004</v>
      </c>
      <c r="O43" s="203">
        <f>VLOOKUP($C43,Segment!$I$383:$N$454,6,0)/1000</f>
        <v>-154549.647</v>
      </c>
      <c r="P43" s="203">
        <f>VLOOKUP($C43,Segment!$P$383:$U$454,6,0)/1000</f>
        <v>-92679.672999999995</v>
      </c>
      <c r="Q43" s="203">
        <f>VLOOKUP($C43,Segment!$AD$383:$AI$454,6,0)/1000</f>
        <v>-85238.845000000001</v>
      </c>
      <c r="R43" s="203">
        <f>VLOOKUP($C43,Segment!$AK$383:$AP$454,6,0)/1000</f>
        <v>-50269.722000000002</v>
      </c>
      <c r="S43" s="203">
        <f>VLOOKUP($C43,Segment!$I$460:$N$531,6,0)/1000</f>
        <v>-195443.81700000001</v>
      </c>
      <c r="T43" s="203">
        <f>VLOOKUP($C43,Segment!$P$460:$U$531,6,0)/1000</f>
        <v>-168430.77100000001</v>
      </c>
      <c r="U43" s="203">
        <f>VLOOKUP($C43,Segment!$AD$460:$AI$531,6,0)/1000</f>
        <v>-147553.40299999999</v>
      </c>
      <c r="V43" s="203">
        <f>VLOOKUP($C43,Segment!$AK$460:$AP$531,6,0)/1000</f>
        <v>-165014.17000000001</v>
      </c>
      <c r="W43" s="132">
        <f t="shared" si="9"/>
        <v>2.2825757421137123</v>
      </c>
      <c r="X43" s="132"/>
      <c r="Y43" s="38"/>
      <c r="Z43" s="38">
        <f>VLOOKUP($C43,Segment!$AK$152:$AP$223,2,0)/1000</f>
        <v>0</v>
      </c>
      <c r="AA43" s="38">
        <f>VLOOKUP($C43,Segment!$I$229:$N$300,2,0)/1000</f>
        <v>0</v>
      </c>
      <c r="AB43" s="38">
        <f>VLOOKUP($C43,Segment!$P$229:$U$300,2,0)/1000</f>
        <v>0</v>
      </c>
      <c r="AC43" s="38">
        <f>VLOOKUP($C43,Segment!$AD$229:$AI$300,2,0)/1000</f>
        <v>0</v>
      </c>
      <c r="AD43" s="38">
        <f>VLOOKUP($C43,Segment!$AK$229:$AP$300,2,0)/1000</f>
        <v>0</v>
      </c>
      <c r="AE43" s="38">
        <f>VLOOKUP($C43,Segment!$I$306:$N$377,2,0)/1000</f>
        <v>0</v>
      </c>
      <c r="AF43" s="38">
        <f>VLOOKUP($C43,Segment!$P$306:$U$377,2,0)/1000</f>
        <v>0</v>
      </c>
      <c r="AG43" s="38">
        <f>VLOOKUP($C43,Segment!$AD$306:$AI$377,2,0)/1000</f>
        <v>0</v>
      </c>
      <c r="AH43" s="38">
        <f>VLOOKUP($C43,Segment!$AK$306:$AP$377,2,0)/1000</f>
        <v>0</v>
      </c>
      <c r="AI43" s="38">
        <f>VLOOKUP($C43,Segment!$I$383:$N$454,2,0)/1000</f>
        <v>0</v>
      </c>
      <c r="AJ43" s="38">
        <f>VLOOKUP($C43,Segment!$P$383:$U$454,2,0)/1000</f>
        <v>0</v>
      </c>
      <c r="AK43" s="38">
        <f>VLOOKUP($C43,Segment!$AD$383:$AI$454,2,0)/1000</f>
        <v>0</v>
      </c>
      <c r="AL43" s="38">
        <f>VLOOKUP($C43,Segment!$AK$383:$AP$454,2,0)/1000</f>
        <v>0</v>
      </c>
      <c r="AM43" s="38">
        <f>VLOOKUP($C43,Segment!$I$460:$N$531,2,0)/1000</f>
        <v>0</v>
      </c>
      <c r="AN43" s="38">
        <f>VLOOKUP($C43,Segment!$P$460:$U$531,2,0)/1000</f>
        <v>0</v>
      </c>
      <c r="AO43" s="38">
        <f>VLOOKUP($C43,Segment!$AD$460:$AI$531,2,0)/1000</f>
        <v>0</v>
      </c>
      <c r="AP43" s="38">
        <f>VLOOKUP($C43,Segment!$AK$460:$AP$531,2,0)/1000</f>
        <v>0</v>
      </c>
      <c r="AS43" s="38"/>
      <c r="AT43" s="38">
        <f>VLOOKUP($C43,Segment!$AK$152:$AP$223,3,0)/1000</f>
        <v>-20171.785</v>
      </c>
      <c r="AU43" s="38">
        <f>VLOOKUP($C43,Segment!$I$229:$N$300,3,0)/1000</f>
        <v>-37922.277999999998</v>
      </c>
      <c r="AV43" s="38">
        <f>VLOOKUP($C43,Segment!$P$229:$U$300,3,0)/1000</f>
        <v>-37917.364000000001</v>
      </c>
      <c r="AW43" s="38">
        <f>VLOOKUP($C43,Segment!$AD$229:$AI$300,3,0)/1000</f>
        <v>-34374.105000000003</v>
      </c>
      <c r="AX43" s="38">
        <f>VLOOKUP($C43,Segment!$AK$229:$AP$300,3,0)/1000</f>
        <v>-44434.195</v>
      </c>
      <c r="AY43" s="38">
        <f>VLOOKUP($C43,Segment!$I$306:$N$377,3,0)/1000</f>
        <v>-70031.923999999999</v>
      </c>
      <c r="AZ43" s="38">
        <f>VLOOKUP($C43,Segment!$P$306:$U$377,3,0)/1000</f>
        <v>-67048.069000000003</v>
      </c>
      <c r="BA43" s="38">
        <f>VLOOKUP($C43,Segment!$AD$306:$AI$377,3,0)/1000</f>
        <v>-74031.173999999999</v>
      </c>
      <c r="BB43" s="38">
        <f>VLOOKUP($C43,Segment!$AK$306:$AP$377,3,0)/1000</f>
        <v>-73303.467000000004</v>
      </c>
      <c r="BC43" s="38">
        <f>VLOOKUP($C43,Segment!$I$383:$N$454,3,0)/1000</f>
        <v>-154549.647</v>
      </c>
      <c r="BD43" s="38">
        <f>VLOOKUP($C43,Segment!$P$383:$U$454,3,0)/1000</f>
        <v>-92679.672999999995</v>
      </c>
      <c r="BE43" s="38">
        <f>VLOOKUP($C43,Segment!$AD$383:$AI$454,3,0)/1000</f>
        <v>-85238.845000000001</v>
      </c>
      <c r="BF43" s="38">
        <f>VLOOKUP($C43,Segment!$AK$383:$AP$454,3,0)/1000</f>
        <v>-50269.722000000002</v>
      </c>
      <c r="BG43" s="38">
        <f>VLOOKUP($C43,Segment!$I$460:$N$531,3,0)/1000</f>
        <v>-195443.81700000001</v>
      </c>
      <c r="BH43" s="38">
        <f>VLOOKUP($C43,Segment!$P$460:$U$531,3,0)/1000</f>
        <v>-168430.77100000001</v>
      </c>
      <c r="BI43" s="38">
        <f>VLOOKUP($C43,Segment!$AD$460:$AI$531,3,0)/1000</f>
        <v>-147553.40299999999</v>
      </c>
      <c r="BJ43" s="38">
        <f>VLOOKUP($C43,Segment!$AK$460:$AP$531,3,0)/1000</f>
        <v>-165014.17000000001</v>
      </c>
      <c r="BL43" s="38"/>
      <c r="BM43" s="38">
        <f>VLOOKUP($C43,Segment!$AK$152:$AP$223,4,0)/1000</f>
        <v>0</v>
      </c>
      <c r="BN43" s="38">
        <f>VLOOKUP($C43,Segment!$I$229:$N$300,4,0)/1000</f>
        <v>0</v>
      </c>
      <c r="BO43" s="38">
        <f>VLOOKUP($C43,Segment!$P$229:$U$300,4,0)/1000</f>
        <v>0</v>
      </c>
      <c r="BP43" s="38">
        <f>VLOOKUP($C43,Segment!$AD$229:$AI$300,4,0)/1000</f>
        <v>0</v>
      </c>
      <c r="BQ43" s="38">
        <f>VLOOKUP($C43,Segment!$AK$229:$AP$300,4,0)/1000</f>
        <v>0</v>
      </c>
      <c r="BR43" s="38">
        <f>VLOOKUP($C43,Segment!$I$306:$N$377,4,0)/1000</f>
        <v>0</v>
      </c>
      <c r="BS43" s="38">
        <f>VLOOKUP($C43,Segment!$P$306:$U$377,4,0)/1000</f>
        <v>0</v>
      </c>
      <c r="BT43" s="38">
        <f>VLOOKUP($C43,Segment!$AD$306:$AI$377,4,0)/1000</f>
        <v>0</v>
      </c>
      <c r="BU43" s="38">
        <f>VLOOKUP($C43,Segment!$AK$306:$AP$377,4,0)/1000</f>
        <v>0</v>
      </c>
      <c r="BV43" s="38">
        <f>VLOOKUP($C43,Segment!$I$383:$N$454,4,0)/1000</f>
        <v>0</v>
      </c>
      <c r="BW43" s="38">
        <f>VLOOKUP($C43,Segment!$P$383:$U$454,4,0)/1000</f>
        <v>0</v>
      </c>
      <c r="BX43" s="38">
        <f>VLOOKUP($C43,Segment!$AD$383:$AI$454,4,0)/1000</f>
        <v>0</v>
      </c>
      <c r="BY43" s="38">
        <f>VLOOKUP($C43,Segment!$AK$383:$AP$454,4,0)/1000</f>
        <v>0</v>
      </c>
      <c r="BZ43" s="38">
        <f>VLOOKUP($C43,Segment!$I$460:$N$531,4,0)/1000</f>
        <v>0</v>
      </c>
      <c r="CA43" s="38">
        <f>VLOOKUP($C43,Segment!$P$460:$U$531,4,0)/1000</f>
        <v>0</v>
      </c>
      <c r="CB43" s="38">
        <f>VLOOKUP($C43,Segment!$AD$460:$AI$531,4,0)/1000</f>
        <v>0</v>
      </c>
      <c r="CC43" s="38">
        <f>VLOOKUP($C43,Segment!$AK$460:$AP$531,4,0)/1000</f>
        <v>0</v>
      </c>
      <c r="CE43" s="38"/>
      <c r="CF43" s="38">
        <f t="shared" si="98"/>
        <v>-20171.785</v>
      </c>
      <c r="CG43" s="38">
        <f t="shared" si="98"/>
        <v>-37922.277999999998</v>
      </c>
      <c r="CH43" s="38">
        <f t="shared" si="98"/>
        <v>-37917.364000000001</v>
      </c>
      <c r="CI43" s="38">
        <f t="shared" si="98"/>
        <v>-34374.105000000003</v>
      </c>
      <c r="CJ43" s="38">
        <f t="shared" si="98"/>
        <v>-44434.195</v>
      </c>
      <c r="CK43" s="38">
        <f t="shared" si="98"/>
        <v>-70031.923999999999</v>
      </c>
      <c r="CL43" s="38">
        <f t="shared" si="98"/>
        <v>-67048.069000000003</v>
      </c>
      <c r="CM43" s="38">
        <f t="shared" si="98"/>
        <v>-74031.173999999999</v>
      </c>
      <c r="CN43" s="38">
        <f t="shared" si="98"/>
        <v>-73303.467000000004</v>
      </c>
      <c r="CO43" s="38">
        <f t="shared" si="98"/>
        <v>-154549.647</v>
      </c>
      <c r="CP43" s="38">
        <f t="shared" si="99"/>
        <v>-92679.672999999995</v>
      </c>
      <c r="CQ43" s="38">
        <f t="shared" si="99"/>
        <v>-85238.845000000001</v>
      </c>
      <c r="CR43" s="38">
        <f t="shared" si="99"/>
        <v>-50269.722000000002</v>
      </c>
      <c r="CS43" s="38">
        <f t="shared" si="99"/>
        <v>-195443.81700000001</v>
      </c>
      <c r="CT43" s="38">
        <f t="shared" si="99"/>
        <v>-168430.77100000001</v>
      </c>
      <c r="CU43" s="38">
        <f t="shared" si="99"/>
        <v>-147553.40299999999</v>
      </c>
      <c r="CV43" s="38">
        <f t="shared" si="99"/>
        <v>-165014.17000000001</v>
      </c>
      <c r="CY43" s="38"/>
      <c r="CZ43" s="38">
        <f>VLOOKUP($C43,Segment!$AK$152:$AP$223,5,0)/1000</f>
        <v>0</v>
      </c>
      <c r="DA43" s="38">
        <f>VLOOKUP($C43,Segment!$I$229:$N$300,5,0)/1000</f>
        <v>0</v>
      </c>
      <c r="DB43" s="38">
        <f>VLOOKUP($C43,Segment!$P$229:$U$300,5,0)/1000</f>
        <v>0</v>
      </c>
      <c r="DC43" s="38">
        <f>VLOOKUP($C43,Segment!$AD$229:$AI$300,5,0)/1000</f>
        <v>0</v>
      </c>
      <c r="DD43" s="38">
        <f>VLOOKUP($C43,Segment!$AK$229:$AP$300,5,0)/1000</f>
        <v>0</v>
      </c>
      <c r="DE43" s="38">
        <f>VLOOKUP($C43,Segment!$I$306:$N$377,5,0)/1000</f>
        <v>0</v>
      </c>
      <c r="DF43" s="38">
        <f>VLOOKUP($C43,Segment!$P$306:$U$377,5,0)/1000</f>
        <v>0</v>
      </c>
      <c r="DG43" s="38">
        <f>VLOOKUP($C43,Segment!$AD$306:$AI$377,5,0)/1000</f>
        <v>0</v>
      </c>
      <c r="DH43" s="38">
        <f>VLOOKUP($C43,Segment!$AK$306:$AP$377,5,0)/1000</f>
        <v>0</v>
      </c>
      <c r="DI43" s="38">
        <f>VLOOKUP($C43,Segment!$I$383:$N$454,5,0)/1000</f>
        <v>0</v>
      </c>
      <c r="DJ43" s="38">
        <f>VLOOKUP($C43,Segment!$P$383:$U$454,5,0)/1000</f>
        <v>0</v>
      </c>
      <c r="DK43" s="38">
        <f>VLOOKUP($C43,Segment!$AD$383:$AI$454,5,0)/1000</f>
        <v>0</v>
      </c>
      <c r="DL43" s="38">
        <f>VLOOKUP($C43,Segment!$AK$383:$AP$454,5,0)/1000</f>
        <v>0</v>
      </c>
      <c r="DM43" s="38">
        <f>VLOOKUP($C43,Segment!$I$460:$N$531,5,0)/1000</f>
        <v>0</v>
      </c>
      <c r="DN43" s="38">
        <f>VLOOKUP($C43,Segment!$P$460:$U$531,5,0)/1000</f>
        <v>0</v>
      </c>
      <c r="DO43" s="38">
        <f>VLOOKUP($C43,Segment!$AD$460:$AI$531,5,0)/1000</f>
        <v>0</v>
      </c>
      <c r="DP43" s="38">
        <f>VLOOKUP($C43,Segment!$AK$460:$AP$531,5,0)/1000</f>
        <v>0</v>
      </c>
    </row>
    <row r="44" spans="3:120" ht="13.5" thickBot="1" x14ac:dyDescent="0.35">
      <c r="C44" s="54" t="s">
        <v>101</v>
      </c>
      <c r="D44" s="115"/>
      <c r="E44" s="55"/>
      <c r="F44" s="55">
        <f t="shared" ref="F44:M44" si="100">SUM(F41:F43)</f>
        <v>47091.912999999986</v>
      </c>
      <c r="G44" s="55">
        <f t="shared" si="100"/>
        <v>71894.808000000019</v>
      </c>
      <c r="H44" s="55">
        <f t="shared" si="100"/>
        <v>71113.031999999992</v>
      </c>
      <c r="I44" s="55">
        <f t="shared" si="100"/>
        <v>84916.565000000002</v>
      </c>
      <c r="J44" s="55">
        <f t="shared" si="100"/>
        <v>90110.726999999984</v>
      </c>
      <c r="K44" s="55">
        <f t="shared" si="100"/>
        <v>138074.592</v>
      </c>
      <c r="L44" s="55">
        <f t="shared" si="100"/>
        <v>129339.13799999999</v>
      </c>
      <c r="M44" s="55">
        <f t="shared" si="100"/>
        <v>146413.90399999998</v>
      </c>
      <c r="N44" s="55">
        <f t="shared" ref="N44:V44" si="101">SUM(N41:N43)</f>
        <v>144340.174</v>
      </c>
      <c r="O44" s="55">
        <f t="shared" si="101"/>
        <v>211124.03599999996</v>
      </c>
      <c r="P44" s="55">
        <f t="shared" si="101"/>
        <v>209683.43900000001</v>
      </c>
      <c r="Q44" s="55">
        <f t="shared" si="101"/>
        <v>229239.76800000001</v>
      </c>
      <c r="R44" s="55">
        <f t="shared" si="101"/>
        <v>264863.19500000001</v>
      </c>
      <c r="S44" s="55">
        <f t="shared" si="101"/>
        <v>366072.59299999999</v>
      </c>
      <c r="T44" s="55">
        <f t="shared" si="101"/>
        <v>334803.97899999999</v>
      </c>
      <c r="U44" s="55">
        <f t="shared" si="101"/>
        <v>330506.93100000004</v>
      </c>
      <c r="V44" s="55">
        <f t="shared" si="101"/>
        <v>318950.09299999999</v>
      </c>
      <c r="W44" s="175">
        <f t="shared" si="9"/>
        <v>0.20420692274742058</v>
      </c>
      <c r="X44" s="132"/>
      <c r="Y44" s="55"/>
      <c r="Z44" s="55">
        <f t="shared" ref="Z44:AG44" si="102">SUM(Z41:Z43)</f>
        <v>0</v>
      </c>
      <c r="AA44" s="55">
        <f t="shared" si="102"/>
        <v>0</v>
      </c>
      <c r="AB44" s="55">
        <f t="shared" si="102"/>
        <v>0</v>
      </c>
      <c r="AC44" s="55">
        <f t="shared" si="102"/>
        <v>0</v>
      </c>
      <c r="AD44" s="55">
        <f t="shared" si="102"/>
        <v>0</v>
      </c>
      <c r="AE44" s="55">
        <f t="shared" si="102"/>
        <v>0</v>
      </c>
      <c r="AF44" s="55">
        <f t="shared" si="102"/>
        <v>0</v>
      </c>
      <c r="AG44" s="55">
        <f t="shared" si="102"/>
        <v>0</v>
      </c>
      <c r="AH44" s="55">
        <f t="shared" ref="AH44:AP44" si="103">SUM(AH41:AH43)</f>
        <v>0</v>
      </c>
      <c r="AI44" s="55">
        <f t="shared" si="103"/>
        <v>0</v>
      </c>
      <c r="AJ44" s="55">
        <f t="shared" si="103"/>
        <v>0</v>
      </c>
      <c r="AK44" s="55">
        <f t="shared" si="103"/>
        <v>0</v>
      </c>
      <c r="AL44" s="55">
        <f t="shared" si="103"/>
        <v>0</v>
      </c>
      <c r="AM44" s="55">
        <f t="shared" si="103"/>
        <v>0</v>
      </c>
      <c r="AN44" s="55">
        <f t="shared" si="103"/>
        <v>0</v>
      </c>
      <c r="AO44" s="55">
        <f t="shared" si="103"/>
        <v>0</v>
      </c>
      <c r="AP44" s="55">
        <f t="shared" si="103"/>
        <v>0</v>
      </c>
      <c r="AQ44" s="175"/>
      <c r="AR44" s="55"/>
      <c r="AS44" s="55"/>
      <c r="AT44" s="55">
        <f t="shared" ref="AT44:BA44" si="104">SUM(AT41:AT43)</f>
        <v>47091.912999999986</v>
      </c>
      <c r="AU44" s="55">
        <f t="shared" si="104"/>
        <v>71894.808000000019</v>
      </c>
      <c r="AV44" s="55">
        <f t="shared" si="104"/>
        <v>71113.031999999992</v>
      </c>
      <c r="AW44" s="55">
        <f t="shared" si="104"/>
        <v>84916.565000000002</v>
      </c>
      <c r="AX44" s="55">
        <f t="shared" si="104"/>
        <v>90110.726999999984</v>
      </c>
      <c r="AY44" s="55">
        <f t="shared" si="104"/>
        <v>138074.592</v>
      </c>
      <c r="AZ44" s="55">
        <f t="shared" si="104"/>
        <v>129339.13799999999</v>
      </c>
      <c r="BA44" s="55">
        <f t="shared" si="104"/>
        <v>146413.90399999998</v>
      </c>
      <c r="BB44" s="55">
        <f t="shared" ref="BB44:BJ44" si="105">SUM(BB41:BB43)</f>
        <v>144340.174</v>
      </c>
      <c r="BC44" s="55">
        <f t="shared" si="105"/>
        <v>211124.03599999996</v>
      </c>
      <c r="BD44" s="55">
        <f t="shared" si="105"/>
        <v>209683.43900000001</v>
      </c>
      <c r="BE44" s="55">
        <f t="shared" si="105"/>
        <v>229239.76800000001</v>
      </c>
      <c r="BF44" s="55">
        <f t="shared" si="105"/>
        <v>264863.19500000001</v>
      </c>
      <c r="BG44" s="55">
        <f t="shared" si="105"/>
        <v>366072.59299999999</v>
      </c>
      <c r="BH44" s="55">
        <f t="shared" si="105"/>
        <v>334803.97899999999</v>
      </c>
      <c r="BI44" s="55">
        <f t="shared" si="105"/>
        <v>330506.93100000004</v>
      </c>
      <c r="BJ44" s="55">
        <f t="shared" si="105"/>
        <v>318950.09299999999</v>
      </c>
      <c r="BK44" s="55"/>
      <c r="BL44" s="55"/>
      <c r="BM44" s="55">
        <f t="shared" ref="BM44:BT44" si="106">SUM(BM41:BM43)</f>
        <v>0</v>
      </c>
      <c r="BN44" s="55">
        <f t="shared" si="106"/>
        <v>0</v>
      </c>
      <c r="BO44" s="55">
        <f t="shared" si="106"/>
        <v>0</v>
      </c>
      <c r="BP44" s="55">
        <f t="shared" si="106"/>
        <v>0</v>
      </c>
      <c r="BQ44" s="55">
        <f t="shared" si="106"/>
        <v>0</v>
      </c>
      <c r="BR44" s="55">
        <f t="shared" si="106"/>
        <v>0</v>
      </c>
      <c r="BS44" s="55">
        <f t="shared" si="106"/>
        <v>0</v>
      </c>
      <c r="BT44" s="55">
        <f t="shared" si="106"/>
        <v>0</v>
      </c>
      <c r="BU44" s="55">
        <f t="shared" ref="BU44:CC44" si="107">SUM(BU41:BU43)</f>
        <v>0</v>
      </c>
      <c r="BV44" s="55">
        <f t="shared" si="107"/>
        <v>0</v>
      </c>
      <c r="BW44" s="55">
        <f t="shared" si="107"/>
        <v>0</v>
      </c>
      <c r="BX44" s="55">
        <f t="shared" si="107"/>
        <v>0</v>
      </c>
      <c r="BY44" s="55">
        <f t="shared" si="107"/>
        <v>0</v>
      </c>
      <c r="BZ44" s="55">
        <f t="shared" si="107"/>
        <v>0</v>
      </c>
      <c r="CA44" s="55">
        <f t="shared" si="107"/>
        <v>0</v>
      </c>
      <c r="CB44" s="55">
        <f t="shared" si="107"/>
        <v>0</v>
      </c>
      <c r="CC44" s="55">
        <f t="shared" si="107"/>
        <v>0</v>
      </c>
      <c r="CD44" s="55"/>
      <c r="CE44" s="55"/>
      <c r="CF44" s="55">
        <f t="shared" ref="CF44:CM44" si="108">SUM(CF41:CF43)</f>
        <v>47091.912999999986</v>
      </c>
      <c r="CG44" s="55">
        <f t="shared" si="108"/>
        <v>71894.808000000019</v>
      </c>
      <c r="CH44" s="55">
        <f t="shared" si="108"/>
        <v>71113.031999999992</v>
      </c>
      <c r="CI44" s="55">
        <f t="shared" si="108"/>
        <v>84916.565000000002</v>
      </c>
      <c r="CJ44" s="55">
        <f t="shared" si="108"/>
        <v>90110.726999999984</v>
      </c>
      <c r="CK44" s="55">
        <f t="shared" si="108"/>
        <v>138074.592</v>
      </c>
      <c r="CL44" s="55">
        <f t="shared" si="108"/>
        <v>129339.13799999999</v>
      </c>
      <c r="CM44" s="55">
        <f t="shared" si="108"/>
        <v>146413.90399999998</v>
      </c>
      <c r="CN44" s="55">
        <f t="shared" ref="CN44:CV44" si="109">SUM(CN41:CN43)</f>
        <v>144340.174</v>
      </c>
      <c r="CO44" s="55">
        <f t="shared" si="109"/>
        <v>211124.03599999996</v>
      </c>
      <c r="CP44" s="55">
        <f t="shared" si="109"/>
        <v>209683.43900000001</v>
      </c>
      <c r="CQ44" s="55">
        <f t="shared" si="109"/>
        <v>229239.76800000001</v>
      </c>
      <c r="CR44" s="55">
        <f t="shared" si="109"/>
        <v>264863.19500000001</v>
      </c>
      <c r="CS44" s="55">
        <f t="shared" si="109"/>
        <v>366072.59299999999</v>
      </c>
      <c r="CT44" s="55">
        <f t="shared" si="109"/>
        <v>334803.97899999999</v>
      </c>
      <c r="CU44" s="55">
        <f t="shared" si="109"/>
        <v>330506.93100000004</v>
      </c>
      <c r="CV44" s="55">
        <f t="shared" si="109"/>
        <v>318950.09299999999</v>
      </c>
      <c r="CW44" s="175">
        <f>CV44/CR44-1</f>
        <v>0.20420692274742058</v>
      </c>
      <c r="CX44" s="55"/>
      <c r="CY44" s="55"/>
      <c r="CZ44" s="55">
        <f t="shared" ref="CZ44:DG44" si="110">SUM(CZ41:CZ43)</f>
        <v>0</v>
      </c>
      <c r="DA44" s="55">
        <f t="shared" si="110"/>
        <v>0</v>
      </c>
      <c r="DB44" s="55">
        <f t="shared" si="110"/>
        <v>0</v>
      </c>
      <c r="DC44" s="55">
        <f t="shared" si="110"/>
        <v>0</v>
      </c>
      <c r="DD44" s="55">
        <f t="shared" si="110"/>
        <v>0</v>
      </c>
      <c r="DE44" s="55">
        <f t="shared" si="110"/>
        <v>0</v>
      </c>
      <c r="DF44" s="55">
        <f t="shared" si="110"/>
        <v>0</v>
      </c>
      <c r="DG44" s="55">
        <f t="shared" si="110"/>
        <v>0</v>
      </c>
      <c r="DH44" s="55">
        <f t="shared" ref="DH44:DP44" si="111">SUM(DH41:DH43)</f>
        <v>0</v>
      </c>
      <c r="DI44" s="55">
        <f t="shared" si="111"/>
        <v>0</v>
      </c>
      <c r="DJ44" s="55">
        <f t="shared" si="111"/>
        <v>0</v>
      </c>
      <c r="DK44" s="55">
        <f t="shared" si="111"/>
        <v>0</v>
      </c>
      <c r="DL44" s="55">
        <f t="shared" si="111"/>
        <v>0</v>
      </c>
      <c r="DM44" s="55">
        <f t="shared" si="111"/>
        <v>0</v>
      </c>
      <c r="DN44" s="55">
        <f t="shared" si="111"/>
        <v>0</v>
      </c>
      <c r="DO44" s="55">
        <f t="shared" si="111"/>
        <v>0</v>
      </c>
      <c r="DP44" s="55">
        <f t="shared" si="111"/>
        <v>0</v>
      </c>
    </row>
    <row r="45" spans="3:120" ht="13.5" thickTop="1" x14ac:dyDescent="0.3">
      <c r="C45" s="39" t="s">
        <v>61</v>
      </c>
      <c r="D45" s="109"/>
      <c r="E45" s="40"/>
      <c r="F45" s="40">
        <f t="shared" ref="F45:M45" si="112">F44/F41</f>
        <v>0.58181605744862253</v>
      </c>
      <c r="G45" s="40">
        <f t="shared" si="112"/>
        <v>0.57650543435704926</v>
      </c>
      <c r="H45" s="40">
        <f t="shared" si="112"/>
        <v>0.54881911410017026</v>
      </c>
      <c r="I45" s="40">
        <f t="shared" si="112"/>
        <v>0.69652744221610996</v>
      </c>
      <c r="J45" s="40">
        <f t="shared" si="112"/>
        <v>0.64072612377467442</v>
      </c>
      <c r="K45" s="40">
        <f t="shared" si="112"/>
        <v>0.547843940953886</v>
      </c>
      <c r="L45" s="40">
        <f t="shared" si="112"/>
        <v>0.51263727679683069</v>
      </c>
      <c r="M45" s="40">
        <f t="shared" si="112"/>
        <v>0.66774236556774513</v>
      </c>
      <c r="N45" s="40">
        <f t="shared" ref="N45:V45" si="113">N44/N41</f>
        <v>0.64232618275719844</v>
      </c>
      <c r="O45" s="40">
        <f t="shared" si="113"/>
        <v>0.48315849075999928</v>
      </c>
      <c r="P45" s="40">
        <f t="shared" si="113"/>
        <v>0.53029622046166602</v>
      </c>
      <c r="Q45" s="40">
        <f t="shared" si="113"/>
        <v>0.68145423861011734</v>
      </c>
      <c r="R45" s="40">
        <f t="shared" si="113"/>
        <v>0.81982965856277124</v>
      </c>
      <c r="S45" s="40">
        <f t="shared" si="113"/>
        <v>0.52626527280526159</v>
      </c>
      <c r="T45" s="40">
        <f t="shared" si="113"/>
        <v>0.64335634532189556</v>
      </c>
      <c r="U45" s="40">
        <f t="shared" si="113"/>
        <v>0.61140208039578225</v>
      </c>
      <c r="V45" s="40">
        <f t="shared" si="113"/>
        <v>0.60619479085402994</v>
      </c>
      <c r="W45" s="169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169"/>
      <c r="AS45" s="40"/>
      <c r="AT45" s="40">
        <f t="shared" ref="AT45:BA45" si="114">AT44/AT41</f>
        <v>0.58181605744862253</v>
      </c>
      <c r="AU45" s="40">
        <f t="shared" si="114"/>
        <v>0.57650543435704926</v>
      </c>
      <c r="AV45" s="40">
        <f t="shared" si="114"/>
        <v>0.54881911410017026</v>
      </c>
      <c r="AW45" s="40">
        <f t="shared" si="114"/>
        <v>0.69652744221610996</v>
      </c>
      <c r="AX45" s="40">
        <f t="shared" si="114"/>
        <v>0.64072612377467442</v>
      </c>
      <c r="AY45" s="40">
        <f t="shared" si="114"/>
        <v>0.547843940953886</v>
      </c>
      <c r="AZ45" s="40">
        <f t="shared" si="114"/>
        <v>0.51263727679683069</v>
      </c>
      <c r="BA45" s="40">
        <f t="shared" si="114"/>
        <v>0.66774236556774513</v>
      </c>
      <c r="BB45" s="40">
        <f t="shared" ref="BB45:BJ45" si="115">BB44/BB41</f>
        <v>0.64232618275719844</v>
      </c>
      <c r="BC45" s="40">
        <f t="shared" si="115"/>
        <v>0.48315849075999928</v>
      </c>
      <c r="BD45" s="40">
        <f t="shared" si="115"/>
        <v>0.53029622046166602</v>
      </c>
      <c r="BE45" s="40">
        <f t="shared" si="115"/>
        <v>0.68145423861011734</v>
      </c>
      <c r="BF45" s="40">
        <f t="shared" si="115"/>
        <v>0.81982965856277124</v>
      </c>
      <c r="BG45" s="40">
        <f t="shared" si="115"/>
        <v>0.52626527280526159</v>
      </c>
      <c r="BH45" s="40">
        <f t="shared" si="115"/>
        <v>0.64335634532189556</v>
      </c>
      <c r="BI45" s="40">
        <f t="shared" si="115"/>
        <v>0.61140208039578225</v>
      </c>
      <c r="BJ45" s="40">
        <f t="shared" si="115"/>
        <v>0.60619479085402994</v>
      </c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E45" s="40"/>
      <c r="CF45" s="40">
        <f t="shared" ref="CF45:CM45" si="116">CF44/CF41</f>
        <v>0.58181605744862253</v>
      </c>
      <c r="CG45" s="40">
        <f t="shared" si="116"/>
        <v>0.57650543435704926</v>
      </c>
      <c r="CH45" s="40">
        <f t="shared" si="116"/>
        <v>0.54881911410017026</v>
      </c>
      <c r="CI45" s="40">
        <f t="shared" si="116"/>
        <v>0.69652744221610996</v>
      </c>
      <c r="CJ45" s="40">
        <f t="shared" si="116"/>
        <v>0.64072612377467442</v>
      </c>
      <c r="CK45" s="40">
        <f t="shared" si="116"/>
        <v>0.547843940953886</v>
      </c>
      <c r="CL45" s="40">
        <f t="shared" si="116"/>
        <v>0.51263727679683069</v>
      </c>
      <c r="CM45" s="40">
        <f t="shared" si="116"/>
        <v>0.66774236556774513</v>
      </c>
      <c r="CN45" s="40">
        <f t="shared" ref="CN45:CV45" si="117">CN44/CN41</f>
        <v>0.64232618275719844</v>
      </c>
      <c r="CO45" s="40">
        <f t="shared" si="117"/>
        <v>0.48315849075999928</v>
      </c>
      <c r="CP45" s="40">
        <f t="shared" si="117"/>
        <v>0.53029622046166602</v>
      </c>
      <c r="CQ45" s="40">
        <f t="shared" si="117"/>
        <v>0.68145423861011734</v>
      </c>
      <c r="CR45" s="40">
        <f t="shared" si="117"/>
        <v>0.81982965856277124</v>
      </c>
      <c r="CS45" s="40">
        <f t="shared" si="117"/>
        <v>0.52626527280526159</v>
      </c>
      <c r="CT45" s="40">
        <f t="shared" si="117"/>
        <v>0.64335634532189556</v>
      </c>
      <c r="CU45" s="40">
        <f t="shared" si="117"/>
        <v>0.61140208039578225</v>
      </c>
      <c r="CV45" s="40">
        <f t="shared" si="117"/>
        <v>0.60619479085402994</v>
      </c>
      <c r="CW45" s="169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</row>
    <row r="46" spans="3:120" x14ac:dyDescent="0.3">
      <c r="C46" s="36" t="s">
        <v>27</v>
      </c>
      <c r="D46" s="110">
        <v>14</v>
      </c>
      <c r="E46" s="42"/>
      <c r="F46" s="38">
        <f>VLOOKUP($C46,Segment!$AK$152:$AP$223,6,0)/1000</f>
        <v>-35163.660000000003</v>
      </c>
      <c r="G46" s="38">
        <f>VLOOKUP($C46,Segment!$I$229:$N$300,6,0)/1000</f>
        <v>-21840.516</v>
      </c>
      <c r="H46" s="38">
        <f>VLOOKUP($C46,Segment!$P$229:$U$300,6,0)/1000</f>
        <v>-32020.358</v>
      </c>
      <c r="I46" s="38">
        <f>VLOOKUP($C46,Segment!$AD$229:$AI$300,6,0)/1000</f>
        <v>-50984.317000000003</v>
      </c>
      <c r="J46" s="38">
        <f>VLOOKUP($C46,Segment!$AK$229:$AP$300,6,0)/1000</f>
        <v>-54068.735999999997</v>
      </c>
      <c r="K46" s="38">
        <f>VLOOKUP($C46,Segment!$I$306:$N$377,6,0)/1000</f>
        <v>-58856.811000000002</v>
      </c>
      <c r="L46" s="38">
        <f>VLOOKUP($C46,Segment!$P$306:$U$377,6,0)/1000</f>
        <v>-64261.591</v>
      </c>
      <c r="M46" s="38">
        <f>VLOOKUP($C46,Segment!$AD$306:$AI$377,6,0)/1000</f>
        <v>-81267.005999999994</v>
      </c>
      <c r="N46" s="203">
        <f>VLOOKUP($C46,Segment!$AK$306:$AP$377,6,0)/1000</f>
        <v>-82938.331000000006</v>
      </c>
      <c r="O46" s="203">
        <f>VLOOKUP($C46,Segment!$I$383:$N$454,6,0)/1000</f>
        <v>-88339.467000000004</v>
      </c>
      <c r="P46" s="203">
        <f>VLOOKUP($C46,Segment!$P$383:$U$454,6,0)/1000</f>
        <v>-90720.733999999997</v>
      </c>
      <c r="Q46" s="203">
        <f>VLOOKUP($C46,Segment!$AD$383:$AI$454,6,0)/1000</f>
        <v>-122152.325</v>
      </c>
      <c r="R46" s="203">
        <f>VLOOKUP($C46,Segment!$AK$383:$AP$454,6,0)/1000</f>
        <v>-176462.32699999999</v>
      </c>
      <c r="S46" s="203">
        <f>VLOOKUP($C46,Segment!$I$460:$N$531,6,0)/1000</f>
        <v>-174254.16800000001</v>
      </c>
      <c r="T46" s="203">
        <f>VLOOKUP($C46,Segment!$P$460:$U$531,6,0)/1000</f>
        <v>-163218.68</v>
      </c>
      <c r="U46" s="203">
        <f>VLOOKUP($C46,Segment!$AD$460:$AI$531,6,0)/1000</f>
        <v>-188263.139</v>
      </c>
      <c r="V46" s="203">
        <f>VLOOKUP($C46,Segment!$AK$460:$AP$531,6,0)/1000</f>
        <v>-182904.008</v>
      </c>
      <c r="W46" s="132">
        <f t="shared" si="9"/>
        <v>3.6504567912674091E-2</v>
      </c>
      <c r="X46" s="132"/>
      <c r="Y46" s="38"/>
      <c r="Z46" s="38">
        <f>VLOOKUP($C46,Segment!$AK$152:$AP$223,2,0)/1000</f>
        <v>0</v>
      </c>
      <c r="AA46" s="38">
        <f>VLOOKUP($C46,Segment!$I$229:$N$300,2,0)/1000</f>
        <v>0</v>
      </c>
      <c r="AB46" s="38">
        <f>VLOOKUP($C46,Segment!$P$229:$U$300,2,0)/1000</f>
        <v>0</v>
      </c>
      <c r="AC46" s="38">
        <f>VLOOKUP($C46,Segment!$AD$229:$AI$300,2,0)/1000</f>
        <v>0</v>
      </c>
      <c r="AD46" s="38">
        <f>VLOOKUP($C46,Segment!$AK$229:$AP$300,2,0)/1000</f>
        <v>0</v>
      </c>
      <c r="AE46" s="38">
        <f>VLOOKUP($C46,Segment!$I$306:$N$377,2,0)/1000</f>
        <v>0</v>
      </c>
      <c r="AF46" s="38">
        <f>VLOOKUP($C46,Segment!$P$306:$U$377,2,0)/1000</f>
        <v>0</v>
      </c>
      <c r="AG46" s="38">
        <f>VLOOKUP($C46,Segment!$AD$306:$AI$377,2,0)/1000</f>
        <v>0</v>
      </c>
      <c r="AH46" s="38">
        <f>VLOOKUP($C46,Segment!$AK$306:$AP$377,2,0)/1000</f>
        <v>0</v>
      </c>
      <c r="AI46" s="38">
        <f>VLOOKUP($C46,Segment!$I$383:$N$454,2,0)/1000</f>
        <v>0</v>
      </c>
      <c r="AJ46" s="38">
        <f>VLOOKUP($C46,Segment!$P$383:$U$454,2,0)/1000</f>
        <v>0</v>
      </c>
      <c r="AK46" s="38">
        <f>VLOOKUP($C46,Segment!$AD$383:$AI$454,2,0)/1000</f>
        <v>0</v>
      </c>
      <c r="AL46" s="38">
        <f>VLOOKUP($C46,Segment!$AK$383:$AP$454,2,0)/1000</f>
        <v>0</v>
      </c>
      <c r="AM46" s="38">
        <f>VLOOKUP($C46,Segment!$I$460:$N$531,2,0)/1000</f>
        <v>0</v>
      </c>
      <c r="AN46" s="38">
        <f>VLOOKUP($C46,Segment!$P$460:$U$531,2,0)/1000</f>
        <v>0</v>
      </c>
      <c r="AO46" s="38">
        <f>VLOOKUP($C46,Segment!$AD$460:$AI$531,2,0)/1000</f>
        <v>0</v>
      </c>
      <c r="AP46" s="38">
        <f>VLOOKUP($C46,Segment!$AK$460:$AP$531,2,0)/1000</f>
        <v>0</v>
      </c>
      <c r="AS46" s="38"/>
      <c r="AT46" s="38">
        <f>VLOOKUP($C46,Segment!$AK$152:$AP$223,3,0)/1000</f>
        <v>-35163.660000000003</v>
      </c>
      <c r="AU46" s="38">
        <f>VLOOKUP($C46,Segment!$I$229:$N$300,3,0)/1000</f>
        <v>-21840.516</v>
      </c>
      <c r="AV46" s="38">
        <f>VLOOKUP($C46,Segment!$P$229:$U$300,3,0)/1000</f>
        <v>-32020.358</v>
      </c>
      <c r="AW46" s="38">
        <f>VLOOKUP($C46,Segment!$AD$229:$AI$300,3,0)/1000</f>
        <v>-50984.317000000003</v>
      </c>
      <c r="AX46" s="38">
        <f>VLOOKUP($C46,Segment!$AK$229:$AP$300,3,0)/1000</f>
        <v>-54068.735999999997</v>
      </c>
      <c r="AY46" s="38">
        <f>VLOOKUP($C46,Segment!$I$306:$N$377,3,0)/1000</f>
        <v>-58856.811000000002</v>
      </c>
      <c r="AZ46" s="38">
        <f>VLOOKUP($C46,Segment!$P$306:$U$377,3,0)/1000</f>
        <v>-64261.591</v>
      </c>
      <c r="BA46" s="38">
        <f>VLOOKUP($C46,Segment!$AD$306:$AI$377,3,0)/1000</f>
        <v>-81267.005999999994</v>
      </c>
      <c r="BB46" s="38">
        <f>VLOOKUP($C46,Segment!$AK$306:$AP$377,3,0)/1000</f>
        <v>-82938.331000000006</v>
      </c>
      <c r="BC46" s="38">
        <f>VLOOKUP($C46,Segment!$I$383:$N$454,3,0)/1000</f>
        <v>-88339.467000000004</v>
      </c>
      <c r="BD46" s="38">
        <f>VLOOKUP($C46,Segment!$P$383:$U$454,3,0)/1000</f>
        <v>-90720.733999999997</v>
      </c>
      <c r="BE46" s="38">
        <f>VLOOKUP($C46,Segment!$AD$383:$AI$454,3,0)/1000</f>
        <v>-122152.325</v>
      </c>
      <c r="BF46" s="38">
        <f>VLOOKUP($C46,Segment!$AK$383:$AP$454,3,0)/1000</f>
        <v>-176462.32699999999</v>
      </c>
      <c r="BG46" s="38">
        <f>VLOOKUP($C46,Segment!$I$460:$N$531,3,0)/1000</f>
        <v>-174254.16800000001</v>
      </c>
      <c r="BH46" s="38">
        <f>VLOOKUP($C46,Segment!$P$460:$U$531,3,0)/1000</f>
        <v>-163218.68</v>
      </c>
      <c r="BI46" s="38">
        <f>VLOOKUP($C46,Segment!$AD$460:$AI$531,3,0)/1000</f>
        <v>-188263.139</v>
      </c>
      <c r="BJ46" s="38">
        <f>VLOOKUP($C46,Segment!$AK$460:$AP$531,3,0)/1000</f>
        <v>-182904.008</v>
      </c>
      <c r="BL46" s="38"/>
      <c r="BM46" s="38">
        <f>VLOOKUP($C46,Segment!$AK$152:$AP$223,4,0)/1000</f>
        <v>0</v>
      </c>
      <c r="BN46" s="38">
        <f>VLOOKUP($C46,Segment!$I$229:$N$300,4,0)/1000</f>
        <v>0</v>
      </c>
      <c r="BO46" s="38">
        <f>VLOOKUP($C46,Segment!$P$229:$U$300,4,0)/1000</f>
        <v>0</v>
      </c>
      <c r="BP46" s="38">
        <f>VLOOKUP($C46,Segment!$AD$229:$AI$300,4,0)/1000</f>
        <v>0</v>
      </c>
      <c r="BQ46" s="38">
        <f>VLOOKUP($C46,Segment!$AK$229:$AP$300,4,0)/1000</f>
        <v>0</v>
      </c>
      <c r="BR46" s="38">
        <f>VLOOKUP($C46,Segment!$I$306:$N$377,4,0)/1000</f>
        <v>0</v>
      </c>
      <c r="BS46" s="38">
        <f>VLOOKUP($C46,Segment!$P$306:$U$377,4,0)/1000</f>
        <v>0</v>
      </c>
      <c r="BT46" s="38">
        <f>VLOOKUP($C46,Segment!$AD$306:$AI$377,4,0)/1000</f>
        <v>0</v>
      </c>
      <c r="BU46" s="38">
        <f>VLOOKUP($C46,Segment!$AK$306:$AP$377,4,0)/1000</f>
        <v>0</v>
      </c>
      <c r="BV46" s="38">
        <f>VLOOKUP($C46,Segment!$I$383:$N$454,4,0)/1000</f>
        <v>0</v>
      </c>
      <c r="BW46" s="38">
        <f>VLOOKUP($C46,Segment!$P$383:$U$454,4,0)/1000</f>
        <v>0</v>
      </c>
      <c r="BX46" s="38">
        <f>VLOOKUP($C46,Segment!$AD$383:$AI$454,4,0)/1000</f>
        <v>0</v>
      </c>
      <c r="BY46" s="38">
        <f>VLOOKUP($C46,Segment!$AK$383:$AP$454,4,0)/1000</f>
        <v>0</v>
      </c>
      <c r="BZ46" s="38">
        <f>VLOOKUP($C46,Segment!$I$460:$N$531,4,0)/1000</f>
        <v>0</v>
      </c>
      <c r="CA46" s="38">
        <f>VLOOKUP($C46,Segment!$P$460:$U$531,4,0)/1000</f>
        <v>0</v>
      </c>
      <c r="CB46" s="38">
        <f>VLOOKUP($C46,Segment!$AD$460:$AI$531,4,0)/1000</f>
        <v>0</v>
      </c>
      <c r="CC46" s="38">
        <f>VLOOKUP($C46,Segment!$AK$460:$AP$531,4,0)/1000</f>
        <v>0</v>
      </c>
      <c r="CE46" s="38"/>
      <c r="CF46" s="38">
        <f t="shared" ref="CF46:CV46" si="118">AT46+BM46</f>
        <v>-35163.660000000003</v>
      </c>
      <c r="CG46" s="38">
        <f t="shared" si="118"/>
        <v>-21840.516</v>
      </c>
      <c r="CH46" s="38">
        <f t="shared" si="118"/>
        <v>-32020.358</v>
      </c>
      <c r="CI46" s="38">
        <f t="shared" si="118"/>
        <v>-50984.317000000003</v>
      </c>
      <c r="CJ46" s="38">
        <f t="shared" si="118"/>
        <v>-54068.735999999997</v>
      </c>
      <c r="CK46" s="38">
        <f t="shared" si="118"/>
        <v>-58856.811000000002</v>
      </c>
      <c r="CL46" s="38">
        <f t="shared" si="118"/>
        <v>-64261.591</v>
      </c>
      <c r="CM46" s="38">
        <f t="shared" si="118"/>
        <v>-81267.005999999994</v>
      </c>
      <c r="CN46" s="38">
        <f t="shared" si="118"/>
        <v>-82938.331000000006</v>
      </c>
      <c r="CO46" s="38">
        <f t="shared" si="118"/>
        <v>-88339.467000000004</v>
      </c>
      <c r="CP46" s="38">
        <f t="shared" si="118"/>
        <v>-90720.733999999997</v>
      </c>
      <c r="CQ46" s="38">
        <f t="shared" si="118"/>
        <v>-122152.325</v>
      </c>
      <c r="CR46" s="38">
        <f t="shared" si="118"/>
        <v>-176462.32699999999</v>
      </c>
      <c r="CS46" s="38">
        <f t="shared" si="118"/>
        <v>-174254.16800000001</v>
      </c>
      <c r="CT46" s="38">
        <f t="shared" si="118"/>
        <v>-163218.68</v>
      </c>
      <c r="CU46" s="38">
        <f t="shared" si="118"/>
        <v>-188263.139</v>
      </c>
      <c r="CV46" s="38">
        <f t="shared" si="118"/>
        <v>-182904.008</v>
      </c>
      <c r="CY46" s="38"/>
      <c r="CZ46" s="38">
        <f>VLOOKUP($C46,Segment!$AK$152:$AP$223,5,0)/1000</f>
        <v>0</v>
      </c>
      <c r="DA46" s="38">
        <f>VLOOKUP($C46,Segment!$I$229:$N$300,5,0)/1000</f>
        <v>0</v>
      </c>
      <c r="DB46" s="38">
        <f>VLOOKUP($C46,Segment!$P$229:$U$300,5,0)/1000</f>
        <v>0</v>
      </c>
      <c r="DC46" s="38">
        <f>VLOOKUP($C46,Segment!$AD$229:$AI$300,5,0)/1000</f>
        <v>0</v>
      </c>
      <c r="DD46" s="38">
        <f>VLOOKUP($C46,Segment!$AK$229:$AP$300,5,0)/1000</f>
        <v>0</v>
      </c>
      <c r="DE46" s="38">
        <f>VLOOKUP($C46,Segment!$I$306:$N$377,5,0)/1000</f>
        <v>0</v>
      </c>
      <c r="DF46" s="38">
        <f>VLOOKUP($C46,Segment!$P$306:$U$377,5,0)/1000</f>
        <v>0</v>
      </c>
      <c r="DG46" s="38">
        <f>VLOOKUP($C46,Segment!$AD$306:$AI$377,5,0)/1000</f>
        <v>0</v>
      </c>
      <c r="DH46" s="38">
        <f>VLOOKUP($C46,Segment!$AK$306:$AP$377,5,0)/1000</f>
        <v>0</v>
      </c>
      <c r="DI46" s="38">
        <f>VLOOKUP($C46,Segment!$I$383:$N$454,5,0)/1000</f>
        <v>0</v>
      </c>
      <c r="DJ46" s="38">
        <f>VLOOKUP($C46,Segment!$P$383:$U$454,5,0)/1000</f>
        <v>0</v>
      </c>
      <c r="DK46" s="38">
        <f>VLOOKUP($C46,Segment!$AD$383:$AI$454,5,0)/1000</f>
        <v>0</v>
      </c>
      <c r="DL46" s="38">
        <f>VLOOKUP($C46,Segment!$AK$383:$AP$454,5,0)/1000</f>
        <v>0</v>
      </c>
      <c r="DM46" s="38">
        <f>VLOOKUP($C46,Segment!$I$460:$N$531,5,0)/1000</f>
        <v>0</v>
      </c>
      <c r="DN46" s="38">
        <f>VLOOKUP($C46,Segment!$P$460:$U$531,5,0)/1000</f>
        <v>0</v>
      </c>
      <c r="DO46" s="38">
        <f>VLOOKUP($C46,Segment!$AD$460:$AI$531,5,0)/1000</f>
        <v>0</v>
      </c>
      <c r="DP46" s="38">
        <f>VLOOKUP($C46,Segment!$AK$460:$AP$531,5,0)/1000</f>
        <v>0</v>
      </c>
    </row>
    <row r="47" spans="3:120" x14ac:dyDescent="0.3">
      <c r="C47" s="39" t="s">
        <v>62</v>
      </c>
      <c r="D47" s="109"/>
      <c r="E47" s="40"/>
      <c r="F47" s="40">
        <f t="shared" ref="F47:M47" si="119">-F46/F44</f>
        <v>0.74670273004199283</v>
      </c>
      <c r="G47" s="40">
        <f t="shared" si="119"/>
        <v>0.30378432890452944</v>
      </c>
      <c r="H47" s="40">
        <f t="shared" si="119"/>
        <v>0.45027412134529721</v>
      </c>
      <c r="I47" s="40">
        <f t="shared" si="119"/>
        <v>0.60040484444937214</v>
      </c>
      <c r="J47" s="40">
        <f t="shared" si="119"/>
        <v>0.6000255219336984</v>
      </c>
      <c r="K47" s="40">
        <f t="shared" si="119"/>
        <v>0.42626822319344604</v>
      </c>
      <c r="L47" s="40">
        <f t="shared" si="119"/>
        <v>0.49684567249860601</v>
      </c>
      <c r="M47" s="40">
        <f t="shared" si="119"/>
        <v>0.55504978543567829</v>
      </c>
      <c r="N47" s="40">
        <f t="shared" ref="N47:V47" si="120">-N46/N44</f>
        <v>0.57460323554826809</v>
      </c>
      <c r="O47" s="40">
        <f t="shared" si="120"/>
        <v>0.41842448957351319</v>
      </c>
      <c r="P47" s="40">
        <f t="shared" si="120"/>
        <v>0.43265569485437516</v>
      </c>
      <c r="Q47" s="40">
        <f t="shared" si="120"/>
        <v>0.53285835204649135</v>
      </c>
      <c r="R47" s="40">
        <f t="shared" si="120"/>
        <v>0.66623951659270741</v>
      </c>
      <c r="S47" s="40">
        <f t="shared" si="120"/>
        <v>0.47600987162674591</v>
      </c>
      <c r="T47" s="40">
        <f t="shared" si="120"/>
        <v>0.48750519778022111</v>
      </c>
      <c r="U47" s="40">
        <f t="shared" si="120"/>
        <v>0.56961933727193148</v>
      </c>
      <c r="V47" s="40">
        <f t="shared" si="120"/>
        <v>0.57345651252091034</v>
      </c>
      <c r="W47" s="169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169"/>
      <c r="AS47" s="40"/>
      <c r="AT47" s="40">
        <f t="shared" ref="AT47:BA47" si="121">-AT46/AT44</f>
        <v>0.74670273004199283</v>
      </c>
      <c r="AU47" s="40">
        <f t="shared" si="121"/>
        <v>0.30378432890452944</v>
      </c>
      <c r="AV47" s="40">
        <f t="shared" si="121"/>
        <v>0.45027412134529721</v>
      </c>
      <c r="AW47" s="40">
        <f t="shared" si="121"/>
        <v>0.60040484444937214</v>
      </c>
      <c r="AX47" s="40">
        <f t="shared" si="121"/>
        <v>0.6000255219336984</v>
      </c>
      <c r="AY47" s="40">
        <f t="shared" si="121"/>
        <v>0.42626822319344604</v>
      </c>
      <c r="AZ47" s="40">
        <f t="shared" si="121"/>
        <v>0.49684567249860601</v>
      </c>
      <c r="BA47" s="40">
        <f t="shared" si="121"/>
        <v>0.55504978543567829</v>
      </c>
      <c r="BB47" s="40">
        <f t="shared" ref="BB47:BJ47" si="122">-BB46/BB44</f>
        <v>0.57460323554826809</v>
      </c>
      <c r="BC47" s="40">
        <f t="shared" si="122"/>
        <v>0.41842448957351319</v>
      </c>
      <c r="BD47" s="40">
        <f t="shared" si="122"/>
        <v>0.43265569485437516</v>
      </c>
      <c r="BE47" s="40">
        <f t="shared" si="122"/>
        <v>0.53285835204649135</v>
      </c>
      <c r="BF47" s="40">
        <f t="shared" si="122"/>
        <v>0.66623951659270741</v>
      </c>
      <c r="BG47" s="40">
        <f t="shared" si="122"/>
        <v>0.47600987162674591</v>
      </c>
      <c r="BH47" s="40">
        <f t="shared" si="122"/>
        <v>0.48750519778022111</v>
      </c>
      <c r="BI47" s="40">
        <f t="shared" si="122"/>
        <v>0.56961933727193148</v>
      </c>
      <c r="BJ47" s="40">
        <f t="shared" si="122"/>
        <v>0.57345651252091034</v>
      </c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E47" s="40"/>
      <c r="CF47" s="40">
        <f t="shared" ref="CF47:CM47" si="123">-CF46/CF44</f>
        <v>0.74670273004199283</v>
      </c>
      <c r="CG47" s="40">
        <f t="shared" si="123"/>
        <v>0.30378432890452944</v>
      </c>
      <c r="CH47" s="40">
        <f t="shared" si="123"/>
        <v>0.45027412134529721</v>
      </c>
      <c r="CI47" s="40">
        <f t="shared" si="123"/>
        <v>0.60040484444937214</v>
      </c>
      <c r="CJ47" s="40">
        <f t="shared" si="123"/>
        <v>0.6000255219336984</v>
      </c>
      <c r="CK47" s="40">
        <f t="shared" si="123"/>
        <v>0.42626822319344604</v>
      </c>
      <c r="CL47" s="40">
        <f t="shared" si="123"/>
        <v>0.49684567249860601</v>
      </c>
      <c r="CM47" s="40">
        <f t="shared" si="123"/>
        <v>0.55504978543567829</v>
      </c>
      <c r="CN47" s="40">
        <f t="shared" ref="CN47:CV47" si="124">-CN46/CN44</f>
        <v>0.57460323554826809</v>
      </c>
      <c r="CO47" s="40">
        <f t="shared" si="124"/>
        <v>0.41842448957351319</v>
      </c>
      <c r="CP47" s="40">
        <f t="shared" si="124"/>
        <v>0.43265569485437516</v>
      </c>
      <c r="CQ47" s="40">
        <f t="shared" si="124"/>
        <v>0.53285835204649135</v>
      </c>
      <c r="CR47" s="40">
        <f t="shared" si="124"/>
        <v>0.66623951659270741</v>
      </c>
      <c r="CS47" s="40">
        <f t="shared" si="124"/>
        <v>0.47600987162674591</v>
      </c>
      <c r="CT47" s="40">
        <f t="shared" si="124"/>
        <v>0.48750519778022111</v>
      </c>
      <c r="CU47" s="40">
        <f t="shared" si="124"/>
        <v>0.56961933727193148</v>
      </c>
      <c r="CV47" s="40">
        <f t="shared" si="124"/>
        <v>0.57345651252091034</v>
      </c>
      <c r="CW47" s="169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</row>
    <row r="48" spans="3:120" x14ac:dyDescent="0.3">
      <c r="C48" s="36" t="s">
        <v>28</v>
      </c>
      <c r="D48" s="110">
        <v>15</v>
      </c>
      <c r="E48" s="42"/>
      <c r="F48" s="38">
        <f>VLOOKUP($C48,Segment!$AK$152:$AP$223,6,0)/1000</f>
        <v>-17699.7</v>
      </c>
      <c r="G48" s="38">
        <f>VLOOKUP($C48,Segment!$I$229:$N$300,6,0)/1000</f>
        <v>-23010.723999999998</v>
      </c>
      <c r="H48" s="38">
        <f>VLOOKUP($C48,Segment!$P$229:$U$300,6,0)/1000</f>
        <v>-28870.526000000002</v>
      </c>
      <c r="I48" s="38">
        <f>VLOOKUP($C48,Segment!$AD$229:$AI$300,6,0)/1000</f>
        <v>-27730.857</v>
      </c>
      <c r="J48" s="38">
        <f>VLOOKUP($C48,Segment!$AK$229:$AP$300,6,0)/1000</f>
        <v>-31982.891</v>
      </c>
      <c r="K48" s="38">
        <f>VLOOKUP($C48,Segment!$I$306:$N$377,6,0)/1000</f>
        <v>-46988.415000000001</v>
      </c>
      <c r="L48" s="38">
        <f>VLOOKUP($C48,Segment!$P$306:$U$377,6,0)/1000</f>
        <v>-40785.006999999998</v>
      </c>
      <c r="M48" s="38">
        <f>VLOOKUP($C48,Segment!$AD$306:$AI$377,6,0)/1000</f>
        <v>-41849.038999999997</v>
      </c>
      <c r="N48" s="203">
        <f>VLOOKUP($C48,Segment!$AK$306:$AP$377,6,0)/1000</f>
        <v>-45311.949000000001</v>
      </c>
      <c r="O48" s="203">
        <f>VLOOKUP($C48,Segment!$I$383:$N$454,6,0)/1000</f>
        <v>-72539.53</v>
      </c>
      <c r="P48" s="203">
        <f>VLOOKUP($C48,Segment!$P$383:$U$454,6,0)/1000</f>
        <v>-77112.141000000003</v>
      </c>
      <c r="Q48" s="203">
        <f>VLOOKUP($C48,Segment!$AD$383:$AI$454,6,0)/1000</f>
        <v>-71189.804000000004</v>
      </c>
      <c r="R48" s="203">
        <f>VLOOKUP($C48,Segment!$AK$383:$AP$454,6,0)/1000</f>
        <v>-68227.335999999996</v>
      </c>
      <c r="S48" s="203">
        <f>VLOOKUP($C48,Segment!$I$460:$N$531,6,0)/1000</f>
        <v>-140529.92300000001</v>
      </c>
      <c r="T48" s="203">
        <f>VLOOKUP($C48,Segment!$P$460:$U$531,6,0)/1000</f>
        <v>-94518.827000000005</v>
      </c>
      <c r="U48" s="203">
        <f>VLOOKUP($C48,Segment!$AD$460:$AI$531,6,0)/1000</f>
        <v>-127154.738</v>
      </c>
      <c r="V48" s="203">
        <f>VLOOKUP($C48,Segment!$AK$460:$AP$531,6,0)/1000</f>
        <v>-102811.942</v>
      </c>
      <c r="W48" s="132">
        <f t="shared" si="9"/>
        <v>0.50690248260609216</v>
      </c>
      <c r="X48" s="132"/>
      <c r="Y48" s="38"/>
      <c r="Z48" s="38">
        <f>VLOOKUP($C48,Segment!$AK$152:$AP$223,2,0)/1000</f>
        <v>0</v>
      </c>
      <c r="AA48" s="38">
        <f>VLOOKUP($C48,Segment!$I$229:$N$300,2,0)/1000</f>
        <v>0</v>
      </c>
      <c r="AB48" s="38">
        <f>VLOOKUP($C48,Segment!$P$229:$U$300,2,0)/1000</f>
        <v>0</v>
      </c>
      <c r="AC48" s="38">
        <f>VLOOKUP($C48,Segment!$AD$229:$AI$300,2,0)/1000</f>
        <v>0</v>
      </c>
      <c r="AD48" s="38">
        <f>VLOOKUP($C48,Segment!$AK$229:$AP$300,2,0)/1000</f>
        <v>0</v>
      </c>
      <c r="AE48" s="38">
        <f>VLOOKUP($C48,Segment!$I$306:$N$377,2,0)/1000</f>
        <v>0</v>
      </c>
      <c r="AF48" s="38">
        <f>VLOOKUP($C48,Segment!$P$306:$U$377,2,0)/1000</f>
        <v>0</v>
      </c>
      <c r="AG48" s="38">
        <f>VLOOKUP($C48,Segment!$AD$306:$AI$377,2,0)/1000</f>
        <v>0</v>
      </c>
      <c r="AH48" s="38">
        <f>VLOOKUP($C48,Segment!$AK$306:$AP$377,2,0)/1000</f>
        <v>0</v>
      </c>
      <c r="AI48" s="38">
        <f>VLOOKUP($C48,Segment!$I$383:$N$454,2,0)/1000</f>
        <v>0</v>
      </c>
      <c r="AJ48" s="38">
        <f>VLOOKUP($C48,Segment!$P$383:$U$454,2,0)/1000</f>
        <v>0</v>
      </c>
      <c r="AK48" s="38">
        <f>VLOOKUP($C48,Segment!$AD$383:$AI$454,2,0)/1000</f>
        <v>0</v>
      </c>
      <c r="AL48" s="38">
        <f>VLOOKUP($C48,Segment!$AK$383:$AP$454,2,0)/1000</f>
        <v>0</v>
      </c>
      <c r="AM48" s="38">
        <f>VLOOKUP($C48,Segment!$I$460:$N$531,2,0)/1000</f>
        <v>0</v>
      </c>
      <c r="AN48" s="38">
        <f>VLOOKUP($C48,Segment!$P$460:$U$531,2,0)/1000</f>
        <v>0</v>
      </c>
      <c r="AO48" s="38">
        <f>VLOOKUP($C48,Segment!$AD$460:$AI$531,2,0)/1000</f>
        <v>0</v>
      </c>
      <c r="AP48" s="38">
        <f>VLOOKUP($C48,Segment!$AK$460:$AP$531,2,0)/1000</f>
        <v>0</v>
      </c>
      <c r="AS48" s="38"/>
      <c r="AT48" s="38">
        <f>VLOOKUP($C48,Segment!$AK$152:$AP$223,3,0)/1000</f>
        <v>-17699.7</v>
      </c>
      <c r="AU48" s="38">
        <f>VLOOKUP($C48,Segment!$I$229:$N$300,3,0)/1000</f>
        <v>-23010.723999999998</v>
      </c>
      <c r="AV48" s="38">
        <f>VLOOKUP($C48,Segment!$P$229:$U$300,3,0)/1000</f>
        <v>-28870.526000000002</v>
      </c>
      <c r="AW48" s="38">
        <f>VLOOKUP($C48,Segment!$AD$229:$AI$300,3,0)/1000</f>
        <v>-27730.857</v>
      </c>
      <c r="AX48" s="38">
        <f>VLOOKUP($C48,Segment!$AK$229:$AP$300,3,0)/1000</f>
        <v>-31982.891</v>
      </c>
      <c r="AY48" s="38">
        <f>VLOOKUP($C48,Segment!$I$306:$N$377,3,0)/1000</f>
        <v>-46988.415000000001</v>
      </c>
      <c r="AZ48" s="38">
        <f>VLOOKUP($C48,Segment!$P$306:$U$377,3,0)/1000</f>
        <v>-40785.006999999998</v>
      </c>
      <c r="BA48" s="38">
        <f>VLOOKUP($C48,Segment!$AD$306:$AI$377,3,0)/1000</f>
        <v>-41849.038999999997</v>
      </c>
      <c r="BB48" s="38">
        <f>VLOOKUP($C48,Segment!$AK$306:$AP$377,3,0)/1000</f>
        <v>-45311.949000000001</v>
      </c>
      <c r="BC48" s="38">
        <f>VLOOKUP($C48,Segment!$I$383:$N$454,3,0)/1000</f>
        <v>-72539.53</v>
      </c>
      <c r="BD48" s="38">
        <f>VLOOKUP($C48,Segment!$P$383:$U$454,3,0)/1000</f>
        <v>-77112.141000000003</v>
      </c>
      <c r="BE48" s="38">
        <f>VLOOKUP($C48,Segment!$AD$383:$AI$454,3,0)/1000</f>
        <v>-71189.804000000004</v>
      </c>
      <c r="BF48" s="38">
        <f>VLOOKUP($C48,Segment!$AK$383:$AP$454,3,0)/1000</f>
        <v>-68227.335999999996</v>
      </c>
      <c r="BG48" s="38">
        <f>VLOOKUP($C48,Segment!$I$460:$N$531,3,0)/1000</f>
        <v>-140529.92300000001</v>
      </c>
      <c r="BH48" s="38">
        <f>VLOOKUP($C48,Segment!$P$460:$U$531,3,0)/1000</f>
        <v>-94518.827000000005</v>
      </c>
      <c r="BI48" s="38">
        <f>VLOOKUP($C48,Segment!$AD$460:$AI$531,3,0)/1000</f>
        <v>-127154.738</v>
      </c>
      <c r="BJ48" s="38">
        <f>VLOOKUP($C48,Segment!$AK$460:$AP$531,3,0)/1000</f>
        <v>-102811.942</v>
      </c>
      <c r="BL48" s="38"/>
      <c r="BM48" s="38">
        <f>VLOOKUP($C48,Segment!$AK$152:$AP$223,4,0)/1000</f>
        <v>0</v>
      </c>
      <c r="BN48" s="38">
        <f>VLOOKUP($C48,Segment!$I$229:$N$300,4,0)/1000</f>
        <v>0</v>
      </c>
      <c r="BO48" s="38">
        <f>VLOOKUP($C48,Segment!$P$229:$U$300,4,0)/1000</f>
        <v>0</v>
      </c>
      <c r="BP48" s="38">
        <f>VLOOKUP($C48,Segment!$AD$229:$AI$300,4,0)/1000</f>
        <v>0</v>
      </c>
      <c r="BQ48" s="38">
        <f>VLOOKUP($C48,Segment!$AK$229:$AP$300,4,0)/1000</f>
        <v>0</v>
      </c>
      <c r="BR48" s="38">
        <f>VLOOKUP($C48,Segment!$I$306:$N$377,4,0)/1000</f>
        <v>0</v>
      </c>
      <c r="BS48" s="38">
        <f>VLOOKUP($C48,Segment!$P$306:$U$377,4,0)/1000</f>
        <v>0</v>
      </c>
      <c r="BT48" s="38">
        <f>VLOOKUP($C48,Segment!$AD$306:$AI$377,4,0)/1000</f>
        <v>0</v>
      </c>
      <c r="BU48" s="38">
        <f>VLOOKUP($C48,Segment!$AK$306:$AP$377,4,0)/1000</f>
        <v>0</v>
      </c>
      <c r="BV48" s="38">
        <f>VLOOKUP($C48,Segment!$I$383:$N$454,4,0)/1000</f>
        <v>0</v>
      </c>
      <c r="BW48" s="38">
        <f>VLOOKUP($C48,Segment!$P$383:$U$454,4,0)/1000</f>
        <v>0</v>
      </c>
      <c r="BX48" s="38">
        <f>VLOOKUP($C48,Segment!$AD$383:$AI$454,4,0)/1000</f>
        <v>0</v>
      </c>
      <c r="BY48" s="38">
        <f>VLOOKUP($C48,Segment!$AK$383:$AP$454,4,0)/1000</f>
        <v>0</v>
      </c>
      <c r="BZ48" s="38">
        <f>VLOOKUP($C48,Segment!$I$460:$N$531,4,0)/1000</f>
        <v>0</v>
      </c>
      <c r="CA48" s="38">
        <f>VLOOKUP($C48,Segment!$P$460:$U$531,4,0)/1000</f>
        <v>0</v>
      </c>
      <c r="CB48" s="38">
        <f>VLOOKUP($C48,Segment!$AD$460:$AI$531,4,0)/1000</f>
        <v>0</v>
      </c>
      <c r="CC48" s="38">
        <f>VLOOKUP($C48,Segment!$AK$460:$AP$531,4,0)/1000</f>
        <v>0</v>
      </c>
      <c r="CE48" s="38"/>
      <c r="CF48" s="38">
        <f t="shared" ref="CF48:CV48" si="125">AT48+BM48</f>
        <v>-17699.7</v>
      </c>
      <c r="CG48" s="38">
        <f t="shared" si="125"/>
        <v>-23010.723999999998</v>
      </c>
      <c r="CH48" s="38">
        <f t="shared" si="125"/>
        <v>-28870.526000000002</v>
      </c>
      <c r="CI48" s="38">
        <f t="shared" si="125"/>
        <v>-27730.857</v>
      </c>
      <c r="CJ48" s="38">
        <f t="shared" si="125"/>
        <v>-31982.891</v>
      </c>
      <c r="CK48" s="38">
        <f t="shared" si="125"/>
        <v>-46988.415000000001</v>
      </c>
      <c r="CL48" s="38">
        <f t="shared" si="125"/>
        <v>-40785.006999999998</v>
      </c>
      <c r="CM48" s="38">
        <f t="shared" si="125"/>
        <v>-41849.038999999997</v>
      </c>
      <c r="CN48" s="38">
        <f t="shared" si="125"/>
        <v>-45311.949000000001</v>
      </c>
      <c r="CO48" s="38">
        <f t="shared" si="125"/>
        <v>-72539.53</v>
      </c>
      <c r="CP48" s="38">
        <f t="shared" si="125"/>
        <v>-77112.141000000003</v>
      </c>
      <c r="CQ48" s="38">
        <f t="shared" si="125"/>
        <v>-71189.804000000004</v>
      </c>
      <c r="CR48" s="38">
        <f t="shared" si="125"/>
        <v>-68227.335999999996</v>
      </c>
      <c r="CS48" s="38">
        <f t="shared" si="125"/>
        <v>-140529.92300000001</v>
      </c>
      <c r="CT48" s="38">
        <f t="shared" si="125"/>
        <v>-94518.827000000005</v>
      </c>
      <c r="CU48" s="38">
        <f t="shared" si="125"/>
        <v>-127154.738</v>
      </c>
      <c r="CV48" s="38">
        <f t="shared" si="125"/>
        <v>-102811.942</v>
      </c>
      <c r="CY48" s="38"/>
      <c r="CZ48" s="38">
        <f>VLOOKUP($C48,Segment!$AK$152:$AP$223,5,0)/1000</f>
        <v>0</v>
      </c>
      <c r="DA48" s="38">
        <f>VLOOKUP($C48,Segment!$I$229:$N$300,5,0)/1000</f>
        <v>0</v>
      </c>
      <c r="DB48" s="38">
        <f>VLOOKUP($C48,Segment!$P$229:$U$300,5,0)/1000</f>
        <v>0</v>
      </c>
      <c r="DC48" s="38">
        <f>VLOOKUP($C48,Segment!$AD$229:$AI$300,5,0)/1000</f>
        <v>0</v>
      </c>
      <c r="DD48" s="38">
        <f>VLOOKUP($C48,Segment!$AK$229:$AP$300,5,0)/1000</f>
        <v>0</v>
      </c>
      <c r="DE48" s="38">
        <f>VLOOKUP($C48,Segment!$I$306:$N$377,5,0)/1000</f>
        <v>0</v>
      </c>
      <c r="DF48" s="38">
        <f>VLOOKUP($C48,Segment!$P$306:$U$377,5,0)/1000</f>
        <v>0</v>
      </c>
      <c r="DG48" s="38">
        <f>VLOOKUP($C48,Segment!$AD$306:$AI$377,5,0)/1000</f>
        <v>0</v>
      </c>
      <c r="DH48" s="38">
        <f>VLOOKUP($C48,Segment!$AK$306:$AP$377,5,0)/1000</f>
        <v>0</v>
      </c>
      <c r="DI48" s="38">
        <f>VLOOKUP($C48,Segment!$I$383:$N$454,5,0)/1000</f>
        <v>0</v>
      </c>
      <c r="DJ48" s="38">
        <f>VLOOKUP($C48,Segment!$P$383:$U$454,5,0)/1000</f>
        <v>0</v>
      </c>
      <c r="DK48" s="38">
        <f>VLOOKUP($C48,Segment!$AD$383:$AI$454,5,0)/1000</f>
        <v>0</v>
      </c>
      <c r="DL48" s="38">
        <f>VLOOKUP($C48,Segment!$AK$383:$AP$454,5,0)/1000</f>
        <v>0</v>
      </c>
      <c r="DM48" s="38">
        <f>VLOOKUP($C48,Segment!$I$460:$N$531,5,0)/1000</f>
        <v>0</v>
      </c>
      <c r="DN48" s="38">
        <f>VLOOKUP($C48,Segment!$P$460:$U$531,5,0)/1000</f>
        <v>0</v>
      </c>
      <c r="DO48" s="38">
        <f>VLOOKUP($C48,Segment!$AD$460:$AI$531,5,0)/1000</f>
        <v>0</v>
      </c>
      <c r="DP48" s="38">
        <f>VLOOKUP($C48,Segment!$AK$460:$AP$531,5,0)/1000</f>
        <v>0</v>
      </c>
    </row>
    <row r="49" spans="3:120" x14ac:dyDescent="0.3">
      <c r="C49" s="39" t="s">
        <v>63</v>
      </c>
      <c r="D49" s="109"/>
      <c r="E49" s="40"/>
      <c r="F49" s="40">
        <f t="shared" ref="F49:M49" si="126">-F48/F44</f>
        <v>0.37585434254921873</v>
      </c>
      <c r="G49" s="40">
        <f t="shared" si="126"/>
        <v>0.32006099800697696</v>
      </c>
      <c r="H49" s="40">
        <f t="shared" si="126"/>
        <v>0.4059808053184964</v>
      </c>
      <c r="I49" s="40">
        <f t="shared" si="126"/>
        <v>0.3265659297452741</v>
      </c>
      <c r="J49" s="40">
        <f t="shared" si="126"/>
        <v>0.35492878666931638</v>
      </c>
      <c r="K49" s="40">
        <f t="shared" si="126"/>
        <v>0.34031181493550966</v>
      </c>
      <c r="L49" s="40">
        <f t="shared" si="126"/>
        <v>0.31533383963019762</v>
      </c>
      <c r="M49" s="40">
        <f t="shared" si="126"/>
        <v>0.28582694577968498</v>
      </c>
      <c r="N49" s="40">
        <f t="shared" ref="N49:V49" si="127">-N48/N44</f>
        <v>0.31392472202506838</v>
      </c>
      <c r="O49" s="40">
        <f t="shared" si="127"/>
        <v>0.34358726450265481</v>
      </c>
      <c r="P49" s="40">
        <f t="shared" si="127"/>
        <v>0.36775503763079737</v>
      </c>
      <c r="Q49" s="40">
        <f t="shared" si="127"/>
        <v>0.3105473566872568</v>
      </c>
      <c r="R49" s="40">
        <f t="shared" si="127"/>
        <v>0.2575946272942905</v>
      </c>
      <c r="S49" s="40">
        <f t="shared" si="127"/>
        <v>0.38388539783419406</v>
      </c>
      <c r="T49" s="40">
        <f t="shared" si="127"/>
        <v>0.28231094290549041</v>
      </c>
      <c r="U49" s="40">
        <f t="shared" si="127"/>
        <v>0.38472638868804837</v>
      </c>
      <c r="V49" s="40">
        <f t="shared" si="127"/>
        <v>0.32234491933507603</v>
      </c>
      <c r="W49" s="169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169"/>
      <c r="AS49" s="40"/>
      <c r="AT49" s="40">
        <f t="shared" ref="AT49:BA49" si="128">-AT48/AT44</f>
        <v>0.37585434254921873</v>
      </c>
      <c r="AU49" s="40">
        <f t="shared" si="128"/>
        <v>0.32006099800697696</v>
      </c>
      <c r="AV49" s="40">
        <f t="shared" si="128"/>
        <v>0.4059808053184964</v>
      </c>
      <c r="AW49" s="40">
        <f t="shared" si="128"/>
        <v>0.3265659297452741</v>
      </c>
      <c r="AX49" s="40">
        <f t="shared" si="128"/>
        <v>0.35492878666931638</v>
      </c>
      <c r="AY49" s="40">
        <f t="shared" si="128"/>
        <v>0.34031181493550966</v>
      </c>
      <c r="AZ49" s="40">
        <f t="shared" si="128"/>
        <v>0.31533383963019762</v>
      </c>
      <c r="BA49" s="40">
        <f t="shared" si="128"/>
        <v>0.28582694577968498</v>
      </c>
      <c r="BB49" s="40">
        <f t="shared" ref="BB49:BJ49" si="129">-BB48/BB44</f>
        <v>0.31392472202506838</v>
      </c>
      <c r="BC49" s="40">
        <f t="shared" si="129"/>
        <v>0.34358726450265481</v>
      </c>
      <c r="BD49" s="40">
        <f t="shared" si="129"/>
        <v>0.36775503763079737</v>
      </c>
      <c r="BE49" s="40">
        <f t="shared" si="129"/>
        <v>0.3105473566872568</v>
      </c>
      <c r="BF49" s="40">
        <f t="shared" si="129"/>
        <v>0.2575946272942905</v>
      </c>
      <c r="BG49" s="40">
        <f t="shared" si="129"/>
        <v>0.38388539783419406</v>
      </c>
      <c r="BH49" s="40">
        <f t="shared" si="129"/>
        <v>0.28231094290549041</v>
      </c>
      <c r="BI49" s="40">
        <f t="shared" si="129"/>
        <v>0.38472638868804837</v>
      </c>
      <c r="BJ49" s="40">
        <f t="shared" si="129"/>
        <v>0.32234491933507603</v>
      </c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E49" s="40"/>
      <c r="CF49" s="40">
        <f t="shared" ref="CF49:CM49" si="130">-CF48/CF44</f>
        <v>0.37585434254921873</v>
      </c>
      <c r="CG49" s="40">
        <f t="shared" si="130"/>
        <v>0.32006099800697696</v>
      </c>
      <c r="CH49" s="40">
        <f t="shared" si="130"/>
        <v>0.4059808053184964</v>
      </c>
      <c r="CI49" s="40">
        <f t="shared" si="130"/>
        <v>0.3265659297452741</v>
      </c>
      <c r="CJ49" s="40">
        <f t="shared" si="130"/>
        <v>0.35492878666931638</v>
      </c>
      <c r="CK49" s="40">
        <f t="shared" si="130"/>
        <v>0.34031181493550966</v>
      </c>
      <c r="CL49" s="40">
        <f t="shared" si="130"/>
        <v>0.31533383963019762</v>
      </c>
      <c r="CM49" s="40">
        <f t="shared" si="130"/>
        <v>0.28582694577968498</v>
      </c>
      <c r="CN49" s="40">
        <f t="shared" ref="CN49:CV49" si="131">-CN48/CN44</f>
        <v>0.31392472202506838</v>
      </c>
      <c r="CO49" s="40">
        <f t="shared" si="131"/>
        <v>0.34358726450265481</v>
      </c>
      <c r="CP49" s="40">
        <f t="shared" si="131"/>
        <v>0.36775503763079737</v>
      </c>
      <c r="CQ49" s="40">
        <f t="shared" si="131"/>
        <v>0.3105473566872568</v>
      </c>
      <c r="CR49" s="40">
        <f t="shared" si="131"/>
        <v>0.2575946272942905</v>
      </c>
      <c r="CS49" s="40">
        <f t="shared" si="131"/>
        <v>0.38388539783419406</v>
      </c>
      <c r="CT49" s="40">
        <f t="shared" si="131"/>
        <v>0.28231094290549041</v>
      </c>
      <c r="CU49" s="40">
        <f t="shared" si="131"/>
        <v>0.38472638868804837</v>
      </c>
      <c r="CV49" s="40">
        <f t="shared" si="131"/>
        <v>0.32234491933507603</v>
      </c>
      <c r="CW49" s="169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</row>
    <row r="50" spans="3:120" x14ac:dyDescent="0.3">
      <c r="C50" s="36" t="s">
        <v>29</v>
      </c>
      <c r="E50" s="42"/>
      <c r="F50" s="38">
        <f>VLOOKUP($C50,Segment!$AK$152:$AP$223,6,0)/1000</f>
        <v>1426.5719999999999</v>
      </c>
      <c r="G50" s="38">
        <f>VLOOKUP($C50,Segment!$I$229:$N$300,6,0)/1000</f>
        <v>1409.376</v>
      </c>
      <c r="H50" s="38">
        <f>VLOOKUP($C50,Segment!$P$229:$U$300,6,0)/1000</f>
        <v>1622.5440000000001</v>
      </c>
      <c r="I50" s="38">
        <f>VLOOKUP($C50,Segment!$AD$229:$AI$300,6,0)/1000</f>
        <v>1984.752</v>
      </c>
      <c r="J50" s="38">
        <f>VLOOKUP($C50,Segment!$AK$229:$AP$300,6,0)/1000</f>
        <v>1999.0450000000001</v>
      </c>
      <c r="K50" s="38">
        <f>VLOOKUP($C50,Segment!$I$306:$N$377,6,0)/1000</f>
        <v>2573.1060000000002</v>
      </c>
      <c r="L50" s="38">
        <f>VLOOKUP($C50,Segment!$P$306:$U$377,6,0)/1000</f>
        <v>2201.799</v>
      </c>
      <c r="M50" s="38">
        <f>VLOOKUP($C50,Segment!$AD$306:$AI$377,6,0)/1000</f>
        <v>2467.252</v>
      </c>
      <c r="N50" s="203">
        <f>VLOOKUP($C50,Segment!$AK$306:$AP$377,6,0)/1000</f>
        <v>2331.2869999999998</v>
      </c>
      <c r="O50" s="203">
        <f>VLOOKUP($C50,Segment!$I$383:$N$454,6,0)/1000</f>
        <v>2496.163</v>
      </c>
      <c r="P50" s="203">
        <f>VLOOKUP($C50,Segment!$P$383:$U$454,6,0)/1000</f>
        <v>2511.3139999999999</v>
      </c>
      <c r="Q50" s="203">
        <f>VLOOKUP($C50,Segment!$AD$383:$AI$454,6,0)/1000</f>
        <v>2281.567</v>
      </c>
      <c r="R50" s="203">
        <f>VLOOKUP($C50,Segment!$AK$383:$AP$454,6,0)/1000</f>
        <v>2347.8539999999998</v>
      </c>
      <c r="S50" s="203">
        <f>VLOOKUP($C50,Segment!$I$460:$N$531,6,0)/1000</f>
        <v>2334.9879999999998</v>
      </c>
      <c r="T50" s="203">
        <f>VLOOKUP($C50,Segment!$P$460:$U$531,6,0)/1000</f>
        <v>3029.239</v>
      </c>
      <c r="U50" s="203">
        <f>VLOOKUP($C50,Segment!$AD$460:$AI$531,6,0)/1000</f>
        <v>3377.3040000000001</v>
      </c>
      <c r="V50" s="203">
        <f>VLOOKUP($C50,Segment!$AK$460:$AP$531,6,0)/1000</f>
        <v>3124.15</v>
      </c>
      <c r="W50" s="132">
        <f t="shared" si="9"/>
        <v>0.33064066164250439</v>
      </c>
      <c r="X50" s="132"/>
      <c r="Y50" s="38"/>
      <c r="Z50" s="38">
        <f>VLOOKUP($C50,Segment!$AK$152:$AP$223,2,0)/1000</f>
        <v>0</v>
      </c>
      <c r="AA50" s="38">
        <f>VLOOKUP($C50,Segment!$I$229:$N$300,2,0)/1000</f>
        <v>0</v>
      </c>
      <c r="AB50" s="38">
        <f>VLOOKUP($C50,Segment!$P$229:$U$300,2,0)/1000</f>
        <v>0</v>
      </c>
      <c r="AC50" s="38">
        <f>VLOOKUP($C50,Segment!$AD$229:$AI$300,2,0)/1000</f>
        <v>0</v>
      </c>
      <c r="AD50" s="38">
        <f>VLOOKUP($C50,Segment!$AK$229:$AP$300,2,0)/1000</f>
        <v>0</v>
      </c>
      <c r="AE50" s="38">
        <f>VLOOKUP($C50,Segment!$I$306:$N$377,2,0)/1000</f>
        <v>0</v>
      </c>
      <c r="AF50" s="38">
        <f>VLOOKUP($C50,Segment!$P$306:$U$377,2,0)/1000</f>
        <v>0</v>
      </c>
      <c r="AG50" s="38">
        <f>VLOOKUP($C50,Segment!$AD$306:$AI$377,2,0)/1000</f>
        <v>0</v>
      </c>
      <c r="AH50" s="38">
        <f>VLOOKUP($C50,Segment!$AK$306:$AP$377,2,0)/1000</f>
        <v>0</v>
      </c>
      <c r="AI50" s="38">
        <f>VLOOKUP($C50,Segment!$I$383:$N$454,2,0)/1000</f>
        <v>0</v>
      </c>
      <c r="AJ50" s="38">
        <f>VLOOKUP($C50,Segment!$P$383:$U$454,2,0)/1000</f>
        <v>0</v>
      </c>
      <c r="AK50" s="38">
        <f>VLOOKUP($C50,Segment!$AD$383:$AI$454,2,0)/1000</f>
        <v>0</v>
      </c>
      <c r="AL50" s="38">
        <f>VLOOKUP($C50,Segment!$AK$383:$AP$454,2,0)/1000</f>
        <v>0</v>
      </c>
      <c r="AM50" s="38">
        <f>VLOOKUP($C50,Segment!$I$460:$N$531,2,0)/1000</f>
        <v>0</v>
      </c>
      <c r="AN50" s="38">
        <f>VLOOKUP($C50,Segment!$P$460:$U$531,2,0)/1000</f>
        <v>0</v>
      </c>
      <c r="AO50" s="38">
        <f>VLOOKUP($C50,Segment!$AD$460:$AI$531,2,0)/1000</f>
        <v>0</v>
      </c>
      <c r="AP50" s="38">
        <f>VLOOKUP($C50,Segment!$AK$460:$AP$531,2,0)/1000</f>
        <v>0</v>
      </c>
      <c r="AS50" s="38"/>
      <c r="AT50" s="38">
        <f>VLOOKUP($C50,Segment!$AK$152:$AP$223,3,0)/1000</f>
        <v>1426.5719999999999</v>
      </c>
      <c r="AU50" s="38">
        <f>VLOOKUP($C50,Segment!$I$229:$N$300,3,0)/1000</f>
        <v>1409.376</v>
      </c>
      <c r="AV50" s="38">
        <f>VLOOKUP($C50,Segment!$P$229:$U$300,3,0)/1000</f>
        <v>1622.5440000000001</v>
      </c>
      <c r="AW50" s="38">
        <f>VLOOKUP($C50,Segment!$AD$229:$AI$300,3,0)/1000</f>
        <v>1984.752</v>
      </c>
      <c r="AX50" s="38">
        <f>VLOOKUP($C50,Segment!$AK$229:$AP$300,3,0)/1000</f>
        <v>1999.0450000000001</v>
      </c>
      <c r="AY50" s="38">
        <f>VLOOKUP($C50,Segment!$I$306:$N$377,3,0)/1000</f>
        <v>2573.1060000000002</v>
      </c>
      <c r="AZ50" s="38">
        <f>VLOOKUP($C50,Segment!$P$306:$U$377,3,0)/1000</f>
        <v>2201.799</v>
      </c>
      <c r="BA50" s="38">
        <f>VLOOKUP($C50,Segment!$AD$306:$AI$377,3,0)/1000</f>
        <v>2467.252</v>
      </c>
      <c r="BB50" s="38">
        <f>VLOOKUP($C50,Segment!$AK$306:$AP$377,3,0)/1000</f>
        <v>2331.2869999999998</v>
      </c>
      <c r="BC50" s="38">
        <f>VLOOKUP($C50,Segment!$I$383:$N$454,3,0)/1000</f>
        <v>2496.163</v>
      </c>
      <c r="BD50" s="38">
        <f>VLOOKUP($C50,Segment!$P$383:$U$454,3,0)/1000</f>
        <v>2511.3139999999999</v>
      </c>
      <c r="BE50" s="38">
        <f>VLOOKUP($C50,Segment!$AD$383:$AI$454,3,0)/1000</f>
        <v>2281.567</v>
      </c>
      <c r="BF50" s="38">
        <f>VLOOKUP($C50,Segment!$AK$383:$AP$454,3,0)/1000</f>
        <v>2347.8539999999998</v>
      </c>
      <c r="BG50" s="38">
        <f>VLOOKUP($C50,Segment!$I$460:$N$531,3,0)/1000</f>
        <v>2334.9879999999998</v>
      </c>
      <c r="BH50" s="38">
        <f>VLOOKUP($C50,Segment!$P$460:$U$531,3,0)/1000</f>
        <v>3029.239</v>
      </c>
      <c r="BI50" s="38">
        <f>VLOOKUP($C50,Segment!$AD$460:$AI$531,3,0)/1000</f>
        <v>3377.3040000000001</v>
      </c>
      <c r="BJ50" s="38">
        <f>VLOOKUP($C50,Segment!$AK$460:$AP$531,3,0)/1000</f>
        <v>3124.15</v>
      </c>
      <c r="BL50" s="38"/>
      <c r="BM50" s="38">
        <f>VLOOKUP($C50,Segment!$AK$152:$AP$223,4,0)/1000</f>
        <v>0</v>
      </c>
      <c r="BN50" s="38">
        <f>VLOOKUP($C50,Segment!$I$229:$N$300,4,0)/1000</f>
        <v>0</v>
      </c>
      <c r="BO50" s="38">
        <f>VLOOKUP($C50,Segment!$P$229:$U$300,4,0)/1000</f>
        <v>0</v>
      </c>
      <c r="BP50" s="38">
        <f>VLOOKUP($C50,Segment!$AD$229:$AI$300,4,0)/1000</f>
        <v>0</v>
      </c>
      <c r="BQ50" s="38">
        <f>VLOOKUP($C50,Segment!$AK$229:$AP$300,4,0)/1000</f>
        <v>0</v>
      </c>
      <c r="BR50" s="38">
        <f>VLOOKUP($C50,Segment!$I$306:$N$377,4,0)/1000</f>
        <v>0</v>
      </c>
      <c r="BS50" s="38">
        <f>VLOOKUP($C50,Segment!$P$306:$U$377,4,0)/1000</f>
        <v>0</v>
      </c>
      <c r="BT50" s="38">
        <f>VLOOKUP($C50,Segment!$AD$306:$AI$377,4,0)/1000</f>
        <v>0</v>
      </c>
      <c r="BU50" s="38">
        <f>VLOOKUP($C50,Segment!$AK$306:$AP$377,4,0)/1000</f>
        <v>0</v>
      </c>
      <c r="BV50" s="38">
        <f>VLOOKUP($C50,Segment!$I$383:$N$454,4,0)/1000</f>
        <v>0</v>
      </c>
      <c r="BW50" s="38">
        <f>VLOOKUP($C50,Segment!$P$383:$U$454,4,0)/1000</f>
        <v>0</v>
      </c>
      <c r="BX50" s="38">
        <f>VLOOKUP($C50,Segment!$AD$383:$AI$454,4,0)/1000</f>
        <v>0</v>
      </c>
      <c r="BY50" s="38">
        <f>VLOOKUP($C50,Segment!$AK$383:$AP$454,4,0)/1000</f>
        <v>0</v>
      </c>
      <c r="BZ50" s="38">
        <f>VLOOKUP($C50,Segment!$I$460:$N$531,4,0)/1000</f>
        <v>0</v>
      </c>
      <c r="CA50" s="38">
        <f>VLOOKUP($C50,Segment!$P$460:$U$531,4,0)/1000</f>
        <v>0</v>
      </c>
      <c r="CB50" s="38">
        <f>VLOOKUP($C50,Segment!$AD$460:$AI$531,4,0)/1000</f>
        <v>0</v>
      </c>
      <c r="CC50" s="38">
        <f>VLOOKUP($C50,Segment!$AK$460:$AP$531,4,0)/1000</f>
        <v>0</v>
      </c>
      <c r="CE50" s="38"/>
      <c r="CF50" s="38">
        <f t="shared" ref="CF50:CO51" si="132">AT50+BM50</f>
        <v>1426.5719999999999</v>
      </c>
      <c r="CG50" s="38">
        <f t="shared" si="132"/>
        <v>1409.376</v>
      </c>
      <c r="CH50" s="38">
        <f t="shared" si="132"/>
        <v>1622.5440000000001</v>
      </c>
      <c r="CI50" s="38">
        <f t="shared" si="132"/>
        <v>1984.752</v>
      </c>
      <c r="CJ50" s="38">
        <f t="shared" si="132"/>
        <v>1999.0450000000001</v>
      </c>
      <c r="CK50" s="38">
        <f t="shared" si="132"/>
        <v>2573.1060000000002</v>
      </c>
      <c r="CL50" s="38">
        <f t="shared" si="132"/>
        <v>2201.799</v>
      </c>
      <c r="CM50" s="38">
        <f t="shared" si="132"/>
        <v>2467.252</v>
      </c>
      <c r="CN50" s="38">
        <f t="shared" si="132"/>
        <v>2331.2869999999998</v>
      </c>
      <c r="CO50" s="38">
        <f t="shared" si="132"/>
        <v>2496.163</v>
      </c>
      <c r="CP50" s="38">
        <f t="shared" ref="CP50:CV51" si="133">BD50+BW50</f>
        <v>2511.3139999999999</v>
      </c>
      <c r="CQ50" s="38">
        <f t="shared" si="133"/>
        <v>2281.567</v>
      </c>
      <c r="CR50" s="38">
        <f t="shared" si="133"/>
        <v>2347.8539999999998</v>
      </c>
      <c r="CS50" s="38">
        <f t="shared" si="133"/>
        <v>2334.9879999999998</v>
      </c>
      <c r="CT50" s="38">
        <f t="shared" si="133"/>
        <v>3029.239</v>
      </c>
      <c r="CU50" s="38">
        <f t="shared" si="133"/>
        <v>3377.3040000000001</v>
      </c>
      <c r="CV50" s="38">
        <f t="shared" si="133"/>
        <v>3124.15</v>
      </c>
      <c r="CY50" s="38"/>
      <c r="CZ50" s="38">
        <f>VLOOKUP($C50,Segment!$AK$152:$AP$223,5,0)/1000</f>
        <v>0</v>
      </c>
      <c r="DA50" s="38">
        <f>VLOOKUP($C50,Segment!$I$229:$N$300,5,0)/1000</f>
        <v>0</v>
      </c>
      <c r="DB50" s="38">
        <f>VLOOKUP($C50,Segment!$P$229:$U$300,5,0)/1000</f>
        <v>0</v>
      </c>
      <c r="DC50" s="38">
        <f>VLOOKUP($C50,Segment!$AD$229:$AI$300,5,0)/1000</f>
        <v>0</v>
      </c>
      <c r="DD50" s="38">
        <f>VLOOKUP($C50,Segment!$AK$229:$AP$300,5,0)/1000</f>
        <v>0</v>
      </c>
      <c r="DE50" s="38">
        <f>VLOOKUP($C50,Segment!$I$306:$N$377,5,0)/1000</f>
        <v>0</v>
      </c>
      <c r="DF50" s="38">
        <f>VLOOKUP($C50,Segment!$P$306:$U$377,5,0)/1000</f>
        <v>0</v>
      </c>
      <c r="DG50" s="38">
        <f>VLOOKUP($C50,Segment!$AD$306:$AI$377,5,0)/1000</f>
        <v>0</v>
      </c>
      <c r="DH50" s="38">
        <f>VLOOKUP($C50,Segment!$AK$306:$AP$377,5,0)/1000</f>
        <v>0</v>
      </c>
      <c r="DI50" s="38">
        <f>VLOOKUP($C50,Segment!$I$383:$N$454,5,0)/1000</f>
        <v>0</v>
      </c>
      <c r="DJ50" s="38">
        <f>VLOOKUP($C50,Segment!$P$383:$U$454,5,0)/1000</f>
        <v>0</v>
      </c>
      <c r="DK50" s="38">
        <f>VLOOKUP($C50,Segment!$AD$383:$AI$454,5,0)/1000</f>
        <v>0</v>
      </c>
      <c r="DL50" s="38">
        <f>VLOOKUP($C50,Segment!$AK$383:$AP$454,5,0)/1000</f>
        <v>0</v>
      </c>
      <c r="DM50" s="38">
        <f>VLOOKUP($C50,Segment!$I$460:$N$531,5,0)/1000</f>
        <v>0</v>
      </c>
      <c r="DN50" s="38">
        <f>VLOOKUP($C50,Segment!$P$460:$U$531,5,0)/1000</f>
        <v>0</v>
      </c>
      <c r="DO50" s="38">
        <f>VLOOKUP($C50,Segment!$AD$460:$AI$531,5,0)/1000</f>
        <v>0</v>
      </c>
      <c r="DP50" s="38">
        <f>VLOOKUP($C50,Segment!$AK$460:$AP$531,5,0)/1000</f>
        <v>0</v>
      </c>
    </row>
    <row r="51" spans="3:120" x14ac:dyDescent="0.3">
      <c r="C51" s="36" t="s">
        <v>30</v>
      </c>
      <c r="E51" s="42"/>
      <c r="F51" s="38">
        <f>VLOOKUP($C51,Segment!$AK$152:$AP$223,6,0)/1000</f>
        <v>-438.36</v>
      </c>
      <c r="G51" s="38">
        <f>VLOOKUP($C51,Segment!$I$229:$N$300,6,0)/1000</f>
        <v>-126.982</v>
      </c>
      <c r="H51" s="38">
        <f>VLOOKUP($C51,Segment!$P$229:$U$300,6,0)/1000</f>
        <v>-420.03100000000001</v>
      </c>
      <c r="I51" s="38">
        <f>VLOOKUP($C51,Segment!$AD$229:$AI$300,6,0)/1000</f>
        <v>-405.18700000000001</v>
      </c>
      <c r="J51" s="38">
        <f>VLOOKUP($C51,Segment!$AK$229:$AP$300,6,0)/1000</f>
        <v>-1327.742</v>
      </c>
      <c r="K51" s="38">
        <f>VLOOKUP($C51,Segment!$I$306:$N$377,6,0)/1000</f>
        <v>-900.48199999999997</v>
      </c>
      <c r="L51" s="38">
        <f>VLOOKUP($C51,Segment!$P$306:$U$377,6,0)/1000</f>
        <v>-1660.835</v>
      </c>
      <c r="M51" s="38">
        <f>VLOOKUP($C51,Segment!$AD$306:$AI$377,6,0)/1000</f>
        <v>-1774.5550000000001</v>
      </c>
      <c r="N51" s="203">
        <f>VLOOKUP($C51,Segment!$AK$306:$AP$377,6,0)/1000</f>
        <v>-4349.5919999999996</v>
      </c>
      <c r="O51" s="203">
        <f>VLOOKUP($C51,Segment!$I$383:$N$454,6,0)/1000</f>
        <v>-3126.4609999999998</v>
      </c>
      <c r="P51" s="203">
        <f>VLOOKUP($C51,Segment!$P$383:$U$454,6,0)/1000</f>
        <v>-4734.8100000000004</v>
      </c>
      <c r="Q51" s="203">
        <f>VLOOKUP($C51,Segment!$AD$383:$AI$454,6,0)/1000</f>
        <v>-4903.6350000000002</v>
      </c>
      <c r="R51" s="203">
        <f>VLOOKUP($C51,Segment!$AK$383:$AP$454,6,0)/1000</f>
        <v>4703.6390000000001</v>
      </c>
      <c r="S51" s="203">
        <f>VLOOKUP($C51,Segment!$I$460:$N$531,6,0)/1000</f>
        <v>-692.26800000000003</v>
      </c>
      <c r="T51" s="203">
        <f>VLOOKUP($C51,Segment!$P$460:$U$531,6,0)/1000</f>
        <v>-10148.299999999999</v>
      </c>
      <c r="U51" s="203">
        <f>VLOOKUP($C51,Segment!$AD$460:$AI$531,6,0)/1000</f>
        <v>2061.6190000000001</v>
      </c>
      <c r="V51" s="203">
        <f>VLOOKUP($C51,Segment!$AK$460:$AP$531,6,0)/1000</f>
        <v>-397.15300000000002</v>
      </c>
      <c r="W51" s="132">
        <f t="shared" si="9"/>
        <v>-1.084435263845716</v>
      </c>
      <c r="X51" s="132"/>
      <c r="Y51" s="38"/>
      <c r="Z51" s="38">
        <f>VLOOKUP($C51,Segment!$AK$152:$AP$223,2,0)/1000</f>
        <v>0</v>
      </c>
      <c r="AA51" s="38">
        <f>VLOOKUP($C51,Segment!$I$229:$N$300,2,0)/1000</f>
        <v>0</v>
      </c>
      <c r="AB51" s="38">
        <f>VLOOKUP($C51,Segment!$P$229:$U$300,2,0)/1000</f>
        <v>0</v>
      </c>
      <c r="AC51" s="38">
        <f>VLOOKUP($C51,Segment!$AD$229:$AI$300,2,0)/1000</f>
        <v>0</v>
      </c>
      <c r="AD51" s="38">
        <f>VLOOKUP($C51,Segment!$AK$229:$AP$300,2,0)/1000</f>
        <v>0</v>
      </c>
      <c r="AE51" s="38">
        <f>VLOOKUP($C51,Segment!$I$306:$N$377,2,0)/1000</f>
        <v>0</v>
      </c>
      <c r="AF51" s="38">
        <f>VLOOKUP($C51,Segment!$P$306:$U$377,2,0)/1000</f>
        <v>0</v>
      </c>
      <c r="AG51" s="38">
        <f>VLOOKUP($C51,Segment!$AD$306:$AI$377,2,0)/1000</f>
        <v>0</v>
      </c>
      <c r="AH51" s="38">
        <f>VLOOKUP($C51,Segment!$AK$306:$AP$377,2,0)/1000</f>
        <v>0</v>
      </c>
      <c r="AI51" s="38">
        <f>VLOOKUP($C51,Segment!$I$383:$N$454,2,0)/1000</f>
        <v>0</v>
      </c>
      <c r="AJ51" s="38">
        <f>VLOOKUP($C51,Segment!$P$383:$U$454,2,0)/1000</f>
        <v>0</v>
      </c>
      <c r="AK51" s="38">
        <f>VLOOKUP($C51,Segment!$AD$383:$AI$454,2,0)/1000</f>
        <v>0</v>
      </c>
      <c r="AL51" s="38">
        <f>VLOOKUP($C51,Segment!$AK$383:$AP$454,2,0)/1000</f>
        <v>0</v>
      </c>
      <c r="AM51" s="38">
        <f>VLOOKUP($C51,Segment!$I$460:$N$531,2,0)/1000</f>
        <v>0</v>
      </c>
      <c r="AN51" s="38">
        <f>VLOOKUP($C51,Segment!$P$460:$U$531,2,0)/1000</f>
        <v>0</v>
      </c>
      <c r="AO51" s="38">
        <f>VLOOKUP($C51,Segment!$AD$460:$AI$531,2,0)/1000</f>
        <v>0</v>
      </c>
      <c r="AP51" s="38">
        <f>VLOOKUP($C51,Segment!$AK$460:$AP$531,2,0)/1000</f>
        <v>0</v>
      </c>
      <c r="AS51" s="38"/>
      <c r="AT51" s="38">
        <f>VLOOKUP($C51,Segment!$AK$152:$AP$223,3,0)/1000</f>
        <v>-438.36</v>
      </c>
      <c r="AU51" s="38">
        <f>VLOOKUP($C51,Segment!$I$229:$N$300,3,0)/1000</f>
        <v>-126.982</v>
      </c>
      <c r="AV51" s="38">
        <f>VLOOKUP($C51,Segment!$P$229:$U$300,3,0)/1000</f>
        <v>-420.03100000000001</v>
      </c>
      <c r="AW51" s="38">
        <f>VLOOKUP($C51,Segment!$AD$229:$AI$300,3,0)/1000</f>
        <v>-405.18700000000001</v>
      </c>
      <c r="AX51" s="38">
        <f>VLOOKUP($C51,Segment!$AK$229:$AP$300,3,0)/1000</f>
        <v>-1327.742</v>
      </c>
      <c r="AY51" s="38">
        <f>VLOOKUP($C51,Segment!$I$306:$N$377,3,0)/1000</f>
        <v>-900.48199999999997</v>
      </c>
      <c r="AZ51" s="38">
        <f>VLOOKUP($C51,Segment!$P$306:$U$377,3,0)/1000</f>
        <v>-1660.835</v>
      </c>
      <c r="BA51" s="38">
        <f>VLOOKUP($C51,Segment!$AD$306:$AI$377,3,0)/1000</f>
        <v>-1774.5550000000001</v>
      </c>
      <c r="BB51" s="38">
        <f>VLOOKUP($C51,Segment!$AK$306:$AP$377,3,0)/1000</f>
        <v>-4349.5919999999996</v>
      </c>
      <c r="BC51" s="38">
        <f>VLOOKUP($C51,Segment!$I$383:$N$454,3,0)/1000</f>
        <v>-3126.4609999999998</v>
      </c>
      <c r="BD51" s="38">
        <f>VLOOKUP($C51,Segment!$P$383:$U$454,3,0)/1000</f>
        <v>-4734.8100000000004</v>
      </c>
      <c r="BE51" s="38">
        <f>VLOOKUP($C51,Segment!$AD$383:$AI$454,3,0)/1000</f>
        <v>-4903.6350000000002</v>
      </c>
      <c r="BF51" s="38">
        <f>VLOOKUP($C51,Segment!$AK$383:$AP$454,3,0)/1000</f>
        <v>4703.6390000000001</v>
      </c>
      <c r="BG51" s="38">
        <f>VLOOKUP($C51,Segment!$I$460:$N$531,3,0)/1000</f>
        <v>-692.26800000000003</v>
      </c>
      <c r="BH51" s="38">
        <f>VLOOKUP($C51,Segment!$P$460:$U$531,3,0)/1000</f>
        <v>-10148.299999999999</v>
      </c>
      <c r="BI51" s="38">
        <f>VLOOKUP($C51,Segment!$AD$460:$AI$531,3,0)/1000</f>
        <v>2061.6190000000001</v>
      </c>
      <c r="BJ51" s="38">
        <f>VLOOKUP($C51,Segment!$AK$460:$AP$531,3,0)/1000</f>
        <v>-397.15300000000002</v>
      </c>
      <c r="BL51" s="38"/>
      <c r="BM51" s="38">
        <f>VLOOKUP($C51,Segment!$AK$152:$AP$223,4,0)/1000</f>
        <v>0</v>
      </c>
      <c r="BN51" s="38">
        <f>VLOOKUP($C51,Segment!$I$229:$N$300,4,0)/1000</f>
        <v>0</v>
      </c>
      <c r="BO51" s="38">
        <f>VLOOKUP($C51,Segment!$P$229:$U$300,4,0)/1000</f>
        <v>0</v>
      </c>
      <c r="BP51" s="38">
        <f>VLOOKUP($C51,Segment!$AD$229:$AI$300,4,0)/1000</f>
        <v>0</v>
      </c>
      <c r="BQ51" s="38">
        <f>VLOOKUP($C51,Segment!$AK$229:$AP$300,4,0)/1000</f>
        <v>0</v>
      </c>
      <c r="BR51" s="38">
        <f>VLOOKUP($C51,Segment!$I$306:$N$377,4,0)/1000</f>
        <v>0</v>
      </c>
      <c r="BS51" s="38">
        <f>VLOOKUP($C51,Segment!$P$306:$U$377,4,0)/1000</f>
        <v>0</v>
      </c>
      <c r="BT51" s="38">
        <f>VLOOKUP($C51,Segment!$AD$306:$AI$377,4,0)/1000</f>
        <v>0</v>
      </c>
      <c r="BU51" s="38">
        <f>VLOOKUP($C51,Segment!$AK$306:$AP$377,4,0)/1000</f>
        <v>0</v>
      </c>
      <c r="BV51" s="38">
        <f>VLOOKUP($C51,Segment!$I$383:$N$454,4,0)/1000</f>
        <v>0</v>
      </c>
      <c r="BW51" s="38">
        <f>VLOOKUP($C51,Segment!$P$383:$U$454,4,0)/1000</f>
        <v>0</v>
      </c>
      <c r="BX51" s="38">
        <f>VLOOKUP($C51,Segment!$AD$383:$AI$454,4,0)/1000</f>
        <v>0</v>
      </c>
      <c r="BY51" s="38">
        <f>VLOOKUP($C51,Segment!$AK$383:$AP$454,4,0)/1000</f>
        <v>0</v>
      </c>
      <c r="BZ51" s="38">
        <f>VLOOKUP($C51,Segment!$I$460:$N$531,4,0)/1000</f>
        <v>0</v>
      </c>
      <c r="CA51" s="38">
        <f>VLOOKUP($C51,Segment!$P$460:$U$531,4,0)/1000</f>
        <v>0</v>
      </c>
      <c r="CB51" s="38">
        <f>VLOOKUP($C51,Segment!$AD$460:$AI$531,4,0)/1000</f>
        <v>0</v>
      </c>
      <c r="CC51" s="38">
        <f>VLOOKUP($C51,Segment!$AK$460:$AP$531,4,0)/1000</f>
        <v>0</v>
      </c>
      <c r="CE51" s="38"/>
      <c r="CF51" s="38">
        <f t="shared" si="132"/>
        <v>-438.36</v>
      </c>
      <c r="CG51" s="38">
        <f t="shared" si="132"/>
        <v>-126.982</v>
      </c>
      <c r="CH51" s="38">
        <f t="shared" si="132"/>
        <v>-420.03100000000001</v>
      </c>
      <c r="CI51" s="38">
        <f t="shared" si="132"/>
        <v>-405.18700000000001</v>
      </c>
      <c r="CJ51" s="38">
        <f t="shared" si="132"/>
        <v>-1327.742</v>
      </c>
      <c r="CK51" s="38">
        <f t="shared" si="132"/>
        <v>-900.48199999999997</v>
      </c>
      <c r="CL51" s="38">
        <f t="shared" si="132"/>
        <v>-1660.835</v>
      </c>
      <c r="CM51" s="38">
        <f t="shared" si="132"/>
        <v>-1774.5550000000001</v>
      </c>
      <c r="CN51" s="38">
        <f t="shared" si="132"/>
        <v>-4349.5919999999996</v>
      </c>
      <c r="CO51" s="38">
        <f t="shared" si="132"/>
        <v>-3126.4609999999998</v>
      </c>
      <c r="CP51" s="38">
        <f t="shared" si="133"/>
        <v>-4734.8100000000004</v>
      </c>
      <c r="CQ51" s="38">
        <f t="shared" si="133"/>
        <v>-4903.6350000000002</v>
      </c>
      <c r="CR51" s="38">
        <f t="shared" si="133"/>
        <v>4703.6390000000001</v>
      </c>
      <c r="CS51" s="38">
        <f t="shared" si="133"/>
        <v>-692.26800000000003</v>
      </c>
      <c r="CT51" s="38">
        <f t="shared" si="133"/>
        <v>-10148.299999999999</v>
      </c>
      <c r="CU51" s="38">
        <f t="shared" si="133"/>
        <v>2061.6190000000001</v>
      </c>
      <c r="CV51" s="38">
        <f t="shared" si="133"/>
        <v>-397.15300000000002</v>
      </c>
      <c r="CY51" s="38"/>
      <c r="CZ51" s="38">
        <f>VLOOKUP($C51,Segment!$AK$152:$AP$223,5,0)/1000</f>
        <v>0</v>
      </c>
      <c r="DA51" s="38">
        <f>VLOOKUP($C51,Segment!$I$229:$N$300,5,0)/1000</f>
        <v>0</v>
      </c>
      <c r="DB51" s="38">
        <f>VLOOKUP($C51,Segment!$P$229:$U$300,5,0)/1000</f>
        <v>0</v>
      </c>
      <c r="DC51" s="38">
        <f>VLOOKUP($C51,Segment!$AD$229:$AI$300,5,0)/1000</f>
        <v>0</v>
      </c>
      <c r="DD51" s="38">
        <f>VLOOKUP($C51,Segment!$AK$229:$AP$300,5,0)/1000</f>
        <v>0</v>
      </c>
      <c r="DE51" s="38">
        <f>VLOOKUP($C51,Segment!$I$306:$N$377,5,0)/1000</f>
        <v>0</v>
      </c>
      <c r="DF51" s="38">
        <f>VLOOKUP($C51,Segment!$P$306:$U$377,5,0)/1000</f>
        <v>0</v>
      </c>
      <c r="DG51" s="38">
        <f>VLOOKUP($C51,Segment!$AD$306:$AI$377,5,0)/1000</f>
        <v>0</v>
      </c>
      <c r="DH51" s="38">
        <f>VLOOKUP($C51,Segment!$AK$306:$AP$377,5,0)/1000</f>
        <v>0</v>
      </c>
      <c r="DI51" s="38">
        <f>VLOOKUP($C51,Segment!$I$383:$N$454,5,0)/1000</f>
        <v>0</v>
      </c>
      <c r="DJ51" s="38">
        <f>VLOOKUP($C51,Segment!$P$383:$U$454,5,0)/1000</f>
        <v>0</v>
      </c>
      <c r="DK51" s="38">
        <f>VLOOKUP($C51,Segment!$AD$383:$AI$454,5,0)/1000</f>
        <v>0</v>
      </c>
      <c r="DL51" s="38">
        <f>VLOOKUP($C51,Segment!$AK$383:$AP$454,5,0)/1000</f>
        <v>0</v>
      </c>
      <c r="DM51" s="38">
        <f>VLOOKUP($C51,Segment!$I$460:$N$531,5,0)/1000</f>
        <v>0</v>
      </c>
      <c r="DN51" s="38">
        <f>VLOOKUP($C51,Segment!$P$460:$U$531,5,0)/1000</f>
        <v>0</v>
      </c>
      <c r="DO51" s="38">
        <f>VLOOKUP($C51,Segment!$AD$460:$AI$531,5,0)/1000</f>
        <v>0</v>
      </c>
      <c r="DP51" s="38">
        <f>VLOOKUP($C51,Segment!$AK$460:$AP$531,5,0)/1000</f>
        <v>0</v>
      </c>
    </row>
    <row r="52" spans="3:120" x14ac:dyDescent="0.3">
      <c r="C52" s="39" t="s">
        <v>71</v>
      </c>
      <c r="D52" s="109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169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169"/>
      <c r="AS52" s="40"/>
      <c r="AT52" s="40">
        <f t="shared" ref="AT52:BD52" si="134">-(AT50+AT51+AT72+AT73)/AT44</f>
        <v>0.23123949116273962</v>
      </c>
      <c r="AU52" s="40">
        <f t="shared" si="134"/>
        <v>0.22637192382515295</v>
      </c>
      <c r="AV52" s="40">
        <f t="shared" si="134"/>
        <v>0.14461792319584968</v>
      </c>
      <c r="AW52" s="40">
        <f t="shared" si="134"/>
        <v>0.13176440898192243</v>
      </c>
      <c r="AX52" s="40">
        <f t="shared" si="134"/>
        <v>0.14646289558844647</v>
      </c>
      <c r="AY52" s="40">
        <f t="shared" si="134"/>
        <v>0.1499277796163975</v>
      </c>
      <c r="AZ52" s="40">
        <f t="shared" si="134"/>
        <v>0.12302625675454866</v>
      </c>
      <c r="BA52" s="40">
        <f t="shared" si="134"/>
        <v>0.10954087393230086</v>
      </c>
      <c r="BB52" s="40">
        <f t="shared" si="134"/>
        <v>0.15171458086228992</v>
      </c>
      <c r="BC52" s="40">
        <f t="shared" si="134"/>
        <v>0.13259643255398929</v>
      </c>
      <c r="BD52" s="40">
        <f t="shared" si="134"/>
        <v>0.12295654403111919</v>
      </c>
      <c r="BE52" s="40">
        <f t="shared" ref="BE52:BJ52" si="135">-(BE50+BE51+BE72+BE73)/BE44</f>
        <v>0.12080299261164841</v>
      </c>
      <c r="BF52" s="40">
        <f t="shared" si="135"/>
        <v>8.0379151961826933E-2</v>
      </c>
      <c r="BG52" s="40">
        <f t="shared" si="135"/>
        <v>9.9163949156936743E-2</v>
      </c>
      <c r="BH52" s="40">
        <f t="shared" si="135"/>
        <v>0.11995286949681086</v>
      </c>
      <c r="BI52" s="40">
        <f t="shared" si="135"/>
        <v>9.3519727124875343E-2</v>
      </c>
      <c r="BJ52" s="40">
        <f t="shared" si="135"/>
        <v>0.12222385838903017</v>
      </c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169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</row>
    <row r="53" spans="3:120" x14ac:dyDescent="0.3">
      <c r="C53" s="43" t="s">
        <v>90</v>
      </c>
      <c r="D53" s="111"/>
      <c r="E53" s="44"/>
      <c r="F53" s="44">
        <f t="shared" ref="F53:M53" si="136">F44+F46+F48+F50+F51</f>
        <v>-4783.2350000000179</v>
      </c>
      <c r="G53" s="44">
        <f t="shared" si="136"/>
        <v>28325.962000000018</v>
      </c>
      <c r="H53" s="44">
        <f t="shared" si="136"/>
        <v>11424.660999999989</v>
      </c>
      <c r="I53" s="44">
        <f t="shared" si="136"/>
        <v>7780.9560000000001</v>
      </c>
      <c r="J53" s="44">
        <f t="shared" si="136"/>
        <v>4730.4029999999875</v>
      </c>
      <c r="K53" s="44">
        <f t="shared" si="136"/>
        <v>33901.990000000005</v>
      </c>
      <c r="L53" s="44">
        <f t="shared" si="136"/>
        <v>24833.503999999994</v>
      </c>
      <c r="M53" s="44">
        <f t="shared" si="136"/>
        <v>23990.55599999999</v>
      </c>
      <c r="N53" s="44">
        <f t="shared" ref="N53:V53" si="137">N44+N46+N48+N50+N51</f>
        <v>14071.588999999993</v>
      </c>
      <c r="O53" s="44">
        <f t="shared" si="137"/>
        <v>49614.740999999958</v>
      </c>
      <c r="P53" s="44">
        <f t="shared" si="137"/>
        <v>39627.068000000014</v>
      </c>
      <c r="Q53" s="44">
        <f t="shared" si="137"/>
        <v>33275.571000000011</v>
      </c>
      <c r="R53" s="44">
        <f t="shared" si="137"/>
        <v>27225.02500000002</v>
      </c>
      <c r="S53" s="44">
        <f t="shared" si="137"/>
        <v>52931.22199999998</v>
      </c>
      <c r="T53" s="44">
        <f t="shared" si="137"/>
        <v>69947.410999999993</v>
      </c>
      <c r="U53" s="44">
        <f t="shared" si="137"/>
        <v>20527.977000000046</v>
      </c>
      <c r="V53" s="44">
        <f t="shared" si="137"/>
        <v>35961.14</v>
      </c>
      <c r="W53" s="170">
        <f t="shared" si="9"/>
        <v>0.3208854720978207</v>
      </c>
      <c r="X53" s="132"/>
      <c r="Y53" s="44"/>
      <c r="Z53" s="44">
        <f t="shared" ref="Z53:AG53" si="138">Z44+Z46+Z48+Z50+Z51</f>
        <v>0</v>
      </c>
      <c r="AA53" s="44">
        <f t="shared" si="138"/>
        <v>0</v>
      </c>
      <c r="AB53" s="44">
        <f t="shared" si="138"/>
        <v>0</v>
      </c>
      <c r="AC53" s="44">
        <f t="shared" si="138"/>
        <v>0</v>
      </c>
      <c r="AD53" s="44">
        <f t="shared" si="138"/>
        <v>0</v>
      </c>
      <c r="AE53" s="44">
        <f t="shared" si="138"/>
        <v>0</v>
      </c>
      <c r="AF53" s="44">
        <f t="shared" si="138"/>
        <v>0</v>
      </c>
      <c r="AG53" s="44">
        <f t="shared" si="138"/>
        <v>0</v>
      </c>
      <c r="AH53" s="44">
        <f t="shared" ref="AH53:AP53" si="139">AH44+AH46+AH48+AH50+AH51</f>
        <v>0</v>
      </c>
      <c r="AI53" s="44">
        <f t="shared" si="139"/>
        <v>0</v>
      </c>
      <c r="AJ53" s="44">
        <f t="shared" si="139"/>
        <v>0</v>
      </c>
      <c r="AK53" s="44">
        <f t="shared" si="139"/>
        <v>0</v>
      </c>
      <c r="AL53" s="44">
        <f t="shared" si="139"/>
        <v>0</v>
      </c>
      <c r="AM53" s="44">
        <f t="shared" si="139"/>
        <v>0</v>
      </c>
      <c r="AN53" s="44">
        <f t="shared" si="139"/>
        <v>0</v>
      </c>
      <c r="AO53" s="44">
        <f t="shared" si="139"/>
        <v>0</v>
      </c>
      <c r="AP53" s="44">
        <f t="shared" si="139"/>
        <v>0</v>
      </c>
      <c r="AQ53" s="170"/>
      <c r="AR53" s="44"/>
      <c r="AS53" s="44"/>
      <c r="AT53" s="44">
        <f t="shared" ref="AT53:BA53" si="140">AT44+AT46+AT48+AT50+AT51</f>
        <v>-4783.2350000000179</v>
      </c>
      <c r="AU53" s="44">
        <f t="shared" si="140"/>
        <v>28325.962000000018</v>
      </c>
      <c r="AV53" s="44">
        <f t="shared" si="140"/>
        <v>11424.660999999989</v>
      </c>
      <c r="AW53" s="44">
        <f t="shared" si="140"/>
        <v>7780.9560000000001</v>
      </c>
      <c r="AX53" s="44">
        <f t="shared" si="140"/>
        <v>4730.4029999999875</v>
      </c>
      <c r="AY53" s="44">
        <f t="shared" si="140"/>
        <v>33901.990000000005</v>
      </c>
      <c r="AZ53" s="44">
        <f t="shared" si="140"/>
        <v>24833.503999999994</v>
      </c>
      <c r="BA53" s="44">
        <f t="shared" si="140"/>
        <v>23990.55599999999</v>
      </c>
      <c r="BB53" s="44">
        <f t="shared" ref="BB53:BJ53" si="141">BB44+BB46+BB48+BB50+BB51</f>
        <v>14071.588999999993</v>
      </c>
      <c r="BC53" s="44">
        <f t="shared" si="141"/>
        <v>49614.740999999958</v>
      </c>
      <c r="BD53" s="44">
        <f t="shared" si="141"/>
        <v>39627.068000000014</v>
      </c>
      <c r="BE53" s="44">
        <f t="shared" si="141"/>
        <v>33275.571000000011</v>
      </c>
      <c r="BF53" s="44">
        <f t="shared" si="141"/>
        <v>27225.02500000002</v>
      </c>
      <c r="BG53" s="44">
        <f t="shared" si="141"/>
        <v>52931.22199999998</v>
      </c>
      <c r="BH53" s="44">
        <f t="shared" si="141"/>
        <v>69947.410999999993</v>
      </c>
      <c r="BI53" s="44">
        <f t="shared" si="141"/>
        <v>20527.977000000046</v>
      </c>
      <c r="BJ53" s="44">
        <f t="shared" si="141"/>
        <v>35961.14</v>
      </c>
      <c r="BK53" s="44"/>
      <c r="BL53" s="44"/>
      <c r="BM53" s="44">
        <f t="shared" ref="BM53:BT53" si="142">BM44+BM46+BM48+BM50+BM51</f>
        <v>0</v>
      </c>
      <c r="BN53" s="44">
        <f t="shared" si="142"/>
        <v>0</v>
      </c>
      <c r="BO53" s="44">
        <f t="shared" si="142"/>
        <v>0</v>
      </c>
      <c r="BP53" s="44">
        <f t="shared" si="142"/>
        <v>0</v>
      </c>
      <c r="BQ53" s="44">
        <f t="shared" si="142"/>
        <v>0</v>
      </c>
      <c r="BR53" s="44">
        <f t="shared" si="142"/>
        <v>0</v>
      </c>
      <c r="BS53" s="44">
        <f t="shared" si="142"/>
        <v>0</v>
      </c>
      <c r="BT53" s="44">
        <f t="shared" si="142"/>
        <v>0</v>
      </c>
      <c r="BU53" s="44">
        <f t="shared" ref="BU53:CC53" si="143">BU44+BU46+BU48+BU50+BU51</f>
        <v>0</v>
      </c>
      <c r="BV53" s="44">
        <f t="shared" si="143"/>
        <v>0</v>
      </c>
      <c r="BW53" s="44">
        <f t="shared" si="143"/>
        <v>0</v>
      </c>
      <c r="BX53" s="44">
        <f t="shared" si="143"/>
        <v>0</v>
      </c>
      <c r="BY53" s="44">
        <f t="shared" si="143"/>
        <v>0</v>
      </c>
      <c r="BZ53" s="44">
        <f t="shared" si="143"/>
        <v>0</v>
      </c>
      <c r="CA53" s="44">
        <f t="shared" si="143"/>
        <v>0</v>
      </c>
      <c r="CB53" s="44">
        <f t="shared" si="143"/>
        <v>0</v>
      </c>
      <c r="CC53" s="44">
        <f t="shared" si="143"/>
        <v>0</v>
      </c>
      <c r="CD53" s="44"/>
      <c r="CE53" s="44"/>
      <c r="CF53" s="44">
        <f t="shared" ref="CF53:CM53" si="144">CF44+CF46+CF48+CF50+CF51</f>
        <v>-4783.2350000000179</v>
      </c>
      <c r="CG53" s="44">
        <f t="shared" si="144"/>
        <v>28325.962000000018</v>
      </c>
      <c r="CH53" s="44">
        <f t="shared" si="144"/>
        <v>11424.660999999989</v>
      </c>
      <c r="CI53" s="44">
        <f t="shared" si="144"/>
        <v>7780.9560000000001</v>
      </c>
      <c r="CJ53" s="44">
        <f t="shared" si="144"/>
        <v>4730.4029999999875</v>
      </c>
      <c r="CK53" s="44">
        <f t="shared" si="144"/>
        <v>33901.990000000005</v>
      </c>
      <c r="CL53" s="44">
        <f t="shared" si="144"/>
        <v>24833.503999999994</v>
      </c>
      <c r="CM53" s="44">
        <f t="shared" si="144"/>
        <v>23990.55599999999</v>
      </c>
      <c r="CN53" s="44">
        <f t="shared" ref="CN53:CV53" si="145">CN44+CN46+CN48+CN50+CN51</f>
        <v>14071.588999999993</v>
      </c>
      <c r="CO53" s="44">
        <f t="shared" si="145"/>
        <v>49614.740999999958</v>
      </c>
      <c r="CP53" s="44">
        <f t="shared" si="145"/>
        <v>39627.068000000014</v>
      </c>
      <c r="CQ53" s="44">
        <f t="shared" si="145"/>
        <v>33275.571000000011</v>
      </c>
      <c r="CR53" s="44">
        <f t="shared" si="145"/>
        <v>27225.02500000002</v>
      </c>
      <c r="CS53" s="44">
        <f t="shared" si="145"/>
        <v>52931.22199999998</v>
      </c>
      <c r="CT53" s="44">
        <f t="shared" si="145"/>
        <v>69947.410999999993</v>
      </c>
      <c r="CU53" s="44">
        <f t="shared" si="145"/>
        <v>20527.977000000046</v>
      </c>
      <c r="CV53" s="44">
        <f t="shared" si="145"/>
        <v>35961.14</v>
      </c>
      <c r="CW53" s="170">
        <f>CV53/CR53-1</f>
        <v>0.3208854720978207</v>
      </c>
      <c r="CX53" s="146"/>
      <c r="CY53" s="44"/>
      <c r="CZ53" s="44">
        <f t="shared" ref="CZ53:DG53" si="146">CZ44+CZ46+CZ48+CZ50+CZ51</f>
        <v>0</v>
      </c>
      <c r="DA53" s="44">
        <f t="shared" si="146"/>
        <v>0</v>
      </c>
      <c r="DB53" s="44">
        <f t="shared" si="146"/>
        <v>0</v>
      </c>
      <c r="DC53" s="44">
        <f t="shared" si="146"/>
        <v>0</v>
      </c>
      <c r="DD53" s="44">
        <f t="shared" si="146"/>
        <v>0</v>
      </c>
      <c r="DE53" s="44">
        <f t="shared" si="146"/>
        <v>0</v>
      </c>
      <c r="DF53" s="44">
        <f t="shared" si="146"/>
        <v>0</v>
      </c>
      <c r="DG53" s="44">
        <f t="shared" si="146"/>
        <v>0</v>
      </c>
      <c r="DH53" s="44">
        <f t="shared" ref="DH53:DP53" si="147">DH44+DH46+DH48+DH50+DH51</f>
        <v>0</v>
      </c>
      <c r="DI53" s="44">
        <f t="shared" si="147"/>
        <v>0</v>
      </c>
      <c r="DJ53" s="44">
        <f t="shared" si="147"/>
        <v>0</v>
      </c>
      <c r="DK53" s="44">
        <f t="shared" si="147"/>
        <v>0</v>
      </c>
      <c r="DL53" s="44">
        <f t="shared" si="147"/>
        <v>0</v>
      </c>
      <c r="DM53" s="44">
        <f t="shared" si="147"/>
        <v>0</v>
      </c>
      <c r="DN53" s="44">
        <f t="shared" si="147"/>
        <v>0</v>
      </c>
      <c r="DO53" s="44">
        <f t="shared" si="147"/>
        <v>0</v>
      </c>
      <c r="DP53" s="44">
        <f t="shared" si="147"/>
        <v>0</v>
      </c>
    </row>
    <row r="54" spans="3:120" x14ac:dyDescent="0.3">
      <c r="C54" s="39" t="s">
        <v>72</v>
      </c>
      <c r="D54" s="109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169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169"/>
      <c r="AS54" s="40"/>
      <c r="AT54" s="40">
        <f t="shared" ref="AT54:BA54" si="148">AT47+AT49+AT52</f>
        <v>1.3537965637539511</v>
      </c>
      <c r="AU54" s="40">
        <f t="shared" si="148"/>
        <v>0.85021725073665932</v>
      </c>
      <c r="AV54" s="40">
        <f t="shared" si="148"/>
        <v>1.0008728498596433</v>
      </c>
      <c r="AW54" s="40">
        <f t="shared" si="148"/>
        <v>1.0587351831765686</v>
      </c>
      <c r="AX54" s="40">
        <f t="shared" si="148"/>
        <v>1.1014172041914612</v>
      </c>
      <c r="AY54" s="40">
        <f t="shared" si="148"/>
        <v>0.91650781774535317</v>
      </c>
      <c r="AZ54" s="40">
        <f t="shared" si="148"/>
        <v>0.93520576888335227</v>
      </c>
      <c r="BA54" s="40">
        <f t="shared" si="148"/>
        <v>0.95041760514766416</v>
      </c>
      <c r="BB54" s="40">
        <f t="shared" ref="BB54:BJ54" si="149">BB47+BB49+BB52</f>
        <v>1.0402425384356264</v>
      </c>
      <c r="BC54" s="40">
        <f t="shared" si="149"/>
        <v>0.89460818663015718</v>
      </c>
      <c r="BD54" s="40">
        <f t="shared" si="149"/>
        <v>0.9233672765162918</v>
      </c>
      <c r="BE54" s="40">
        <f t="shared" si="149"/>
        <v>0.96420870134539649</v>
      </c>
      <c r="BF54" s="40">
        <f t="shared" si="149"/>
        <v>1.0042132958488248</v>
      </c>
      <c r="BG54" s="40">
        <f t="shared" si="149"/>
        <v>0.95905921861787669</v>
      </c>
      <c r="BH54" s="40">
        <f t="shared" si="149"/>
        <v>0.88976901018252241</v>
      </c>
      <c r="BI54" s="40">
        <f t="shared" si="149"/>
        <v>1.0478654530848552</v>
      </c>
      <c r="BJ54" s="40">
        <f t="shared" si="149"/>
        <v>1.0180252902450166</v>
      </c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169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</row>
    <row r="55" spans="3:120" x14ac:dyDescent="0.3">
      <c r="C55" s="45"/>
      <c r="D55" s="112"/>
      <c r="E55" s="45"/>
      <c r="F55" s="45"/>
      <c r="G55" s="45"/>
      <c r="H55" s="45"/>
      <c r="I55" s="45"/>
      <c r="J55" s="45"/>
      <c r="K55" s="45"/>
      <c r="L55" s="45"/>
      <c r="M55" s="45"/>
      <c r="N55" s="172"/>
      <c r="O55" s="172"/>
      <c r="P55" s="172"/>
      <c r="Q55" s="172"/>
      <c r="R55" s="172"/>
      <c r="S55" s="231"/>
      <c r="T55" s="231"/>
      <c r="U55" s="231"/>
      <c r="V55" s="231"/>
      <c r="W55" s="172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172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  <c r="CB55" s="45"/>
      <c r="CC55" s="45"/>
      <c r="CE55" s="45"/>
      <c r="CF55" s="45"/>
      <c r="CG55" s="45"/>
      <c r="CH55" s="45"/>
      <c r="CI55" s="45"/>
      <c r="CJ55" s="45"/>
      <c r="CK55" s="45"/>
      <c r="CL55" s="45"/>
      <c r="CM55" s="45"/>
      <c r="CN55" s="45"/>
      <c r="CO55" s="45"/>
      <c r="CP55" s="45"/>
      <c r="CQ55" s="45"/>
      <c r="CR55" s="45"/>
      <c r="CS55" s="45"/>
      <c r="CT55" s="45"/>
      <c r="CU55" s="45"/>
      <c r="CV55" s="45"/>
      <c r="CW55" s="172"/>
      <c r="CY55" s="45"/>
      <c r="CZ55" s="45"/>
      <c r="DA55" s="45"/>
      <c r="DB55" s="45"/>
      <c r="DC55" s="45"/>
      <c r="DD55" s="45"/>
      <c r="DE55" s="45"/>
      <c r="DF55" s="45"/>
      <c r="DG55" s="45"/>
      <c r="DH55" s="45"/>
      <c r="DI55" s="45"/>
      <c r="DJ55" s="45"/>
      <c r="DK55" s="45"/>
      <c r="DL55" s="45"/>
      <c r="DM55" s="45"/>
      <c r="DN55" s="45"/>
      <c r="DO55" s="45"/>
      <c r="DP55" s="45"/>
    </row>
    <row r="56" spans="3:120" x14ac:dyDescent="0.3">
      <c r="C56" s="46" t="s">
        <v>89</v>
      </c>
      <c r="D56" s="113"/>
      <c r="E56" s="47"/>
      <c r="F56" s="47">
        <f>VLOOKUP($C56,Segment!$AK$152:$AP$223,6,0)/1000</f>
        <v>10482.578</v>
      </c>
      <c r="G56" s="47">
        <f>VLOOKUP($C56,Segment!$I$229:$N$300,6,0)/1000</f>
        <v>10071.85</v>
      </c>
      <c r="H56" s="47">
        <f>VLOOKUP($C56,Segment!$P$229:$U$300,6,0)/1000</f>
        <v>10441.32935</v>
      </c>
      <c r="I56" s="47">
        <f>VLOOKUP($C56,Segment!$AD$229:$AI$300,6,0)/1000</f>
        <v>11830.472460000001</v>
      </c>
      <c r="J56" s="47">
        <f>VLOOKUP($C56,Segment!$AK$229:$AP$300,6,0)/1000</f>
        <v>12874.33322</v>
      </c>
      <c r="K56" s="47">
        <f>VLOOKUP($C56,Segment!$I$306:$N$377,6,0)/1000</f>
        <v>14472.061400000001</v>
      </c>
      <c r="L56" s="47">
        <f>VLOOKUP($C56,Segment!$P$306:$U$377,6,0)/1000</f>
        <v>14942.21745</v>
      </c>
      <c r="M56" s="47">
        <f>VLOOKUP($C56,Segment!$AD$306:$AI$377,6,0)/1000</f>
        <v>16724.496460000002</v>
      </c>
      <c r="N56" s="47">
        <f>VLOOKUP($C56,Segment!$AK$306:$AP$377,6,0)/1000</f>
        <v>18817.604640000001</v>
      </c>
      <c r="O56" s="47">
        <f>VLOOKUP($C56,Segment!$I$383:$N$454,6,0)/1000</f>
        <v>23650.032569999999</v>
      </c>
      <c r="P56" s="47">
        <f>VLOOKUP($C56,Segment!$P$383:$U$454,6,0)/1000</f>
        <v>29456.06338</v>
      </c>
      <c r="Q56" s="47">
        <f>VLOOKUP($C56,Segment!$AD$383:$AI$454,6,0)/1000</f>
        <v>37674.707990000003</v>
      </c>
      <c r="R56" s="47">
        <f>VLOOKUP($C56,Segment!$AK$383:$AP$454,6,0)/1000</f>
        <v>43486.401490000004</v>
      </c>
      <c r="S56" s="47">
        <f>VLOOKUP($C56,Segment!$I$460:$N$531,6,0)/1000</f>
        <v>50504.149700000002</v>
      </c>
      <c r="T56" s="47">
        <f>VLOOKUP($C56,Segment!$P$460:$U$531,6,0)/1000</f>
        <v>53838.204149999998</v>
      </c>
      <c r="U56" s="47">
        <f>VLOOKUP($C56,Segment!$AD$460:$AI$531,6,0)/1000</f>
        <v>57860.707350000004</v>
      </c>
      <c r="V56" s="47">
        <f>VLOOKUP($C56,Segment!$AK$460:$AP$531,6,0)/1000</f>
        <v>57553.907249999989</v>
      </c>
      <c r="W56" s="173">
        <f t="shared" si="9"/>
        <v>0.3234920636796057</v>
      </c>
      <c r="X56" s="132"/>
      <c r="Y56" s="47"/>
      <c r="Z56" s="47">
        <f>VLOOKUP($C56,Segment!$AK$152:$AP$223,2,0)/1000</f>
        <v>0</v>
      </c>
      <c r="AA56" s="47">
        <f>VLOOKUP($C56,Segment!$I$229:$N$300,2,0)/1000</f>
        <v>0</v>
      </c>
      <c r="AB56" s="47">
        <f>VLOOKUP($C56,Segment!$P$229:$U$300,2,0)/1000</f>
        <v>0</v>
      </c>
      <c r="AC56" s="47">
        <f>VLOOKUP($C56,Segment!$AD$229:$AI$300,2,0)/1000</f>
        <v>0</v>
      </c>
      <c r="AD56" s="47">
        <f>VLOOKUP($C56,Segment!$AK$229:$AP$300,2,0)/1000</f>
        <v>0</v>
      </c>
      <c r="AE56" s="47">
        <f>VLOOKUP($C56,Segment!$I$306:$N$377,2,0)/1000</f>
        <v>0</v>
      </c>
      <c r="AF56" s="47">
        <f>VLOOKUP($C56,Segment!$P$306:$U$377,2,0)/1000</f>
        <v>0</v>
      </c>
      <c r="AG56" s="47">
        <f>VLOOKUP($C56,Segment!$AD$306:$AI$377,2,0)/1000</f>
        <v>0</v>
      </c>
      <c r="AH56" s="47">
        <f>VLOOKUP($C56,Segment!$AK$306:$AP$377,2,0)/1000</f>
        <v>0</v>
      </c>
      <c r="AI56" s="47">
        <f>VLOOKUP($C56,Segment!$I$383:$N$454,2,0)/1000</f>
        <v>0</v>
      </c>
      <c r="AJ56" s="47">
        <f>VLOOKUP($C56,Segment!$P$383:$U$454,2,0)/1000</f>
        <v>0</v>
      </c>
      <c r="AK56" s="47">
        <f>VLOOKUP($C56,Segment!$AD$383:$AI$454,2,0)/1000</f>
        <v>0</v>
      </c>
      <c r="AL56" s="47">
        <f>VLOOKUP($C56,Segment!$AK$383:$AP$454,2,0)/1000</f>
        <v>0</v>
      </c>
      <c r="AM56" s="47">
        <f>VLOOKUP($C56,Segment!$I$460:$N$531,2,0)/1000</f>
        <v>0</v>
      </c>
      <c r="AN56" s="47">
        <f>VLOOKUP($C56,Segment!$P$460:$U$531,2,0)/1000</f>
        <v>0</v>
      </c>
      <c r="AO56" s="47">
        <f>VLOOKUP($C56,Segment!$AD$460:$AI$531,2,0)/1000</f>
        <v>0</v>
      </c>
      <c r="AP56" s="47">
        <f>VLOOKUP($C56,Segment!$AK$460:$AP$531,2,0)/1000</f>
        <v>0</v>
      </c>
      <c r="AQ56" s="173"/>
      <c r="AS56" s="47"/>
      <c r="AT56" s="47">
        <f>VLOOKUP($C56,Segment!$AK$152:$AP$223,3,0)/1000</f>
        <v>9941.48</v>
      </c>
      <c r="AU56" s="47">
        <f>VLOOKUP($C56,Segment!$I$229:$N$300,3,0)/1000</f>
        <v>9767.4930000000004</v>
      </c>
      <c r="AV56" s="47">
        <f>VLOOKUP($C56,Segment!$P$229:$U$300,3,0)/1000</f>
        <v>10085.465</v>
      </c>
      <c r="AW56" s="47">
        <f>VLOOKUP($C56,Segment!$AD$229:$AI$300,3,0)/1000</f>
        <v>11167.398999999999</v>
      </c>
      <c r="AX56" s="47">
        <f>VLOOKUP($C56,Segment!$AK$229:$AP$300,3,0)/1000</f>
        <v>11978.01</v>
      </c>
      <c r="AY56" s="47">
        <f>VLOOKUP($C56,Segment!$I$306:$N$377,3,0)/1000</f>
        <v>13474.441000000001</v>
      </c>
      <c r="AZ56" s="47">
        <f>VLOOKUP($C56,Segment!$P$306:$U$377,3,0)/1000</f>
        <v>14847.684999999999</v>
      </c>
      <c r="BA56" s="47">
        <f>VLOOKUP($C56,Segment!$AD$306:$AI$377,3,0)/1000</f>
        <v>16667.039000000001</v>
      </c>
      <c r="BB56" s="47">
        <f>VLOOKUP($C56,Segment!$AK$306:$AP$377,3,0)/1000</f>
        <v>18718.05</v>
      </c>
      <c r="BC56" s="47">
        <f>VLOOKUP($C56,Segment!$I$383:$N$454,3,0)/1000</f>
        <v>23385.85</v>
      </c>
      <c r="BD56" s="47">
        <f>VLOOKUP($C56,Segment!$P$383:$U$454,3,0)/1000</f>
        <v>29059.697</v>
      </c>
      <c r="BE56" s="47">
        <f>VLOOKUP($C56,Segment!$AD$383:$AI$454,3,0)/1000</f>
        <v>37316.438000000002</v>
      </c>
      <c r="BF56" s="47">
        <f>VLOOKUP($C56,Segment!$AK$383:$AP$454,3,0)/1000</f>
        <v>43243.065999999999</v>
      </c>
      <c r="BG56" s="47">
        <f>VLOOKUP($C56,Segment!$I$460:$N$531,3,0)/1000</f>
        <v>49707.248</v>
      </c>
      <c r="BH56" s="47">
        <f>VLOOKUP($C56,Segment!$P$460:$U$531,3,0)/1000</f>
        <v>52805.447999999997</v>
      </c>
      <c r="BI56" s="47">
        <f>VLOOKUP($C56,Segment!$AD$460:$AI$531,3,0)/1000</f>
        <v>55923.152999999998</v>
      </c>
      <c r="BJ56" s="47">
        <f>VLOOKUP($C56,Segment!$AK$460:$AP$531,3,0)/1000</f>
        <v>58974.167999999998</v>
      </c>
      <c r="BL56" s="47"/>
      <c r="BM56" s="47">
        <f>VLOOKUP($C56,Segment!$AK$152:$AP$223,4,0)/1000</f>
        <v>541.09799999999996</v>
      </c>
      <c r="BN56" s="47">
        <f>VLOOKUP($C56,Segment!$I$229:$N$300,4,0)/1000</f>
        <v>304.35700000000003</v>
      </c>
      <c r="BO56" s="47">
        <f>VLOOKUP($C56,Segment!$P$229:$U$300,4,0)/1000</f>
        <v>355.86435</v>
      </c>
      <c r="BP56" s="47">
        <f>VLOOKUP($C56,Segment!$AD$229:$AI$300,4,0)/1000</f>
        <v>663.07346000000007</v>
      </c>
      <c r="BQ56" s="47">
        <f>VLOOKUP($C56,Segment!$AK$229:$AP$300,4,0)/1000</f>
        <v>896.32322000000033</v>
      </c>
      <c r="BR56" s="47">
        <f>VLOOKUP($C56,Segment!$I$306:$N$377,4,0)/1000</f>
        <v>997.62040000000002</v>
      </c>
      <c r="BS56" s="47">
        <f>VLOOKUP($C56,Segment!$P$306:$U$377,4,0)/1000</f>
        <v>94.532449999999841</v>
      </c>
      <c r="BT56" s="47">
        <f>VLOOKUP($C56,Segment!$AD$306:$AI$377,4,0)/1000</f>
        <v>57.457460000000196</v>
      </c>
      <c r="BU56" s="47">
        <f>VLOOKUP($C56,Segment!$AK$306:$AP$377,4,0)/1000</f>
        <v>99.554639999999893</v>
      </c>
      <c r="BV56" s="47">
        <f>VLOOKUP($C56,Segment!$I$383:$N$454,4,0)/1000</f>
        <v>264.18257</v>
      </c>
      <c r="BW56" s="47">
        <f>VLOOKUP($C56,Segment!$P$383:$U$454,4,0)/1000</f>
        <v>396.36638000000005</v>
      </c>
      <c r="BX56" s="47">
        <f>VLOOKUP($C56,Segment!$AD$383:$AI$454,4,0)/1000</f>
        <v>358.26998999999989</v>
      </c>
      <c r="BY56" s="47">
        <f>VLOOKUP($C56,Segment!$AK$383:$AP$454,4,0)/1000</f>
        <v>243.33548999999999</v>
      </c>
      <c r="BZ56" s="47">
        <f>VLOOKUP($C56,Segment!$I$460:$N$531,4,0)/1000</f>
        <v>796.90170000000001</v>
      </c>
      <c r="CA56" s="47">
        <f>VLOOKUP($C56,Segment!$P$460:$U$531,4,0)/1000</f>
        <v>1032.7561500000002</v>
      </c>
      <c r="CB56" s="47">
        <f>VLOOKUP($C56,Segment!$AD$460:$AI$531,4,0)/1000</f>
        <v>1937.5543500000001</v>
      </c>
      <c r="CC56" s="47">
        <f>VLOOKUP($C56,Segment!$AK$460:$AP$531,4,0)/1000</f>
        <v>-1420.2607499999999</v>
      </c>
      <c r="CE56" s="47"/>
      <c r="CF56" s="47">
        <f t="shared" ref="CF56:CV56" si="150">AT56+BM56</f>
        <v>10482.578</v>
      </c>
      <c r="CG56" s="47">
        <f t="shared" si="150"/>
        <v>10071.85</v>
      </c>
      <c r="CH56" s="47">
        <f t="shared" si="150"/>
        <v>10441.32935</v>
      </c>
      <c r="CI56" s="47">
        <f t="shared" si="150"/>
        <v>11830.472459999999</v>
      </c>
      <c r="CJ56" s="47">
        <f t="shared" si="150"/>
        <v>12874.33322</v>
      </c>
      <c r="CK56" s="47">
        <f t="shared" si="150"/>
        <v>14472.061400000001</v>
      </c>
      <c r="CL56" s="47">
        <f t="shared" si="150"/>
        <v>14942.21745</v>
      </c>
      <c r="CM56" s="47">
        <f t="shared" si="150"/>
        <v>16724.496460000002</v>
      </c>
      <c r="CN56" s="47">
        <f t="shared" si="150"/>
        <v>18817.604639999998</v>
      </c>
      <c r="CO56" s="47">
        <f t="shared" si="150"/>
        <v>23650.032569999999</v>
      </c>
      <c r="CP56" s="47">
        <f t="shared" si="150"/>
        <v>29456.06338</v>
      </c>
      <c r="CQ56" s="47">
        <f t="shared" si="150"/>
        <v>37674.707990000003</v>
      </c>
      <c r="CR56" s="47">
        <f t="shared" si="150"/>
        <v>43486.401489999997</v>
      </c>
      <c r="CS56" s="47">
        <f t="shared" si="150"/>
        <v>50504.149700000002</v>
      </c>
      <c r="CT56" s="47">
        <f t="shared" si="150"/>
        <v>53838.204149999998</v>
      </c>
      <c r="CU56" s="47">
        <f t="shared" si="150"/>
        <v>57860.707349999997</v>
      </c>
      <c r="CV56" s="47">
        <f t="shared" si="150"/>
        <v>57553.907249999997</v>
      </c>
      <c r="CW56" s="173"/>
      <c r="CY56" s="47"/>
      <c r="CZ56" s="47">
        <f>VLOOKUP($C56,Segment!$AK$152:$AP$223,5,0)/1000</f>
        <v>0</v>
      </c>
      <c r="DA56" s="47">
        <f>VLOOKUP($C56,Segment!$I$229:$N$300,5,0)/1000</f>
        <v>0</v>
      </c>
      <c r="DB56" s="47">
        <f>VLOOKUP($C56,Segment!$P$229:$U$300,5,0)/1000</f>
        <v>0</v>
      </c>
      <c r="DC56" s="47">
        <f>VLOOKUP($C56,Segment!$AD$229:$AI$300,5,0)/1000</f>
        <v>0</v>
      </c>
      <c r="DD56" s="47">
        <f>VLOOKUP($C56,Segment!$AK$229:$AP$300,5,0)/1000</f>
        <v>0</v>
      </c>
      <c r="DE56" s="47">
        <f>VLOOKUP($C56,Segment!$I$306:$N$377,5,0)/1000</f>
        <v>0</v>
      </c>
      <c r="DF56" s="47">
        <f>VLOOKUP($C56,Segment!$P$306:$U$377,5,0)/1000</f>
        <v>0</v>
      </c>
      <c r="DG56" s="47">
        <f>VLOOKUP($C56,Segment!$AD$306:$AI$377,5,0)/1000</f>
        <v>0</v>
      </c>
      <c r="DH56" s="47">
        <f>VLOOKUP($C56,Segment!$AK$306:$AP$377,5,0)/1000</f>
        <v>0</v>
      </c>
      <c r="DI56" s="47">
        <f>VLOOKUP($C56,Segment!$I$383:$N$454,5,0)/1000</f>
        <v>0</v>
      </c>
      <c r="DJ56" s="47">
        <f>VLOOKUP($C56,Segment!$P$383:$U$454,5,0)/1000</f>
        <v>0</v>
      </c>
      <c r="DK56" s="47">
        <f>VLOOKUP($C56,Segment!$AD$383:$AI$454,5,0)/1000</f>
        <v>0</v>
      </c>
      <c r="DL56" s="47">
        <f>VLOOKUP($C56,Segment!$AK$383:$AP$454,5,0)/1000</f>
        <v>0</v>
      </c>
      <c r="DM56" s="47">
        <f>VLOOKUP($C56,Segment!$I$460:$N$531,5,0)/1000</f>
        <v>0</v>
      </c>
      <c r="DN56" s="47">
        <f>VLOOKUP($C56,Segment!$P$460:$U$531,5,0)/1000</f>
        <v>0</v>
      </c>
      <c r="DO56" s="47">
        <f>VLOOKUP($C56,Segment!$AD$460:$AI$531,5,0)/1000</f>
        <v>0</v>
      </c>
      <c r="DP56" s="47">
        <f>VLOOKUP($C56,Segment!$AK$460:$AP$531,5,0)/1000</f>
        <v>0</v>
      </c>
    </row>
    <row r="58" spans="3:120" x14ac:dyDescent="0.3">
      <c r="C58" s="36" t="s">
        <v>31</v>
      </c>
      <c r="D58" s="110">
        <v>16</v>
      </c>
      <c r="E58" s="42"/>
      <c r="F58" s="38">
        <f>VLOOKUP($C58,Segment!$AK$152:$AP$223,6,0)/1000</f>
        <v>7784.1440000000002</v>
      </c>
      <c r="G58" s="38">
        <f>VLOOKUP($C58,Segment!$I$229:$N$300,6,0)/1000</f>
        <v>8350.7260000000006</v>
      </c>
      <c r="H58" s="38">
        <f>VLOOKUP($C58,Segment!$P$229:$U$300,6,0)/1000</f>
        <v>8392.6128100000024</v>
      </c>
      <c r="I58" s="38">
        <f>VLOOKUP($C58,Segment!$AD$229:$AI$300,6,0)/1000</f>
        <v>13145.536669999994</v>
      </c>
      <c r="J58" s="38">
        <f>VLOOKUP($C58,Segment!$AK$229:$AP$300,6,0)/1000</f>
        <v>12181.320659999996</v>
      </c>
      <c r="K58" s="38">
        <f>VLOOKUP($C58,Segment!$I$306:$N$377,6,0)/1000</f>
        <v>10416.19182</v>
      </c>
      <c r="L58" s="38">
        <f>VLOOKUP($C58,Segment!$P$306:$U$377,6,0)/1000</f>
        <v>10046.672850000004</v>
      </c>
      <c r="M58" s="38">
        <f>VLOOKUP($C58,Segment!$AD$306:$AI$377,6,0)/1000</f>
        <v>11089.045460000001</v>
      </c>
      <c r="N58" s="203">
        <f>VLOOKUP($C58,Segment!$AK$306:$AP$377,6,0)/1000</f>
        <v>10560.725419999999</v>
      </c>
      <c r="O58" s="203">
        <f>VLOOKUP($C58,Segment!$I$383:$N$454,6,0)/1000</f>
        <v>10736.036636000003</v>
      </c>
      <c r="P58" s="203">
        <f>VLOOKUP($C58,Segment!$P$383:$U$454,6,0)/1000</f>
        <v>14329.306853999989</v>
      </c>
      <c r="Q58" s="203">
        <f>VLOOKUP($C58,Segment!$AD$383:$AI$454,6,0)/1000</f>
        <v>19325.053770000013</v>
      </c>
      <c r="R58" s="203">
        <f>VLOOKUP($C58,Segment!$AK$383:$AP$454,6,0)/1000</f>
        <v>60782.336000000003</v>
      </c>
      <c r="S58" s="203">
        <f>VLOOKUP($C58,Segment!$I$460:$N$531,6,0)/1000</f>
        <v>26873.230239999994</v>
      </c>
      <c r="T58" s="203">
        <f>VLOOKUP($C58,Segment!$P$460:$U$531,6,0)/1000</f>
        <v>27114.323859999993</v>
      </c>
      <c r="U58" s="203">
        <f>VLOOKUP($C58,Segment!$AD$460:$AI$531,6,0)/1000</f>
        <v>35273.449569999997</v>
      </c>
      <c r="V58" s="203">
        <f>VLOOKUP($C58,Segment!$AK$460:$AP$531,6,0)/1000</f>
        <v>47482.500500000024</v>
      </c>
      <c r="W58" s="132">
        <f t="shared" si="9"/>
        <v>-0.21881086472227684</v>
      </c>
      <c r="Y58" s="38"/>
      <c r="Z58" s="38">
        <f>VLOOKUP($C58,Segment!$AK$152:$AP$223,2,0)/1000</f>
        <v>0</v>
      </c>
      <c r="AA58" s="38">
        <f>VLOOKUP($C58,Segment!$I$229:$N$300,2,0)/1000</f>
        <v>0</v>
      </c>
      <c r="AB58" s="38">
        <f>VLOOKUP($C58,Segment!$P$229:$U$300,2,0)/1000</f>
        <v>0</v>
      </c>
      <c r="AC58" s="38">
        <f>VLOOKUP($C58,Segment!$AD$229:$AI$300,2,0)/1000</f>
        <v>0</v>
      </c>
      <c r="AD58" s="38">
        <f>VLOOKUP($C58,Segment!$AK$229:$AP$300,2,0)/1000</f>
        <v>0</v>
      </c>
      <c r="AE58" s="38">
        <f>VLOOKUP($C58,Segment!$I$306:$N$377,2,0)/1000</f>
        <v>0</v>
      </c>
      <c r="AF58" s="38">
        <f>VLOOKUP($C58,Segment!$P$306:$U$377,2,0)/1000</f>
        <v>0</v>
      </c>
      <c r="AG58" s="38">
        <f>VLOOKUP($C58,Segment!$AD$306:$AI$377,2,0)/1000</f>
        <v>0</v>
      </c>
      <c r="AH58" s="38">
        <f>VLOOKUP($C58,Segment!$AK$306:$AP$377,2,0)/1000</f>
        <v>0</v>
      </c>
      <c r="AI58" s="38">
        <f>VLOOKUP($C58,Segment!$I$383:$N$454,2,0)/1000</f>
        <v>0</v>
      </c>
      <c r="AJ58" s="38">
        <f>VLOOKUP($C58,Segment!$P$383:$U$454,2,0)/1000</f>
        <v>0</v>
      </c>
      <c r="AK58" s="38">
        <f>VLOOKUP($C58,Segment!$AD$383:$AI$454,2,0)/1000</f>
        <v>0</v>
      </c>
      <c r="AL58" s="38">
        <f>VLOOKUP($C58,Segment!$AK$383:$AP$454,2,0)/1000</f>
        <v>0</v>
      </c>
      <c r="AM58" s="38">
        <f>VLOOKUP($C58,Segment!$I$460:$N$531,2,0)/1000</f>
        <v>0</v>
      </c>
      <c r="AN58" s="38">
        <f>VLOOKUP($C58,Segment!$P$460:$U$531,2,0)/1000</f>
        <v>0</v>
      </c>
      <c r="AO58" s="38">
        <f>VLOOKUP($C58,Segment!$AD$460:$AI$531,2,0)/1000</f>
        <v>0</v>
      </c>
      <c r="AP58" s="38">
        <f>VLOOKUP($C58,Segment!$AK$460:$AP$531,2,0)/1000</f>
        <v>0</v>
      </c>
      <c r="AS58" s="38"/>
      <c r="AT58" s="38">
        <f>VLOOKUP($C58,Segment!$AK$152:$AP$223,3,0)/1000</f>
        <v>605.30399999999997</v>
      </c>
      <c r="AU58" s="38">
        <f>VLOOKUP($C58,Segment!$I$229:$N$300,3,0)/1000</f>
        <v>18.030999999999999</v>
      </c>
      <c r="AV58" s="38">
        <f>VLOOKUP($C58,Segment!$P$229:$U$300,3,0)/1000</f>
        <v>134.745</v>
      </c>
      <c r="AW58" s="38">
        <f>VLOOKUP($C58,Segment!$AD$229:$AI$300,3,0)/1000</f>
        <v>22.460999999999999</v>
      </c>
      <c r="AX58" s="38">
        <f>VLOOKUP($C58,Segment!$AK$229:$AP$300,3,0)/1000</f>
        <v>1047.9939999999999</v>
      </c>
      <c r="AY58" s="38">
        <f>VLOOKUP($C58,Segment!$I$306:$N$377,3,0)/1000</f>
        <v>136.51300000000001</v>
      </c>
      <c r="AZ58" s="38">
        <f>VLOOKUP($C58,Segment!$P$306:$U$377,3,0)/1000</f>
        <v>448.73099999999999</v>
      </c>
      <c r="BA58" s="38">
        <f>VLOOKUP($C58,Segment!$AD$306:$AI$377,3,0)/1000</f>
        <v>473.82</v>
      </c>
      <c r="BB58" s="38">
        <f>VLOOKUP($C58,Segment!$AK$306:$AP$377,3,0)/1000</f>
        <v>517.428</v>
      </c>
      <c r="BC58" s="38">
        <f>VLOOKUP($C58,Segment!$I$383:$N$454,3,0)/1000</f>
        <v>387.90100000000001</v>
      </c>
      <c r="BD58" s="38">
        <f>VLOOKUP($C58,Segment!$P$383:$U$454,3,0)/1000</f>
        <v>216.71199999999999</v>
      </c>
      <c r="BE58" s="38">
        <f>VLOOKUP($C58,Segment!$AD$383:$AI$454,3,0)/1000</f>
        <v>1282.925</v>
      </c>
      <c r="BF58" s="38">
        <f>VLOOKUP($C58,Segment!$AK$383:$AP$454,3,0)/1000</f>
        <v>1057.6220000000001</v>
      </c>
      <c r="BG58" s="38">
        <f>VLOOKUP($C58,Segment!$I$460:$N$531,3,0)/1000</f>
        <v>175.78</v>
      </c>
      <c r="BH58" s="38">
        <f>VLOOKUP($C58,Segment!$P$460:$U$531,3,0)/1000</f>
        <v>202.214</v>
      </c>
      <c r="BI58" s="38">
        <f>VLOOKUP($C58,Segment!$AD$460:$AI$531,3,0)/1000</f>
        <v>3143.3620000000001</v>
      </c>
      <c r="BJ58" s="38">
        <f>VLOOKUP($C58,Segment!$AK$460:$AP$531,3,0)/1000</f>
        <v>5166.3519999999999</v>
      </c>
      <c r="BL58" s="38"/>
      <c r="BM58" s="38">
        <f>VLOOKUP($C58,Segment!$AK$152:$AP$223,4,0)/1000</f>
        <v>7178.84</v>
      </c>
      <c r="BN58" s="38">
        <f>VLOOKUP($C58,Segment!$I$229:$N$300,4,0)/1000</f>
        <v>8332.6949999999997</v>
      </c>
      <c r="BO58" s="38">
        <f>VLOOKUP($C58,Segment!$P$229:$U$300,4,0)/1000</f>
        <v>8257.8678100000016</v>
      </c>
      <c r="BP58" s="38">
        <f>VLOOKUP($C58,Segment!$AD$229:$AI$300,4,0)/1000</f>
        <v>13123.075669999995</v>
      </c>
      <c r="BQ58" s="38">
        <f>VLOOKUP($C58,Segment!$AK$229:$AP$300,4,0)/1000</f>
        <v>11133.326659999997</v>
      </c>
      <c r="BR58" s="38">
        <f>VLOOKUP($C58,Segment!$I$306:$N$377,4,0)/1000</f>
        <v>10279.678820000001</v>
      </c>
      <c r="BS58" s="38">
        <f>VLOOKUP($C58,Segment!$P$306:$U$377,4,0)/1000</f>
        <v>9597.9418500000047</v>
      </c>
      <c r="BT58" s="38">
        <f>VLOOKUP($C58,Segment!$AD$306:$AI$377,4,0)/1000</f>
        <v>10615.225460000001</v>
      </c>
      <c r="BU58" s="38">
        <f>VLOOKUP($C58,Segment!$AK$306:$AP$377,4,0)/1000</f>
        <v>10043.297419999999</v>
      </c>
      <c r="BV58" s="38">
        <f>VLOOKUP($C58,Segment!$I$383:$N$454,4,0)/1000</f>
        <v>10348.135636000003</v>
      </c>
      <c r="BW58" s="38">
        <f>VLOOKUP($C58,Segment!$P$383:$U$454,4,0)/1000</f>
        <v>14112.59485399999</v>
      </c>
      <c r="BX58" s="38">
        <f>VLOOKUP($C58,Segment!$AD$383:$AI$454,4,0)/1000</f>
        <v>18042.128770000014</v>
      </c>
      <c r="BY58" s="38">
        <f>VLOOKUP($C58,Segment!$AK$383:$AP$454,4,0)/1000</f>
        <v>59724.714</v>
      </c>
      <c r="BZ58" s="38">
        <f>VLOOKUP($C58,Segment!$I$460:$N$531,4,0)/1000</f>
        <v>26697.450239999995</v>
      </c>
      <c r="CA58" s="38">
        <f>VLOOKUP($C58,Segment!$P$460:$U$531,4,0)/1000</f>
        <v>26912.109859999993</v>
      </c>
      <c r="CB58" s="38">
        <f>VLOOKUP($C58,Segment!$AD$460:$AI$531,4,0)/1000</f>
        <v>32130.08757</v>
      </c>
      <c r="CC58" s="38">
        <f>VLOOKUP($C58,Segment!$AK$460:$AP$531,4,0)/1000</f>
        <v>42316.148500000025</v>
      </c>
      <c r="CE58" s="38"/>
      <c r="CF58" s="38">
        <f t="shared" ref="CF58:CO59" si="151">AT58+BM58</f>
        <v>7784.1440000000002</v>
      </c>
      <c r="CG58" s="38">
        <f t="shared" si="151"/>
        <v>8350.7260000000006</v>
      </c>
      <c r="CH58" s="38">
        <f t="shared" si="151"/>
        <v>8392.6128100000024</v>
      </c>
      <c r="CI58" s="38">
        <f t="shared" si="151"/>
        <v>13145.536669999994</v>
      </c>
      <c r="CJ58" s="38">
        <f t="shared" si="151"/>
        <v>12181.320659999998</v>
      </c>
      <c r="CK58" s="38">
        <f t="shared" si="151"/>
        <v>10416.191820000002</v>
      </c>
      <c r="CL58" s="38">
        <f t="shared" si="151"/>
        <v>10046.672850000004</v>
      </c>
      <c r="CM58" s="38">
        <f t="shared" si="151"/>
        <v>11089.045460000001</v>
      </c>
      <c r="CN58" s="38">
        <f t="shared" si="151"/>
        <v>10560.725419999999</v>
      </c>
      <c r="CO58" s="38">
        <f t="shared" si="151"/>
        <v>10736.036636000003</v>
      </c>
      <c r="CP58" s="38">
        <f t="shared" ref="CP58:CV59" si="152">BD58+BW58</f>
        <v>14329.306853999989</v>
      </c>
      <c r="CQ58" s="38">
        <f t="shared" si="152"/>
        <v>19325.053770000013</v>
      </c>
      <c r="CR58" s="38">
        <f t="shared" si="152"/>
        <v>60782.336000000003</v>
      </c>
      <c r="CS58" s="38">
        <f t="shared" si="152"/>
        <v>26873.230239999994</v>
      </c>
      <c r="CT58" s="38">
        <f t="shared" si="152"/>
        <v>27114.323859999993</v>
      </c>
      <c r="CU58" s="38">
        <f t="shared" si="152"/>
        <v>35273.449569999997</v>
      </c>
      <c r="CV58" s="38">
        <f t="shared" si="152"/>
        <v>47482.500500000024</v>
      </c>
      <c r="CY58" s="38"/>
      <c r="CZ58" s="38">
        <f>VLOOKUP($C58,Segment!$AK$152:$AP$223,5,0)/1000</f>
        <v>0</v>
      </c>
      <c r="DA58" s="38">
        <f>VLOOKUP($C58,Segment!$I$229:$N$300,5,0)/1000</f>
        <v>0</v>
      </c>
      <c r="DB58" s="38">
        <f>VLOOKUP($C58,Segment!$P$229:$U$300,5,0)/1000</f>
        <v>0</v>
      </c>
      <c r="DC58" s="38">
        <f>VLOOKUP($C58,Segment!$AD$229:$AI$300,5,0)/1000</f>
        <v>0</v>
      </c>
      <c r="DD58" s="38">
        <f>VLOOKUP($C58,Segment!$AK$229:$AP$300,5,0)/1000</f>
        <v>0</v>
      </c>
      <c r="DE58" s="38">
        <f>VLOOKUP($C58,Segment!$I$306:$N$377,5,0)/1000</f>
        <v>0</v>
      </c>
      <c r="DF58" s="38">
        <f>VLOOKUP($C58,Segment!$P$306:$U$377,5,0)/1000</f>
        <v>0</v>
      </c>
      <c r="DG58" s="38">
        <f>VLOOKUP($C58,Segment!$AD$306:$AI$377,5,0)/1000</f>
        <v>0</v>
      </c>
      <c r="DH58" s="38">
        <f>VLOOKUP($C58,Segment!$AK$306:$AP$377,5,0)/1000</f>
        <v>0</v>
      </c>
      <c r="DI58" s="38">
        <f>VLOOKUP($C58,Segment!$I$383:$N$454,5,0)/1000</f>
        <v>0</v>
      </c>
      <c r="DJ58" s="38">
        <f>VLOOKUP($C58,Segment!$P$383:$U$454,5,0)/1000</f>
        <v>0</v>
      </c>
      <c r="DK58" s="38">
        <f>VLOOKUP($C58,Segment!$AD$383:$AI$454,5,0)/1000</f>
        <v>0</v>
      </c>
      <c r="DL58" s="38">
        <f>VLOOKUP($C58,Segment!$AK$383:$AP$454,5,0)/1000</f>
        <v>0</v>
      </c>
      <c r="DM58" s="38">
        <f>VLOOKUP($C58,Segment!$I$460:$N$531,5,0)/1000</f>
        <v>0</v>
      </c>
      <c r="DN58" s="38">
        <f>VLOOKUP($C58,Segment!$P$460:$U$531,5,0)/1000</f>
        <v>0</v>
      </c>
      <c r="DO58" s="38">
        <f>VLOOKUP($C58,Segment!$AD$460:$AI$531,5,0)/1000</f>
        <v>0</v>
      </c>
      <c r="DP58" s="38">
        <f>VLOOKUP($C58,Segment!$AK$460:$AP$531,5,0)/1000</f>
        <v>0</v>
      </c>
    </row>
    <row r="59" spans="3:120" x14ac:dyDescent="0.3">
      <c r="C59" s="36" t="s">
        <v>32</v>
      </c>
      <c r="D59" s="110">
        <v>17</v>
      </c>
      <c r="E59" s="42"/>
      <c r="F59" s="38">
        <f>VLOOKUP($C59,Segment!$AK$152:$AP$223,6,0)/1000</f>
        <v>-490.79599999999999</v>
      </c>
      <c r="G59" s="38">
        <f>VLOOKUP($C59,Segment!$I$229:$N$300,6,0)/1000</f>
        <v>-262.91500000000002</v>
      </c>
      <c r="H59" s="38">
        <f>VLOOKUP($C59,Segment!$P$229:$U$300,6,0)/1000</f>
        <v>-606.00528399999985</v>
      </c>
      <c r="I59" s="38">
        <f>VLOOKUP($C59,Segment!$AD$229:$AI$300,6,0)/1000</f>
        <v>-1039.0357300000001</v>
      </c>
      <c r="J59" s="38">
        <f>VLOOKUP($C59,Segment!$AK$229:$AP$300,6,0)/1000</f>
        <v>-2075.5690199999999</v>
      </c>
      <c r="K59" s="38">
        <f>VLOOKUP($C59,Segment!$I$306:$N$377,6,0)/1000</f>
        <v>-1929.2938200000003</v>
      </c>
      <c r="L59" s="38">
        <f>VLOOKUP($C59,Segment!$P$306:$U$377,6,0)/1000</f>
        <v>-2042.3360799999991</v>
      </c>
      <c r="M59" s="38">
        <f>VLOOKUP($C59,Segment!$AD$306:$AI$377,6,0)/1000</f>
        <v>-2181.8006500000006</v>
      </c>
      <c r="N59" s="203">
        <f>VLOOKUP($C59,Segment!$AK$306:$AP$377,6,0)/1000</f>
        <v>-2440.7139799999995</v>
      </c>
      <c r="O59" s="203">
        <f>VLOOKUP($C59,Segment!$I$383:$N$454,6,0)/1000</f>
        <v>-2744.8293749999998</v>
      </c>
      <c r="P59" s="203">
        <f>VLOOKUP($C59,Segment!$P$383:$U$454,6,0)/1000</f>
        <v>-10088.927992000001</v>
      </c>
      <c r="Q59" s="203">
        <f>VLOOKUP($C59,Segment!$AD$383:$AI$454,6,0)/1000</f>
        <v>-7127.695319999998</v>
      </c>
      <c r="R59" s="203">
        <f>VLOOKUP($C59,Segment!$AK$383:$AP$454,6,0)/1000</f>
        <v>-20569.741979999995</v>
      </c>
      <c r="S59" s="203">
        <f>VLOOKUP($C59,Segment!$I$460:$N$531,6,0)/1000</f>
        <v>-10025.804930000002</v>
      </c>
      <c r="T59" s="203">
        <f>VLOOKUP($C59,Segment!$P$460:$U$531,6,0)/1000</f>
        <v>-10046.916109999998</v>
      </c>
      <c r="U59" s="203">
        <f>VLOOKUP($C59,Segment!$AD$460:$AI$531,6,0)/1000</f>
        <v>-11913.31798</v>
      </c>
      <c r="V59" s="203">
        <f>VLOOKUP($C59,Segment!$AK$460:$AP$531,6,0)/1000</f>
        <v>-26085.998760000002</v>
      </c>
      <c r="W59" s="132">
        <f t="shared" si="9"/>
        <v>0.2681733580014507</v>
      </c>
      <c r="Y59" s="38"/>
      <c r="Z59" s="38">
        <f>VLOOKUP($C59,Segment!$AK$152:$AP$223,2,0)/1000</f>
        <v>0</v>
      </c>
      <c r="AA59" s="38">
        <f>VLOOKUP($C59,Segment!$I$229:$N$300,2,0)/1000</f>
        <v>0</v>
      </c>
      <c r="AB59" s="38">
        <f>VLOOKUP($C59,Segment!$P$229:$U$300,2,0)/1000</f>
        <v>0</v>
      </c>
      <c r="AC59" s="38">
        <f>VLOOKUP($C59,Segment!$AD$229:$AI$300,2,0)/1000</f>
        <v>0</v>
      </c>
      <c r="AD59" s="38">
        <f>VLOOKUP($C59,Segment!$AK$229:$AP$300,2,0)/1000</f>
        <v>0</v>
      </c>
      <c r="AE59" s="38">
        <f>VLOOKUP($C59,Segment!$I$306:$N$377,2,0)/1000</f>
        <v>0</v>
      </c>
      <c r="AF59" s="38">
        <f>VLOOKUP($C59,Segment!$P$306:$U$377,2,0)/1000</f>
        <v>0</v>
      </c>
      <c r="AG59" s="38">
        <f>VLOOKUP($C59,Segment!$AD$306:$AI$377,2,0)/1000</f>
        <v>0</v>
      </c>
      <c r="AH59" s="38">
        <f>VLOOKUP($C59,Segment!$AK$306:$AP$377,2,0)/1000</f>
        <v>0</v>
      </c>
      <c r="AI59" s="38">
        <f>VLOOKUP($C59,Segment!$I$383:$N$454,2,0)/1000</f>
        <v>0</v>
      </c>
      <c r="AJ59" s="38">
        <f>VLOOKUP($C59,Segment!$P$383:$U$454,2,0)/1000</f>
        <v>0</v>
      </c>
      <c r="AK59" s="38">
        <f>VLOOKUP($C59,Segment!$AD$383:$AI$454,2,0)/1000</f>
        <v>0</v>
      </c>
      <c r="AL59" s="38">
        <f>VLOOKUP($C59,Segment!$AK$383:$AP$454,2,0)/1000</f>
        <v>0</v>
      </c>
      <c r="AM59" s="38">
        <f>VLOOKUP($C59,Segment!$I$460:$N$531,2,0)/1000</f>
        <v>0</v>
      </c>
      <c r="AN59" s="38">
        <f>VLOOKUP($C59,Segment!$P$460:$U$531,2,0)/1000</f>
        <v>0</v>
      </c>
      <c r="AO59" s="38">
        <f>VLOOKUP($C59,Segment!$AD$460:$AI$531,2,0)/1000</f>
        <v>0</v>
      </c>
      <c r="AP59" s="38">
        <f>VLOOKUP($C59,Segment!$AK$460:$AP$531,2,0)/1000</f>
        <v>0</v>
      </c>
      <c r="AS59" s="38"/>
      <c r="AT59" s="38">
        <f>VLOOKUP($C59,Segment!$AK$152:$AP$223,3,0)/1000</f>
        <v>0</v>
      </c>
      <c r="AU59" s="38">
        <f>VLOOKUP($C59,Segment!$I$229:$N$300,3,0)/1000</f>
        <v>0</v>
      </c>
      <c r="AV59" s="38">
        <f>VLOOKUP($C59,Segment!$P$229:$U$300,3,0)/1000</f>
        <v>0</v>
      </c>
      <c r="AW59" s="38">
        <f>VLOOKUP($C59,Segment!$AD$229:$AI$300,3,0)/1000</f>
        <v>0</v>
      </c>
      <c r="AX59" s="38">
        <f>VLOOKUP($C59,Segment!$AK$229:$AP$300,3,0)/1000</f>
        <v>0</v>
      </c>
      <c r="AY59" s="38">
        <f>VLOOKUP($C59,Segment!$I$306:$N$377,3,0)/1000</f>
        <v>0</v>
      </c>
      <c r="AZ59" s="38">
        <f>VLOOKUP($C59,Segment!$P$306:$U$377,3,0)/1000</f>
        <v>0</v>
      </c>
      <c r="BA59" s="38">
        <f>VLOOKUP($C59,Segment!$AD$306:$AI$377,3,0)/1000</f>
        <v>0</v>
      </c>
      <c r="BB59" s="38">
        <f>VLOOKUP($C59,Segment!$AK$306:$AP$377,3,0)/1000</f>
        <v>0</v>
      </c>
      <c r="BC59" s="38">
        <f>VLOOKUP($C59,Segment!$I$383:$N$454,3,0)/1000</f>
        <v>0</v>
      </c>
      <c r="BD59" s="38">
        <f>VLOOKUP($C59,Segment!$P$383:$U$454,3,0)/1000</f>
        <v>0</v>
      </c>
      <c r="BE59" s="38">
        <f>VLOOKUP($C59,Segment!$AD$383:$AI$454,3,0)/1000</f>
        <v>0</v>
      </c>
      <c r="BF59" s="38">
        <f>VLOOKUP($C59,Segment!$AK$383:$AP$454,3,0)/1000</f>
        <v>0</v>
      </c>
      <c r="BG59" s="38">
        <f>VLOOKUP($C59,Segment!$I$460:$N$531,3,0)/1000</f>
        <v>0</v>
      </c>
      <c r="BH59" s="38">
        <f>VLOOKUP($C59,Segment!$P$460:$U$531,3,0)/1000</f>
        <v>0</v>
      </c>
      <c r="BI59" s="38">
        <f>VLOOKUP($C59,Segment!$AD$460:$AI$531,3,0)/1000</f>
        <v>0</v>
      </c>
      <c r="BJ59" s="38">
        <f>VLOOKUP($C59,Segment!$AK$460:$AP$531,3,0)/1000</f>
        <v>0</v>
      </c>
      <c r="BL59" s="38"/>
      <c r="BM59" s="38">
        <f>VLOOKUP($C59,Segment!$AK$152:$AP$223,4,0)/1000</f>
        <v>-490.79599999999999</v>
      </c>
      <c r="BN59" s="38">
        <f>VLOOKUP($C59,Segment!$I$229:$N$300,4,0)/1000</f>
        <v>-262.91500000000002</v>
      </c>
      <c r="BO59" s="38">
        <f>VLOOKUP($C59,Segment!$P$229:$U$300,4,0)/1000</f>
        <v>-606.00528399999985</v>
      </c>
      <c r="BP59" s="38">
        <f>VLOOKUP($C59,Segment!$AD$229:$AI$300,4,0)/1000</f>
        <v>-1039.0357300000001</v>
      </c>
      <c r="BQ59" s="38">
        <f>VLOOKUP($C59,Segment!$AK$229:$AP$300,4,0)/1000</f>
        <v>-2075.5690199999999</v>
      </c>
      <c r="BR59" s="38">
        <f>VLOOKUP($C59,Segment!$I$306:$N$377,4,0)/1000</f>
        <v>-1929.2938200000003</v>
      </c>
      <c r="BS59" s="38">
        <f>VLOOKUP($C59,Segment!$P$306:$U$377,4,0)/1000</f>
        <v>-2042.3360799999991</v>
      </c>
      <c r="BT59" s="38">
        <f>VLOOKUP($C59,Segment!$AD$306:$AI$377,4,0)/1000</f>
        <v>-2181.8006500000006</v>
      </c>
      <c r="BU59" s="38">
        <f>VLOOKUP($C59,Segment!$AK$306:$AP$377,4,0)/1000</f>
        <v>-2440.7139799999995</v>
      </c>
      <c r="BV59" s="38">
        <f>VLOOKUP($C59,Segment!$I$383:$N$454,4,0)/1000</f>
        <v>-2744.8293749999998</v>
      </c>
      <c r="BW59" s="220">
        <f>VLOOKUP($C59,Segment!$P$383:$U$454,4,0)/1000</f>
        <v>-10088.927992000001</v>
      </c>
      <c r="BX59" s="220">
        <f>VLOOKUP($C59,Segment!$AD$383:$AI$454,4,0)/1000</f>
        <v>-7127.695319999998</v>
      </c>
      <c r="BY59" s="220">
        <f>VLOOKUP($C59,Segment!$AK$383:$AP$454,4,0)/1000</f>
        <v>-20569.741979999995</v>
      </c>
      <c r="BZ59" s="220">
        <f>VLOOKUP($C59,Segment!$I$460:$N$531,4,0)/1000</f>
        <v>-10025.804930000002</v>
      </c>
      <c r="CA59" s="220">
        <f>VLOOKUP($C59,Segment!$P$460:$U$531,4,0)/1000</f>
        <v>-10046.916109999998</v>
      </c>
      <c r="CB59" s="220">
        <f>VLOOKUP($C59,Segment!$AD$460:$AI$531,4,0)/1000</f>
        <v>-11913.31798</v>
      </c>
      <c r="CC59" s="220">
        <f>VLOOKUP($C59,Segment!$AK$460:$AP$531,4,0)/1000</f>
        <v>-26085.998760000002</v>
      </c>
      <c r="CE59" s="38"/>
      <c r="CF59" s="38">
        <f t="shared" si="151"/>
        <v>-490.79599999999999</v>
      </c>
      <c r="CG59" s="38">
        <f t="shared" si="151"/>
        <v>-262.91500000000002</v>
      </c>
      <c r="CH59" s="38">
        <f t="shared" si="151"/>
        <v>-606.00528399999985</v>
      </c>
      <c r="CI59" s="38">
        <f t="shared" si="151"/>
        <v>-1039.0357300000001</v>
      </c>
      <c r="CJ59" s="38">
        <f t="shared" si="151"/>
        <v>-2075.5690199999999</v>
      </c>
      <c r="CK59" s="38">
        <f t="shared" si="151"/>
        <v>-1929.2938200000003</v>
      </c>
      <c r="CL59" s="38">
        <f t="shared" si="151"/>
        <v>-2042.3360799999991</v>
      </c>
      <c r="CM59" s="38">
        <f t="shared" si="151"/>
        <v>-2181.8006500000006</v>
      </c>
      <c r="CN59" s="38">
        <f t="shared" si="151"/>
        <v>-2440.7139799999995</v>
      </c>
      <c r="CO59" s="38">
        <f t="shared" si="151"/>
        <v>-2744.8293749999998</v>
      </c>
      <c r="CP59" s="38">
        <f t="shared" si="152"/>
        <v>-10088.927992000001</v>
      </c>
      <c r="CQ59" s="38">
        <f t="shared" si="152"/>
        <v>-7127.695319999998</v>
      </c>
      <c r="CR59" s="38">
        <f t="shared" si="152"/>
        <v>-20569.741979999995</v>
      </c>
      <c r="CS59" s="38">
        <f t="shared" si="152"/>
        <v>-10025.804930000002</v>
      </c>
      <c r="CT59" s="38">
        <f t="shared" si="152"/>
        <v>-10046.916109999998</v>
      </c>
      <c r="CU59" s="38">
        <f t="shared" si="152"/>
        <v>-11913.31798</v>
      </c>
      <c r="CV59" s="38">
        <f t="shared" si="152"/>
        <v>-26085.998760000002</v>
      </c>
      <c r="CY59" s="38"/>
      <c r="CZ59" s="38">
        <f>VLOOKUP($C59,Segment!$AK$152:$AP$223,5,0)/1000</f>
        <v>0</v>
      </c>
      <c r="DA59" s="38">
        <f>VLOOKUP($C59,Segment!$I$229:$N$300,5,0)/1000</f>
        <v>0</v>
      </c>
      <c r="DB59" s="38">
        <f>VLOOKUP($C59,Segment!$P$229:$U$300,5,0)/1000</f>
        <v>0</v>
      </c>
      <c r="DC59" s="38">
        <f>VLOOKUP($C59,Segment!$AD$229:$AI$300,5,0)/1000</f>
        <v>0</v>
      </c>
      <c r="DD59" s="38">
        <f>VLOOKUP($C59,Segment!$AK$229:$AP$300,5,0)/1000</f>
        <v>0</v>
      </c>
      <c r="DE59" s="38">
        <f>VLOOKUP($C59,Segment!$I$306:$N$377,5,0)/1000</f>
        <v>0</v>
      </c>
      <c r="DF59" s="38">
        <f>VLOOKUP($C59,Segment!$P$306:$U$377,5,0)/1000</f>
        <v>0</v>
      </c>
      <c r="DG59" s="38">
        <f>VLOOKUP($C59,Segment!$AD$306:$AI$377,5,0)/1000</f>
        <v>0</v>
      </c>
      <c r="DH59" s="38">
        <f>VLOOKUP($C59,Segment!$AK$306:$AP$377,5,0)/1000</f>
        <v>0</v>
      </c>
      <c r="DI59" s="38">
        <f>VLOOKUP($C59,Segment!$I$383:$N$454,5,0)/1000</f>
        <v>0</v>
      </c>
      <c r="DJ59" s="38">
        <f>VLOOKUP($C59,Segment!$P$383:$U$454,5,0)/1000</f>
        <v>0</v>
      </c>
      <c r="DK59" s="38">
        <f>VLOOKUP($C59,Segment!$AD$383:$AI$454,5,0)/1000</f>
        <v>0</v>
      </c>
      <c r="DL59" s="38">
        <f>VLOOKUP($C59,Segment!$AK$383:$AP$454,5,0)/1000</f>
        <v>0</v>
      </c>
      <c r="DM59" s="38">
        <f>VLOOKUP($C59,Segment!$I$460:$N$531,5,0)/1000</f>
        <v>0</v>
      </c>
      <c r="DN59" s="38">
        <f>VLOOKUP($C59,Segment!$P$460:$U$531,5,0)/1000</f>
        <v>0</v>
      </c>
      <c r="DO59" s="38">
        <f>VLOOKUP($C59,Segment!$AD$460:$AI$531,5,0)/1000</f>
        <v>0</v>
      </c>
      <c r="DP59" s="38">
        <f>VLOOKUP($C59,Segment!$AK$460:$AP$531,5,0)/1000</f>
        <v>0</v>
      </c>
    </row>
    <row r="60" spans="3:120" x14ac:dyDescent="0.3">
      <c r="C60" s="56" t="s">
        <v>33</v>
      </c>
      <c r="D60" s="116"/>
      <c r="E60" s="57"/>
      <c r="F60" s="57">
        <f t="shared" ref="F60:M60" si="153">SUM(F58:F59)</f>
        <v>7293.348</v>
      </c>
      <c r="G60" s="57">
        <f t="shared" si="153"/>
        <v>8087.8110000000006</v>
      </c>
      <c r="H60" s="57">
        <f t="shared" si="153"/>
        <v>7786.6075260000025</v>
      </c>
      <c r="I60" s="57">
        <f t="shared" si="153"/>
        <v>12106.500939999994</v>
      </c>
      <c r="J60" s="57">
        <f t="shared" si="153"/>
        <v>10105.751639999995</v>
      </c>
      <c r="K60" s="57">
        <f t="shared" si="153"/>
        <v>8486.8979999999992</v>
      </c>
      <c r="L60" s="57">
        <f t="shared" si="153"/>
        <v>8004.3367700000053</v>
      </c>
      <c r="M60" s="57">
        <f t="shared" si="153"/>
        <v>8907.2448100000001</v>
      </c>
      <c r="N60" s="57">
        <f t="shared" ref="N60:V60" si="154">SUM(N58:N59)</f>
        <v>8120.0114399999993</v>
      </c>
      <c r="O60" s="57">
        <f t="shared" si="154"/>
        <v>7991.2072610000032</v>
      </c>
      <c r="P60" s="57">
        <f t="shared" si="154"/>
        <v>4240.3788619999887</v>
      </c>
      <c r="Q60" s="57">
        <f t="shared" si="154"/>
        <v>12197.358450000014</v>
      </c>
      <c r="R60" s="57">
        <f t="shared" si="154"/>
        <v>40212.594020000004</v>
      </c>
      <c r="S60" s="57">
        <f t="shared" si="154"/>
        <v>16847.425309999991</v>
      </c>
      <c r="T60" s="57">
        <f t="shared" si="154"/>
        <v>17067.407749999995</v>
      </c>
      <c r="U60" s="57">
        <f t="shared" si="154"/>
        <v>23360.131589999997</v>
      </c>
      <c r="V60" s="57">
        <f t="shared" si="154"/>
        <v>21396.501740000022</v>
      </c>
      <c r="W60" s="176">
        <f t="shared" si="9"/>
        <v>-0.46791540656744679</v>
      </c>
      <c r="Y60" s="57"/>
      <c r="Z60" s="57">
        <f t="shared" ref="Z60:AG60" si="155">SUM(Z58:Z59)</f>
        <v>0</v>
      </c>
      <c r="AA60" s="57">
        <f t="shared" si="155"/>
        <v>0</v>
      </c>
      <c r="AB60" s="57">
        <f t="shared" si="155"/>
        <v>0</v>
      </c>
      <c r="AC60" s="57">
        <f t="shared" si="155"/>
        <v>0</v>
      </c>
      <c r="AD60" s="57">
        <f t="shared" si="155"/>
        <v>0</v>
      </c>
      <c r="AE60" s="57">
        <f t="shared" si="155"/>
        <v>0</v>
      </c>
      <c r="AF60" s="57">
        <f t="shared" si="155"/>
        <v>0</v>
      </c>
      <c r="AG60" s="57">
        <f t="shared" si="155"/>
        <v>0</v>
      </c>
      <c r="AH60" s="57">
        <f t="shared" ref="AH60:AP60" si="156">SUM(AH58:AH59)</f>
        <v>0</v>
      </c>
      <c r="AI60" s="57">
        <f t="shared" si="156"/>
        <v>0</v>
      </c>
      <c r="AJ60" s="57">
        <f t="shared" si="156"/>
        <v>0</v>
      </c>
      <c r="AK60" s="57">
        <f t="shared" si="156"/>
        <v>0</v>
      </c>
      <c r="AL60" s="57">
        <f t="shared" si="156"/>
        <v>0</v>
      </c>
      <c r="AM60" s="57">
        <f t="shared" si="156"/>
        <v>0</v>
      </c>
      <c r="AN60" s="57">
        <f t="shared" si="156"/>
        <v>0</v>
      </c>
      <c r="AO60" s="57">
        <f t="shared" si="156"/>
        <v>0</v>
      </c>
      <c r="AP60" s="57">
        <f t="shared" si="156"/>
        <v>0</v>
      </c>
      <c r="AQ60" s="176"/>
      <c r="AR60" s="57"/>
      <c r="AS60" s="57"/>
      <c r="AT60" s="57">
        <f t="shared" ref="AT60:BA60" si="157">SUM(AT58:AT59)</f>
        <v>605.30399999999997</v>
      </c>
      <c r="AU60" s="57">
        <f t="shared" si="157"/>
        <v>18.030999999999999</v>
      </c>
      <c r="AV60" s="57">
        <f t="shared" si="157"/>
        <v>134.745</v>
      </c>
      <c r="AW60" s="57">
        <f t="shared" si="157"/>
        <v>22.460999999999999</v>
      </c>
      <c r="AX60" s="57">
        <f t="shared" si="157"/>
        <v>1047.9939999999999</v>
      </c>
      <c r="AY60" s="57">
        <f t="shared" si="157"/>
        <v>136.51300000000001</v>
      </c>
      <c r="AZ60" s="57">
        <f t="shared" si="157"/>
        <v>448.73099999999999</v>
      </c>
      <c r="BA60" s="57">
        <f t="shared" si="157"/>
        <v>473.82</v>
      </c>
      <c r="BB60" s="57">
        <f t="shared" ref="BB60:BJ60" si="158">SUM(BB58:BB59)</f>
        <v>517.428</v>
      </c>
      <c r="BC60" s="57">
        <f t="shared" si="158"/>
        <v>387.90100000000001</v>
      </c>
      <c r="BD60" s="57">
        <f t="shared" si="158"/>
        <v>216.71199999999999</v>
      </c>
      <c r="BE60" s="57">
        <f t="shared" si="158"/>
        <v>1282.925</v>
      </c>
      <c r="BF60" s="57">
        <f t="shared" si="158"/>
        <v>1057.6220000000001</v>
      </c>
      <c r="BG60" s="57">
        <f t="shared" si="158"/>
        <v>175.78</v>
      </c>
      <c r="BH60" s="57">
        <f t="shared" si="158"/>
        <v>202.214</v>
      </c>
      <c r="BI60" s="57">
        <f t="shared" si="158"/>
        <v>3143.3620000000001</v>
      </c>
      <c r="BJ60" s="57">
        <f t="shared" si="158"/>
        <v>5166.3519999999999</v>
      </c>
      <c r="BK60" s="57"/>
      <c r="BL60" s="57"/>
      <c r="BM60" s="57">
        <f t="shared" ref="BM60:BT60" si="159">SUM(BM58:BM59)</f>
        <v>6688.0439999999999</v>
      </c>
      <c r="BN60" s="57">
        <f t="shared" si="159"/>
        <v>8069.78</v>
      </c>
      <c r="BO60" s="57">
        <f t="shared" si="159"/>
        <v>7651.8625260000017</v>
      </c>
      <c r="BP60" s="57">
        <f t="shared" si="159"/>
        <v>12084.039939999995</v>
      </c>
      <c r="BQ60" s="57">
        <f t="shared" si="159"/>
        <v>9057.7576399999962</v>
      </c>
      <c r="BR60" s="57">
        <f t="shared" si="159"/>
        <v>8350.3850000000002</v>
      </c>
      <c r="BS60" s="57">
        <f t="shared" si="159"/>
        <v>7555.6057700000056</v>
      </c>
      <c r="BT60" s="57">
        <f t="shared" si="159"/>
        <v>8433.4248100000004</v>
      </c>
      <c r="BU60" s="57">
        <f t="shared" ref="BU60:CC60" si="160">SUM(BU58:BU59)</f>
        <v>7602.5834399999994</v>
      </c>
      <c r="BV60" s="57">
        <f t="shared" si="160"/>
        <v>7603.3062610000034</v>
      </c>
      <c r="BW60" s="57">
        <f t="shared" si="160"/>
        <v>4023.6668619999891</v>
      </c>
      <c r="BX60" s="57">
        <f t="shared" si="160"/>
        <v>10914.433450000015</v>
      </c>
      <c r="BY60" s="57">
        <f t="shared" si="160"/>
        <v>39154.972020000001</v>
      </c>
      <c r="BZ60" s="57">
        <f t="shared" si="160"/>
        <v>16671.645309999993</v>
      </c>
      <c r="CA60" s="57">
        <f t="shared" si="160"/>
        <v>16865.193749999995</v>
      </c>
      <c r="CB60" s="57">
        <f t="shared" si="160"/>
        <v>20216.76959</v>
      </c>
      <c r="CC60" s="57">
        <f t="shared" si="160"/>
        <v>16230.149740000023</v>
      </c>
      <c r="CD60" s="57"/>
      <c r="CE60" s="57"/>
      <c r="CF60" s="57">
        <f t="shared" ref="CF60:CM60" si="161">SUM(CF58:CF59)</f>
        <v>7293.348</v>
      </c>
      <c r="CG60" s="57">
        <f t="shared" si="161"/>
        <v>8087.8110000000006</v>
      </c>
      <c r="CH60" s="57">
        <f t="shared" si="161"/>
        <v>7786.6075260000025</v>
      </c>
      <c r="CI60" s="57">
        <f t="shared" si="161"/>
        <v>12106.500939999994</v>
      </c>
      <c r="CJ60" s="57">
        <f t="shared" si="161"/>
        <v>10105.751639999999</v>
      </c>
      <c r="CK60" s="57">
        <f t="shared" si="161"/>
        <v>8486.898000000001</v>
      </c>
      <c r="CL60" s="57">
        <f t="shared" si="161"/>
        <v>8004.3367700000053</v>
      </c>
      <c r="CM60" s="57">
        <f t="shared" si="161"/>
        <v>8907.2448100000001</v>
      </c>
      <c r="CN60" s="57">
        <f t="shared" ref="CN60:CV60" si="162">SUM(CN58:CN59)</f>
        <v>8120.0114399999993</v>
      </c>
      <c r="CO60" s="57">
        <f t="shared" si="162"/>
        <v>7991.2072610000032</v>
      </c>
      <c r="CP60" s="57">
        <f t="shared" si="162"/>
        <v>4240.3788619999887</v>
      </c>
      <c r="CQ60" s="57">
        <f t="shared" si="162"/>
        <v>12197.358450000014</v>
      </c>
      <c r="CR60" s="57">
        <f t="shared" si="162"/>
        <v>40212.594020000004</v>
      </c>
      <c r="CS60" s="57">
        <f t="shared" si="162"/>
        <v>16847.425309999991</v>
      </c>
      <c r="CT60" s="57">
        <f t="shared" si="162"/>
        <v>17067.407749999995</v>
      </c>
      <c r="CU60" s="57">
        <f t="shared" si="162"/>
        <v>23360.131589999997</v>
      </c>
      <c r="CV60" s="57">
        <f t="shared" si="162"/>
        <v>21396.501740000022</v>
      </c>
      <c r="CW60" s="176">
        <f>CV60/CR60-1</f>
        <v>-0.46791540656744679</v>
      </c>
      <c r="CX60" s="57"/>
      <c r="CY60" s="57"/>
      <c r="CZ60" s="57">
        <f t="shared" ref="CZ60:DG60" si="163">SUM(CZ58:CZ59)</f>
        <v>0</v>
      </c>
      <c r="DA60" s="57">
        <f t="shared" si="163"/>
        <v>0</v>
      </c>
      <c r="DB60" s="57">
        <f t="shared" si="163"/>
        <v>0</v>
      </c>
      <c r="DC60" s="57">
        <f t="shared" si="163"/>
        <v>0</v>
      </c>
      <c r="DD60" s="57">
        <f t="shared" si="163"/>
        <v>0</v>
      </c>
      <c r="DE60" s="57">
        <f t="shared" si="163"/>
        <v>0</v>
      </c>
      <c r="DF60" s="57">
        <f t="shared" si="163"/>
        <v>0</v>
      </c>
      <c r="DG60" s="57">
        <f t="shared" si="163"/>
        <v>0</v>
      </c>
      <c r="DH60" s="57">
        <f t="shared" ref="DH60:DP60" si="164">SUM(DH58:DH59)</f>
        <v>0</v>
      </c>
      <c r="DI60" s="57">
        <f t="shared" si="164"/>
        <v>0</v>
      </c>
      <c r="DJ60" s="57">
        <f t="shared" si="164"/>
        <v>0</v>
      </c>
      <c r="DK60" s="57">
        <f t="shared" si="164"/>
        <v>0</v>
      </c>
      <c r="DL60" s="57">
        <f t="shared" si="164"/>
        <v>0</v>
      </c>
      <c r="DM60" s="57">
        <f t="shared" si="164"/>
        <v>0</v>
      </c>
      <c r="DN60" s="57">
        <f t="shared" si="164"/>
        <v>0</v>
      </c>
      <c r="DO60" s="57">
        <f t="shared" si="164"/>
        <v>0</v>
      </c>
      <c r="DP60" s="57">
        <f t="shared" si="164"/>
        <v>0</v>
      </c>
    </row>
    <row r="61" spans="3:120" x14ac:dyDescent="0.3">
      <c r="C61" s="39" t="s">
        <v>64</v>
      </c>
      <c r="D61" s="109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169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169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L61" s="40"/>
      <c r="BM61" s="40">
        <f t="shared" ref="BM61:BU61" si="165">BM60/BM183</f>
        <v>0.16968101830698792</v>
      </c>
      <c r="BN61" s="40">
        <f t="shared" si="165"/>
        <v>0.19750464558361</v>
      </c>
      <c r="BO61" s="40">
        <f t="shared" si="165"/>
        <v>0.19533205967321554</v>
      </c>
      <c r="BP61" s="40">
        <f t="shared" si="165"/>
        <v>0.26891416125146</v>
      </c>
      <c r="BQ61" s="40">
        <f t="shared" si="165"/>
        <v>0.15416640499539935</v>
      </c>
      <c r="BR61" s="40">
        <f t="shared" si="165"/>
        <v>0.16443975100497851</v>
      </c>
      <c r="BS61" s="40">
        <f t="shared" si="165"/>
        <v>0.1436929455826407</v>
      </c>
      <c r="BT61" s="40">
        <f t="shared" si="165"/>
        <v>0.16054708746068336</v>
      </c>
      <c r="BU61" s="40">
        <f t="shared" si="165"/>
        <v>0.12088987542925628</v>
      </c>
      <c r="BV61" s="40">
        <f>BV60/BV$183</f>
        <v>9.8757328207953618E-2</v>
      </c>
      <c r="BW61" s="40">
        <f t="shared" ref="BW61:CC61" si="166">BW60/BW183</f>
        <v>3.6780608195069106E-2</v>
      </c>
      <c r="BX61" s="40">
        <f t="shared" si="166"/>
        <v>0.11887531550647455</v>
      </c>
      <c r="BY61" s="40">
        <f t="shared" si="166"/>
        <v>0.30997449054840565</v>
      </c>
      <c r="BZ61" s="40">
        <f t="shared" si="166"/>
        <v>0.11563428651884325</v>
      </c>
      <c r="CA61" s="40">
        <f t="shared" si="166"/>
        <v>0.15149975085328296</v>
      </c>
      <c r="CB61" s="40">
        <f t="shared" si="166"/>
        <v>0.15508261918371086</v>
      </c>
      <c r="CC61" s="40">
        <f t="shared" si="166"/>
        <v>0.12450130176425617</v>
      </c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169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</row>
    <row r="62" spans="3:120" ht="13.5" thickBot="1" x14ac:dyDescent="0.35">
      <c r="C62" s="50" t="s">
        <v>34</v>
      </c>
      <c r="D62" s="114"/>
      <c r="E62" s="51"/>
      <c r="F62" s="51">
        <f t="shared" ref="F62:P62" si="167">F53+F56+F60</f>
        <v>12992.690999999981</v>
      </c>
      <c r="G62" s="51">
        <f t="shared" si="167"/>
        <v>46485.623000000021</v>
      </c>
      <c r="H62" s="51">
        <f t="shared" si="167"/>
        <v>29652.597875999993</v>
      </c>
      <c r="I62" s="51">
        <f t="shared" si="167"/>
        <v>31717.929399999997</v>
      </c>
      <c r="J62" s="51">
        <f t="shared" si="167"/>
        <v>27710.487859999983</v>
      </c>
      <c r="K62" s="51">
        <f t="shared" si="167"/>
        <v>56860.949400000005</v>
      </c>
      <c r="L62" s="51">
        <f t="shared" si="167"/>
        <v>47780.058220000006</v>
      </c>
      <c r="M62" s="51">
        <f t="shared" si="167"/>
        <v>49622.297269999995</v>
      </c>
      <c r="N62" s="52">
        <f t="shared" si="167"/>
        <v>41009.20508</v>
      </c>
      <c r="O62" s="52">
        <f t="shared" si="167"/>
        <v>81255.980830999964</v>
      </c>
      <c r="P62" s="52">
        <f t="shared" si="167"/>
        <v>73323.510241999989</v>
      </c>
      <c r="Q62" s="52">
        <f t="shared" ref="Q62:V62" si="168">Q53+Q56+Q60</f>
        <v>83147.637440000035</v>
      </c>
      <c r="R62" s="52">
        <f t="shared" si="168"/>
        <v>110924.02051000003</v>
      </c>
      <c r="S62" s="52">
        <f t="shared" si="168"/>
        <v>120282.79700999998</v>
      </c>
      <c r="T62" s="52">
        <f t="shared" si="168"/>
        <v>140853.02289999998</v>
      </c>
      <c r="U62" s="52">
        <f t="shared" si="168"/>
        <v>101748.81594000006</v>
      </c>
      <c r="V62" s="52">
        <f t="shared" si="168"/>
        <v>114911.54899000001</v>
      </c>
      <c r="W62" s="174">
        <f t="shared" si="9"/>
        <v>3.5948286598938228E-2</v>
      </c>
      <c r="Y62" s="51"/>
      <c r="Z62" s="51">
        <f t="shared" ref="Z62:AJ62" si="169">Z53+Z56+Z60</f>
        <v>0</v>
      </c>
      <c r="AA62" s="51">
        <f t="shared" si="169"/>
        <v>0</v>
      </c>
      <c r="AB62" s="51">
        <f t="shared" si="169"/>
        <v>0</v>
      </c>
      <c r="AC62" s="51">
        <f t="shared" si="169"/>
        <v>0</v>
      </c>
      <c r="AD62" s="51">
        <f t="shared" si="169"/>
        <v>0</v>
      </c>
      <c r="AE62" s="51">
        <f t="shared" si="169"/>
        <v>0</v>
      </c>
      <c r="AF62" s="51">
        <f t="shared" si="169"/>
        <v>0</v>
      </c>
      <c r="AG62" s="51">
        <f t="shared" si="169"/>
        <v>0</v>
      </c>
      <c r="AH62" s="51">
        <f t="shared" si="169"/>
        <v>0</v>
      </c>
      <c r="AI62" s="51">
        <f t="shared" si="169"/>
        <v>0</v>
      </c>
      <c r="AJ62" s="51">
        <f t="shared" si="169"/>
        <v>0</v>
      </c>
      <c r="AK62" s="51">
        <f t="shared" ref="AK62:AP62" si="170">AK53+AK56+AK60</f>
        <v>0</v>
      </c>
      <c r="AL62" s="51">
        <f t="shared" si="170"/>
        <v>0</v>
      </c>
      <c r="AM62" s="51">
        <f t="shared" si="170"/>
        <v>0</v>
      </c>
      <c r="AN62" s="51">
        <f t="shared" si="170"/>
        <v>0</v>
      </c>
      <c r="AO62" s="51">
        <f t="shared" si="170"/>
        <v>0</v>
      </c>
      <c r="AP62" s="51">
        <f t="shared" si="170"/>
        <v>0</v>
      </c>
      <c r="AQ62" s="174"/>
      <c r="AR62" s="52"/>
      <c r="AS62" s="51"/>
      <c r="AT62" s="51">
        <f t="shared" ref="AT62:BD62" si="171">AT53+AT56+AT60</f>
        <v>5763.5489999999818</v>
      </c>
      <c r="AU62" s="51">
        <f t="shared" si="171"/>
        <v>38111.486000000019</v>
      </c>
      <c r="AV62" s="51">
        <f t="shared" si="171"/>
        <v>21644.870999999988</v>
      </c>
      <c r="AW62" s="51">
        <f t="shared" si="171"/>
        <v>18970.815999999999</v>
      </c>
      <c r="AX62" s="51">
        <f t="shared" si="171"/>
        <v>17756.406999999985</v>
      </c>
      <c r="AY62" s="51">
        <f t="shared" si="171"/>
        <v>47512.944000000003</v>
      </c>
      <c r="AZ62" s="51">
        <f t="shared" si="171"/>
        <v>40129.919999999991</v>
      </c>
      <c r="BA62" s="51">
        <f t="shared" si="171"/>
        <v>41131.414999999986</v>
      </c>
      <c r="BB62" s="51">
        <f t="shared" si="171"/>
        <v>33307.066999999995</v>
      </c>
      <c r="BC62" s="51">
        <f t="shared" si="171"/>
        <v>73388.491999999955</v>
      </c>
      <c r="BD62" s="51">
        <f t="shared" si="171"/>
        <v>68903.477000000014</v>
      </c>
      <c r="BE62" s="51">
        <f t="shared" ref="BE62:BJ62" si="172">BE53+BE56+BE60</f>
        <v>71874.934000000023</v>
      </c>
      <c r="BF62" s="51">
        <f t="shared" si="172"/>
        <v>71525.713000000018</v>
      </c>
      <c r="BG62" s="51">
        <f t="shared" si="172"/>
        <v>102814.24999999997</v>
      </c>
      <c r="BH62" s="51">
        <f t="shared" si="172"/>
        <v>122955.073</v>
      </c>
      <c r="BI62" s="51">
        <f t="shared" si="172"/>
        <v>79594.492000000042</v>
      </c>
      <c r="BJ62" s="51">
        <f t="shared" si="172"/>
        <v>100101.65999999999</v>
      </c>
      <c r="BK62" s="52"/>
      <c r="BL62" s="51"/>
      <c r="BM62" s="51">
        <f t="shared" ref="BM62:BW62" si="173">BM53+BM56+BM60</f>
        <v>7229.1419999999998</v>
      </c>
      <c r="BN62" s="51">
        <f t="shared" si="173"/>
        <v>8374.1370000000006</v>
      </c>
      <c r="BO62" s="51">
        <f t="shared" si="173"/>
        <v>8007.7268760000015</v>
      </c>
      <c r="BP62" s="51">
        <f t="shared" si="173"/>
        <v>12747.113399999995</v>
      </c>
      <c r="BQ62" s="51">
        <f t="shared" si="173"/>
        <v>9954.0808599999964</v>
      </c>
      <c r="BR62" s="51">
        <f t="shared" si="173"/>
        <v>9348.0054</v>
      </c>
      <c r="BS62" s="51">
        <f t="shared" si="173"/>
        <v>7650.1382200000053</v>
      </c>
      <c r="BT62" s="51">
        <f t="shared" si="173"/>
        <v>8490.8822700000001</v>
      </c>
      <c r="BU62" s="51">
        <f t="shared" si="173"/>
        <v>7702.1380799999997</v>
      </c>
      <c r="BV62" s="51">
        <f t="shared" si="173"/>
        <v>7867.4888310000033</v>
      </c>
      <c r="BW62" s="51">
        <f t="shared" si="173"/>
        <v>4420.0332419999895</v>
      </c>
      <c r="BX62" s="51">
        <f t="shared" ref="BX62:CC62" si="174">BX53+BX56+BX60</f>
        <v>11272.703440000016</v>
      </c>
      <c r="BY62" s="51">
        <f t="shared" si="174"/>
        <v>39398.307509999999</v>
      </c>
      <c r="BZ62" s="51">
        <f t="shared" si="174"/>
        <v>17468.547009999991</v>
      </c>
      <c r="CA62" s="51">
        <f t="shared" si="174"/>
        <v>17897.949899999996</v>
      </c>
      <c r="CB62" s="51">
        <f t="shared" si="174"/>
        <v>22154.323939999998</v>
      </c>
      <c r="CC62" s="51">
        <f t="shared" si="174"/>
        <v>14809.888990000023</v>
      </c>
      <c r="CD62" s="52"/>
      <c r="CE62" s="51"/>
      <c r="CF62" s="51">
        <f t="shared" ref="CF62:CP62" si="175">CF53+CF56+CF60</f>
        <v>12992.690999999981</v>
      </c>
      <c r="CG62" s="51">
        <f t="shared" si="175"/>
        <v>46485.623000000021</v>
      </c>
      <c r="CH62" s="51">
        <f t="shared" si="175"/>
        <v>29652.597875999993</v>
      </c>
      <c r="CI62" s="51">
        <f t="shared" si="175"/>
        <v>31717.929399999994</v>
      </c>
      <c r="CJ62" s="51">
        <f t="shared" si="175"/>
        <v>27710.487859999987</v>
      </c>
      <c r="CK62" s="51">
        <f t="shared" si="175"/>
        <v>56860.949400000005</v>
      </c>
      <c r="CL62" s="51">
        <f t="shared" si="175"/>
        <v>47780.058220000006</v>
      </c>
      <c r="CM62" s="51">
        <f t="shared" si="175"/>
        <v>49622.297269999995</v>
      </c>
      <c r="CN62" s="51">
        <f t="shared" si="175"/>
        <v>41009.205079999992</v>
      </c>
      <c r="CO62" s="51">
        <f t="shared" si="175"/>
        <v>81255.980830999964</v>
      </c>
      <c r="CP62" s="51">
        <f t="shared" si="175"/>
        <v>73323.510241999989</v>
      </c>
      <c r="CQ62" s="51">
        <f t="shared" ref="CQ62:CV62" si="176">CQ53+CQ56+CQ60</f>
        <v>83147.637440000035</v>
      </c>
      <c r="CR62" s="51">
        <f t="shared" si="176"/>
        <v>110924.02051000002</v>
      </c>
      <c r="CS62" s="51">
        <f t="shared" si="176"/>
        <v>120282.79700999998</v>
      </c>
      <c r="CT62" s="51">
        <f t="shared" si="176"/>
        <v>140853.02289999998</v>
      </c>
      <c r="CU62" s="51">
        <f t="shared" si="176"/>
        <v>101748.81594000003</v>
      </c>
      <c r="CV62" s="51">
        <f t="shared" si="176"/>
        <v>114911.54899000002</v>
      </c>
      <c r="CW62" s="174">
        <f>CV62/CR62-1</f>
        <v>3.594828659893845E-2</v>
      </c>
      <c r="CX62" s="144"/>
      <c r="CY62" s="51"/>
      <c r="CZ62" s="51">
        <f t="shared" ref="CZ62:DJ62" si="177">CZ53+CZ56+CZ60</f>
        <v>0</v>
      </c>
      <c r="DA62" s="51">
        <f t="shared" si="177"/>
        <v>0</v>
      </c>
      <c r="DB62" s="51">
        <f t="shared" si="177"/>
        <v>0</v>
      </c>
      <c r="DC62" s="51">
        <f t="shared" si="177"/>
        <v>0</v>
      </c>
      <c r="DD62" s="51">
        <f t="shared" si="177"/>
        <v>0</v>
      </c>
      <c r="DE62" s="51">
        <f t="shared" si="177"/>
        <v>0</v>
      </c>
      <c r="DF62" s="51">
        <f t="shared" si="177"/>
        <v>0</v>
      </c>
      <c r="DG62" s="51">
        <f t="shared" si="177"/>
        <v>0</v>
      </c>
      <c r="DH62" s="51">
        <f t="shared" si="177"/>
        <v>0</v>
      </c>
      <c r="DI62" s="51">
        <f t="shared" si="177"/>
        <v>0</v>
      </c>
      <c r="DJ62" s="51">
        <f t="shared" si="177"/>
        <v>0</v>
      </c>
      <c r="DK62" s="51">
        <f t="shared" ref="DK62:DP62" si="178">DK53+DK56+DK60</f>
        <v>0</v>
      </c>
      <c r="DL62" s="51">
        <f t="shared" si="178"/>
        <v>0</v>
      </c>
      <c r="DM62" s="51">
        <f t="shared" si="178"/>
        <v>0</v>
      </c>
      <c r="DN62" s="51">
        <f t="shared" si="178"/>
        <v>0</v>
      </c>
      <c r="DO62" s="51">
        <f t="shared" si="178"/>
        <v>0</v>
      </c>
      <c r="DP62" s="51">
        <f t="shared" si="178"/>
        <v>0</v>
      </c>
    </row>
    <row r="63" spans="3:120" ht="13.5" thickTop="1" x14ac:dyDescent="0.3">
      <c r="C63" s="39" t="s">
        <v>79</v>
      </c>
      <c r="D63" s="109"/>
      <c r="E63" s="41"/>
      <c r="F63" s="41">
        <f t="shared" ref="F63:P63" si="179">(F41+F50+F56+F58)/1000</f>
        <v>100.63281499999999</v>
      </c>
      <c r="G63" s="41">
        <f t="shared" si="179"/>
        <v>144.539897</v>
      </c>
      <c r="H63" s="41">
        <f t="shared" si="179"/>
        <v>150.03111315999999</v>
      </c>
      <c r="I63" s="41">
        <f t="shared" si="179"/>
        <v>148.87493112999999</v>
      </c>
      <c r="J63" s="41">
        <f t="shared" si="179"/>
        <v>167.69314588</v>
      </c>
      <c r="K63" s="41">
        <f t="shared" si="179"/>
        <v>279.49406722000003</v>
      </c>
      <c r="L63" s="41">
        <f t="shared" si="179"/>
        <v>279.49215830000009</v>
      </c>
      <c r="M63" s="41">
        <f t="shared" si="179"/>
        <v>249.54785192</v>
      </c>
      <c r="N63" s="41">
        <f t="shared" si="179"/>
        <v>256.42437706000004</v>
      </c>
      <c r="O63" s="41">
        <f t="shared" si="179"/>
        <v>473.84865220599994</v>
      </c>
      <c r="P63" s="41">
        <f t="shared" si="179"/>
        <v>441.70481823400002</v>
      </c>
      <c r="Q63" s="41">
        <f t="shared" ref="Q63:V63" si="180">(Q41+Q50+Q56+Q58)/1000</f>
        <v>395.67921876000003</v>
      </c>
      <c r="R63" s="41">
        <f t="shared" si="180"/>
        <v>429.68760049000002</v>
      </c>
      <c r="S63" s="41">
        <f t="shared" si="180"/>
        <v>775.31705993999992</v>
      </c>
      <c r="T63" s="41">
        <f t="shared" si="180"/>
        <v>604.38384500999996</v>
      </c>
      <c r="U63" s="41">
        <f t="shared" si="180"/>
        <v>637.08360092000009</v>
      </c>
      <c r="V63" s="41">
        <f t="shared" si="180"/>
        <v>634.31171874999995</v>
      </c>
      <c r="W63" s="169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169"/>
      <c r="AS63" s="41"/>
      <c r="AT63" s="41">
        <f t="shared" ref="AT63:BD63" si="181">(AT41+AT50+AT56+AT58)/1000</f>
        <v>92.912876999999995</v>
      </c>
      <c r="AU63" s="41">
        <f t="shared" si="181"/>
        <v>135.90284500000001</v>
      </c>
      <c r="AV63" s="41">
        <f t="shared" si="181"/>
        <v>141.41738100000001</v>
      </c>
      <c r="AW63" s="41">
        <f t="shared" si="181"/>
        <v>135.08878200000001</v>
      </c>
      <c r="AX63" s="41">
        <f t="shared" si="181"/>
        <v>155.66349600000001</v>
      </c>
      <c r="AY63" s="41">
        <f t="shared" si="181"/>
        <v>268.216768</v>
      </c>
      <c r="AZ63" s="41">
        <f t="shared" si="181"/>
        <v>269.79968400000007</v>
      </c>
      <c r="BA63" s="41">
        <f t="shared" si="181"/>
        <v>238.875169</v>
      </c>
      <c r="BB63" s="41">
        <f t="shared" si="181"/>
        <v>246.28152500000002</v>
      </c>
      <c r="BC63" s="41">
        <f t="shared" si="181"/>
        <v>463.236334</v>
      </c>
      <c r="BD63" s="41">
        <f t="shared" si="181"/>
        <v>427.19585700000005</v>
      </c>
      <c r="BE63" s="41">
        <f t="shared" ref="BE63:BJ63" si="182">(BE41+BE50+BE56+BE58)/1000</f>
        <v>377.27882</v>
      </c>
      <c r="BF63" s="41">
        <f t="shared" si="182"/>
        <v>369.71955099999997</v>
      </c>
      <c r="BG63" s="41">
        <f t="shared" si="182"/>
        <v>747.82270800000015</v>
      </c>
      <c r="BH63" s="41">
        <f t="shared" si="182"/>
        <v>576.43897900000002</v>
      </c>
      <c r="BI63" s="41">
        <f t="shared" si="182"/>
        <v>603.01595900000007</v>
      </c>
      <c r="BJ63" s="41">
        <f t="shared" si="182"/>
        <v>593.41583099999991</v>
      </c>
      <c r="BL63" s="41"/>
      <c r="BM63" s="41">
        <f t="shared" ref="BM63:BW63" si="183">(BM41+BM50+BM56+BM58)/1000</f>
        <v>7.719938</v>
      </c>
      <c r="BN63" s="41">
        <f t="shared" si="183"/>
        <v>8.6370519999999988</v>
      </c>
      <c r="BO63" s="41">
        <f t="shared" si="183"/>
        <v>8.6137321600000014</v>
      </c>
      <c r="BP63" s="41">
        <f t="shared" si="183"/>
        <v>13.786149129999995</v>
      </c>
      <c r="BQ63" s="41">
        <f t="shared" si="183"/>
        <v>12.029649879999997</v>
      </c>
      <c r="BR63" s="41">
        <f t="shared" si="183"/>
        <v>11.277299220000002</v>
      </c>
      <c r="BS63" s="41">
        <f t="shared" si="183"/>
        <v>9.692474300000006</v>
      </c>
      <c r="BT63" s="41">
        <f t="shared" si="183"/>
        <v>10.672682920000002</v>
      </c>
      <c r="BU63" s="41">
        <f t="shared" si="183"/>
        <v>10.142852059999999</v>
      </c>
      <c r="BV63" s="41">
        <f t="shared" si="183"/>
        <v>10.612318206000003</v>
      </c>
      <c r="BW63" s="41">
        <f t="shared" si="183"/>
        <v>14.50896123399999</v>
      </c>
      <c r="BX63" s="41">
        <f t="shared" ref="BX63:CC63" si="184">(BX41+BX50+BX56+BX58)/1000</f>
        <v>18.400398760000016</v>
      </c>
      <c r="BY63" s="41">
        <f t="shared" si="184"/>
        <v>59.968049489999999</v>
      </c>
      <c r="BZ63" s="41">
        <f t="shared" si="184"/>
        <v>27.494351939999994</v>
      </c>
      <c r="CA63" s="41">
        <f t="shared" si="184"/>
        <v>27.944866009999995</v>
      </c>
      <c r="CB63" s="41">
        <f t="shared" si="184"/>
        <v>34.06764192</v>
      </c>
      <c r="CC63" s="41">
        <f t="shared" si="184"/>
        <v>40.895887750000021</v>
      </c>
      <c r="CE63" s="41"/>
      <c r="CF63" s="41">
        <f t="shared" ref="CF63:CP63" si="185">(CF41+CF50+CF56+CF58)/1000</f>
        <v>100.63281499999999</v>
      </c>
      <c r="CG63" s="41">
        <f t="shared" si="185"/>
        <v>144.539897</v>
      </c>
      <c r="CH63" s="41">
        <f t="shared" si="185"/>
        <v>150.03111315999999</v>
      </c>
      <c r="CI63" s="41">
        <f t="shared" si="185"/>
        <v>148.87493112999999</v>
      </c>
      <c r="CJ63" s="41">
        <f t="shared" si="185"/>
        <v>167.69314588</v>
      </c>
      <c r="CK63" s="41">
        <f t="shared" si="185"/>
        <v>279.49406722000003</v>
      </c>
      <c r="CL63" s="41">
        <f t="shared" si="185"/>
        <v>279.49215830000009</v>
      </c>
      <c r="CM63" s="41">
        <f t="shared" si="185"/>
        <v>249.54785192</v>
      </c>
      <c r="CN63" s="41">
        <f t="shared" si="185"/>
        <v>256.42437706000004</v>
      </c>
      <c r="CO63" s="41">
        <f t="shared" si="185"/>
        <v>473.84865220599994</v>
      </c>
      <c r="CP63" s="41">
        <f t="shared" si="185"/>
        <v>441.70481823400002</v>
      </c>
      <c r="CQ63" s="41">
        <f t="shared" ref="CQ63:CV63" si="186">(CQ41+CQ50+CQ56+CQ58)/1000</f>
        <v>395.67921876000003</v>
      </c>
      <c r="CR63" s="41">
        <f t="shared" si="186"/>
        <v>429.68760049000002</v>
      </c>
      <c r="CS63" s="41">
        <f t="shared" si="186"/>
        <v>775.31705993999992</v>
      </c>
      <c r="CT63" s="41">
        <f t="shared" si="186"/>
        <v>604.38384500999996</v>
      </c>
      <c r="CU63" s="41">
        <f t="shared" si="186"/>
        <v>637.08360092000009</v>
      </c>
      <c r="CV63" s="41">
        <f t="shared" si="186"/>
        <v>634.31171874999995</v>
      </c>
      <c r="CW63" s="169"/>
      <c r="CY63" s="41"/>
      <c r="CZ63" s="41">
        <f t="shared" ref="CZ63:DJ63" si="187">(CZ41+CZ50+CZ56+CZ58)/1000</f>
        <v>0</v>
      </c>
      <c r="DA63" s="41">
        <f t="shared" si="187"/>
        <v>0</v>
      </c>
      <c r="DB63" s="41">
        <f t="shared" si="187"/>
        <v>0</v>
      </c>
      <c r="DC63" s="41">
        <f t="shared" si="187"/>
        <v>0</v>
      </c>
      <c r="DD63" s="41">
        <f t="shared" si="187"/>
        <v>0</v>
      </c>
      <c r="DE63" s="41">
        <f t="shared" si="187"/>
        <v>0</v>
      </c>
      <c r="DF63" s="41">
        <f t="shared" si="187"/>
        <v>0</v>
      </c>
      <c r="DG63" s="41">
        <f t="shared" si="187"/>
        <v>0</v>
      </c>
      <c r="DH63" s="41">
        <f t="shared" si="187"/>
        <v>0</v>
      </c>
      <c r="DI63" s="41">
        <f t="shared" si="187"/>
        <v>0</v>
      </c>
      <c r="DJ63" s="41">
        <f t="shared" si="187"/>
        <v>0</v>
      </c>
      <c r="DK63" s="41">
        <f t="shared" ref="DK63:DP63" si="188">(DK41+DK50+DK56+DK58)/1000</f>
        <v>0</v>
      </c>
      <c r="DL63" s="41">
        <f t="shared" si="188"/>
        <v>0</v>
      </c>
      <c r="DM63" s="41">
        <f t="shared" si="188"/>
        <v>0</v>
      </c>
      <c r="DN63" s="41">
        <f t="shared" si="188"/>
        <v>0</v>
      </c>
      <c r="DO63" s="41">
        <f t="shared" si="188"/>
        <v>0</v>
      </c>
      <c r="DP63" s="41">
        <f t="shared" si="188"/>
        <v>0</v>
      </c>
    </row>
    <row r="65" spans="3:120" x14ac:dyDescent="0.3">
      <c r="C65" s="36" t="s">
        <v>35</v>
      </c>
      <c r="D65" s="110">
        <v>18</v>
      </c>
      <c r="E65" s="42"/>
      <c r="F65" s="38">
        <f>VLOOKUP($C65,Segment!$AK$152:$AP$223,6,0)/1000</f>
        <v>309.9601100000001</v>
      </c>
      <c r="G65" s="38">
        <f>VLOOKUP($C65,Segment!$I$229:$N$300,6,0)/1000</f>
        <v>5545.67</v>
      </c>
      <c r="H65" s="38">
        <f>VLOOKUP($C65,Segment!$P$229:$U$300,6,0)/1000</f>
        <v>2799.2057799999993</v>
      </c>
      <c r="I65" s="38">
        <f>VLOOKUP($C65,Segment!$AD$229:$AI$300,6,0)/1000</f>
        <v>3253.0058700000009</v>
      </c>
      <c r="J65" s="38">
        <f>VLOOKUP($C65,Segment!$AK$229:$AP$300,6,0)/1000</f>
        <v>6990.2783400000017</v>
      </c>
      <c r="K65" s="38">
        <f>VLOOKUP($C65,Segment!$I$306:$N$377,6,0)/1000</f>
        <v>4970.7537199999997</v>
      </c>
      <c r="L65" s="38">
        <f>VLOOKUP($C65,Segment!$P$306:$U$377,6,0)/1000</f>
        <v>5786.8422499999997</v>
      </c>
      <c r="M65" s="38">
        <f>VLOOKUP($C65,Segment!$AD$306:$AI$377,6,0)/1000</f>
        <v>6140.4144899999992</v>
      </c>
      <c r="N65" s="203">
        <f>VLOOKUP($C65,Segment!$AK$306:$AP$377,6,0)/1000</f>
        <v>5852.0622299999986</v>
      </c>
      <c r="O65" s="203">
        <f>VLOOKUP($C65,Segment!$I$383:$N$454,6,0)/1000</f>
        <v>10804.7809</v>
      </c>
      <c r="P65" s="203">
        <f>VLOOKUP($C65,Segment!$P$383:$U$454,6,0)/1000</f>
        <v>7118.8633399999999</v>
      </c>
      <c r="Q65" s="203">
        <f>VLOOKUP($C65,Segment!$AD$383:$AI$454,6,0)/1000</f>
        <v>8600.6162600000025</v>
      </c>
      <c r="R65" s="203">
        <f>VLOOKUP($C65,Segment!$AK$383:$AP$454,6,0)/1000</f>
        <v>7743.3846700000022</v>
      </c>
      <c r="S65" s="203">
        <f>VLOOKUP($C65,Segment!$I$460:$N$531,6,0)/1000</f>
        <v>9546.2405500000004</v>
      </c>
      <c r="T65" s="203">
        <f>VLOOKUP($C65,Segment!$P$460:$U$531,6,0)/1000</f>
        <v>10837.202779999998</v>
      </c>
      <c r="U65" s="203">
        <f>VLOOKUP($C65,Segment!$AD$460:$AI$531,6,0)/1000</f>
        <v>12254.647180000004</v>
      </c>
      <c r="V65" s="203">
        <f>VLOOKUP($C65,Segment!$AK$460:$AP$531,6,0)/1000</f>
        <v>21302.584629999998</v>
      </c>
      <c r="W65" s="132">
        <f t="shared" si="9"/>
        <v>1.7510688849712008</v>
      </c>
      <c r="Y65" s="38"/>
      <c r="Z65" s="38">
        <f>VLOOKUP($C65,Segment!$AK$152:$AP$223,2,0)/1000</f>
        <v>309.9601100000001</v>
      </c>
      <c r="AA65" s="38">
        <f>VLOOKUP($C65,Segment!$I$229:$N$300,2,0)/1000</f>
        <v>5137.7700000000004</v>
      </c>
      <c r="AB65" s="38">
        <f>VLOOKUP($C65,Segment!$P$229:$U$300,2,0)/1000</f>
        <v>2158.2797799999994</v>
      </c>
      <c r="AC65" s="38">
        <f>VLOOKUP($C65,Segment!$AD$229:$AI$300,2,0)/1000</f>
        <v>2871.626870000001</v>
      </c>
      <c r="AD65" s="38">
        <f>VLOOKUP($C65,Segment!$AK$229:$AP$300,2,0)/1000</f>
        <v>3476.5496100000014</v>
      </c>
      <c r="AE65" s="38">
        <f>VLOOKUP($C65,Segment!$I$306:$N$377,2,0)/1000</f>
        <v>2813.6755800000001</v>
      </c>
      <c r="AF65" s="38">
        <f>VLOOKUP($C65,Segment!$P$306:$U$377,2,0)/1000</f>
        <v>4699.1505800000004</v>
      </c>
      <c r="AG65" s="38">
        <f>VLOOKUP($C65,Segment!$AD$306:$AI$377,2,0)/1000</f>
        <v>4773.2883899999988</v>
      </c>
      <c r="AH65" s="38">
        <f>VLOOKUP($C65,Segment!$AK$306:$AP$377,2,0)/1000</f>
        <v>5351.3387999999986</v>
      </c>
      <c r="AI65" s="38">
        <f>VLOOKUP($C65,Segment!$I$383:$N$454,2,0)/1000</f>
        <v>8771.490679999999</v>
      </c>
      <c r="AJ65" s="38">
        <f>VLOOKUP($C65,Segment!$P$383:$U$454,2,0)/1000</f>
        <v>5628.8059199999998</v>
      </c>
      <c r="AK65" s="38">
        <f>VLOOKUP($C65,Segment!$AD$383:$AI$454,2,0)/1000</f>
        <v>5282.982960000003</v>
      </c>
      <c r="AL65" s="38">
        <f>VLOOKUP($C65,Segment!$AK$383:$AP$454,2,0)/1000</f>
        <v>5733.0285300000032</v>
      </c>
      <c r="AM65" s="38">
        <f>VLOOKUP($C65,Segment!$I$460:$N$531,2,0)/1000</f>
        <v>5898.3331200000002</v>
      </c>
      <c r="AN65" s="38">
        <f>VLOOKUP($C65,Segment!$P$460:$U$531,2,0)/1000</f>
        <v>5448.0921899999985</v>
      </c>
      <c r="AO65" s="38">
        <f>VLOOKUP($C65,Segment!$AD$460:$AI$531,2,0)/1000</f>
        <v>6181.2788500000015</v>
      </c>
      <c r="AP65" s="38">
        <f>VLOOKUP($C65,Segment!$AK$460:$AP$531,2,0)/1000</f>
        <v>15149.061380000003</v>
      </c>
      <c r="AQ65" s="132">
        <f>AP65/AL65-1</f>
        <v>1.6424186275591399</v>
      </c>
      <c r="AS65" s="38"/>
      <c r="AT65" s="38">
        <f>VLOOKUP($C65,Segment!$AK$152:$AP$223,3,0)/1000</f>
        <v>0</v>
      </c>
      <c r="AU65" s="38">
        <f>VLOOKUP($C65,Segment!$I$229:$N$300,3,0)/1000</f>
        <v>407.9</v>
      </c>
      <c r="AV65" s="38">
        <f>VLOOKUP($C65,Segment!$P$229:$U$300,3,0)/1000</f>
        <v>640.92600000000004</v>
      </c>
      <c r="AW65" s="38">
        <f>VLOOKUP($C65,Segment!$AD$229:$AI$300,3,0)/1000</f>
        <v>381.37900000000002</v>
      </c>
      <c r="AX65" s="38">
        <f>VLOOKUP($C65,Segment!$AK$229:$AP$300,3,0)/1000</f>
        <v>1378.4380000000001</v>
      </c>
      <c r="AY65" s="38">
        <f>VLOOKUP($C65,Segment!$I$306:$N$377,3,0)/1000</f>
        <v>840.29899999999998</v>
      </c>
      <c r="AZ65" s="38">
        <f>VLOOKUP($C65,Segment!$P$306:$U$377,3,0)/1000</f>
        <v>536.05700000000002</v>
      </c>
      <c r="BA65" s="38">
        <f>VLOOKUP($C65,Segment!$AD$306:$AI$377,3,0)/1000</f>
        <v>698.94500000000005</v>
      </c>
      <c r="BB65" s="38">
        <f>VLOOKUP($C65,Segment!$AK$306:$AP$377,3,0)/1000</f>
        <v>301.90800000000002</v>
      </c>
      <c r="BC65" s="38">
        <f>VLOOKUP($C65,Segment!$I$383:$N$454,3,0)/1000</f>
        <v>945.80100000000004</v>
      </c>
      <c r="BD65" s="38">
        <f>VLOOKUP($C65,Segment!$P$383:$U$454,3,0)/1000</f>
        <v>218.339</v>
      </c>
      <c r="BE65" s="38">
        <f>VLOOKUP($C65,Segment!$AD$383:$AI$454,3,0)/1000</f>
        <v>327.899</v>
      </c>
      <c r="BF65" s="38">
        <f>VLOOKUP($C65,Segment!$AK$383:$AP$454,3,0)/1000</f>
        <v>-442.34699999999998</v>
      </c>
      <c r="BG65" s="38">
        <f>VLOOKUP($C65,Segment!$I$460:$N$531,3,0)/1000</f>
        <v>335.88900000000001</v>
      </c>
      <c r="BH65" s="38">
        <f>VLOOKUP($C65,Segment!$P$460:$U$531,3,0)/1000</f>
        <v>358.36</v>
      </c>
      <c r="BI65" s="38">
        <f>VLOOKUP($C65,Segment!$AD$460:$AI$531,3,0)/1000</f>
        <v>450.78300000000002</v>
      </c>
      <c r="BJ65" s="38">
        <f>VLOOKUP($C65,Segment!$AK$460:$AP$531,3,0)/1000</f>
        <v>-373.178</v>
      </c>
      <c r="BL65" s="38"/>
      <c r="BM65" s="38">
        <f>VLOOKUP($C65,Segment!$AK$152:$AP$223,4,0)/1000</f>
        <v>0</v>
      </c>
      <c r="BN65" s="38">
        <f>VLOOKUP($C65,Segment!$I$229:$N$300,4,0)/1000</f>
        <v>0</v>
      </c>
      <c r="BO65" s="38">
        <f>VLOOKUP($C65,Segment!$P$229:$U$300,4,0)/1000</f>
        <v>0</v>
      </c>
      <c r="BP65" s="38">
        <f>VLOOKUP($C65,Segment!$AD$229:$AI$300,4,0)/1000</f>
        <v>0</v>
      </c>
      <c r="BQ65" s="38">
        <f>VLOOKUP($C65,Segment!$AK$229:$AP$300,4,0)/1000</f>
        <v>0</v>
      </c>
      <c r="BR65" s="38">
        <f>VLOOKUP($C65,Segment!$I$306:$N$377,4,0)/1000</f>
        <v>0</v>
      </c>
      <c r="BS65" s="38">
        <f>VLOOKUP($C65,Segment!$P$306:$U$377,4,0)/1000</f>
        <v>0</v>
      </c>
      <c r="BT65" s="38">
        <f>VLOOKUP($C65,Segment!$AD$306:$AI$377,4,0)/1000</f>
        <v>0</v>
      </c>
      <c r="BU65" s="38">
        <f>VLOOKUP($C65,Segment!$AK$306:$AP$377,4,0)/1000</f>
        <v>0</v>
      </c>
      <c r="BV65" s="38">
        <f>VLOOKUP($C65,Segment!$I$383:$N$454,4,0)/1000</f>
        <v>0</v>
      </c>
      <c r="BW65" s="38">
        <f>VLOOKUP($C65,Segment!$P$383:$U$454,4,0)/1000</f>
        <v>0</v>
      </c>
      <c r="BX65" s="38">
        <f>VLOOKUP($C65,Segment!$AD$383:$AI$454,4,0)/1000</f>
        <v>0</v>
      </c>
      <c r="BY65" s="38">
        <f>VLOOKUP($C65,Segment!$AK$383:$AP$454,4,0)/1000</f>
        <v>0</v>
      </c>
      <c r="BZ65" s="38">
        <f>VLOOKUP($C65,Segment!$I$460:$N$531,4,0)/1000</f>
        <v>0</v>
      </c>
      <c r="CA65" s="38">
        <f>VLOOKUP($C65,Segment!$P$460:$U$531,4,0)/1000</f>
        <v>0</v>
      </c>
      <c r="CB65" s="38">
        <f>VLOOKUP($C65,Segment!$AD$460:$AI$531,4,0)/1000</f>
        <v>0</v>
      </c>
      <c r="CC65" s="38">
        <f>VLOOKUP($C65,Segment!$AK$460:$AP$531,4,0)/1000</f>
        <v>0</v>
      </c>
      <c r="CE65" s="38"/>
      <c r="CF65" s="38">
        <f t="shared" ref="CF65:CO66" si="189">AT65+BM65</f>
        <v>0</v>
      </c>
      <c r="CG65" s="38">
        <f t="shared" si="189"/>
        <v>407.9</v>
      </c>
      <c r="CH65" s="38">
        <f t="shared" si="189"/>
        <v>640.92600000000004</v>
      </c>
      <c r="CI65" s="38">
        <f t="shared" si="189"/>
        <v>381.37900000000002</v>
      </c>
      <c r="CJ65" s="38">
        <f t="shared" si="189"/>
        <v>1378.4380000000001</v>
      </c>
      <c r="CK65" s="38">
        <f t="shared" si="189"/>
        <v>840.29899999999998</v>
      </c>
      <c r="CL65" s="38">
        <f t="shared" si="189"/>
        <v>536.05700000000002</v>
      </c>
      <c r="CM65" s="38">
        <f t="shared" si="189"/>
        <v>698.94500000000005</v>
      </c>
      <c r="CN65" s="38">
        <f t="shared" si="189"/>
        <v>301.90800000000002</v>
      </c>
      <c r="CO65" s="38">
        <f t="shared" si="189"/>
        <v>945.80100000000004</v>
      </c>
      <c r="CP65" s="38">
        <f t="shared" ref="CP65:CV66" si="190">BD65+BW65</f>
        <v>218.339</v>
      </c>
      <c r="CQ65" s="38">
        <f t="shared" si="190"/>
        <v>327.899</v>
      </c>
      <c r="CR65" s="38">
        <f t="shared" si="190"/>
        <v>-442.34699999999998</v>
      </c>
      <c r="CS65" s="38">
        <f t="shared" si="190"/>
        <v>335.88900000000001</v>
      </c>
      <c r="CT65" s="38">
        <f t="shared" si="190"/>
        <v>358.36</v>
      </c>
      <c r="CU65" s="38">
        <f t="shared" si="190"/>
        <v>450.78300000000002</v>
      </c>
      <c r="CV65" s="38">
        <f t="shared" si="190"/>
        <v>-373.178</v>
      </c>
      <c r="CY65" s="38"/>
      <c r="CZ65" s="38">
        <f>VLOOKUP($C65,Segment!$AK$152:$AP$223,5,0)/1000</f>
        <v>0</v>
      </c>
      <c r="DA65" s="38">
        <f>VLOOKUP($C65,Segment!$I$229:$N$300,5,0)/1000</f>
        <v>0</v>
      </c>
      <c r="DB65" s="38">
        <f>VLOOKUP($C65,Segment!$P$229:$U$300,5,0)/1000</f>
        <v>0</v>
      </c>
      <c r="DC65" s="38">
        <f>VLOOKUP($C65,Segment!$AD$229:$AI$300,5,0)/1000</f>
        <v>0</v>
      </c>
      <c r="DD65" s="38">
        <f>VLOOKUP($C65,Segment!$AK$229:$AP$300,5,0)/1000</f>
        <v>2135.2907300000002</v>
      </c>
      <c r="DE65" s="38">
        <f>VLOOKUP($C65,Segment!$I$306:$N$377,5,0)/1000</f>
        <v>1316.7791399999999</v>
      </c>
      <c r="DF65" s="38">
        <f>VLOOKUP($C65,Segment!$P$306:$U$377,5,0)/1000</f>
        <v>551.63466999999991</v>
      </c>
      <c r="DG65" s="38">
        <f>VLOOKUP($C65,Segment!$AD$306:$AI$377,5,0)/1000</f>
        <v>668.18110000000036</v>
      </c>
      <c r="DH65" s="38">
        <f>VLOOKUP($C65,Segment!$AK$306:$AP$377,5,0)/1000</f>
        <v>198.81543000000016</v>
      </c>
      <c r="DI65" s="38">
        <f>VLOOKUP($C65,Segment!$I$383:$N$454,5,0)/1000</f>
        <v>1087.4892199999999</v>
      </c>
      <c r="DJ65" s="38">
        <f>VLOOKUP($C65,Segment!$P$383:$U$454,5,0)/1000</f>
        <v>1271.7184200000002</v>
      </c>
      <c r="DK65" s="38">
        <f>VLOOKUP($C65,Segment!$AD$383:$AI$454,5,0)/1000</f>
        <v>2989.7342999999992</v>
      </c>
      <c r="DL65" s="38">
        <f>VLOOKUP($C65,Segment!$AK$383:$AP$454,5,0)/1000</f>
        <v>2452.7031399999992</v>
      </c>
      <c r="DM65" s="38">
        <f>VLOOKUP($C65,Segment!$I$460:$N$531,5,0)/1000</f>
        <v>3312.0184300000001</v>
      </c>
      <c r="DN65" s="38">
        <f>VLOOKUP($C65,Segment!$P$460:$U$531,5,0)/1000</f>
        <v>5030.7505899999996</v>
      </c>
      <c r="DO65" s="38">
        <f>VLOOKUP($C65,Segment!$AD$460:$AI$531,5,0)/1000</f>
        <v>5622.5853300000008</v>
      </c>
      <c r="DP65" s="38">
        <f>VLOOKUP($C65,Segment!$AK$460:$AP$531,5,0)/1000</f>
        <v>6526.7012499999973</v>
      </c>
    </row>
    <row r="66" spans="3:120" x14ac:dyDescent="0.3">
      <c r="C66" s="36" t="s">
        <v>36</v>
      </c>
      <c r="D66" s="110">
        <v>19</v>
      </c>
      <c r="E66" s="42"/>
      <c r="F66" s="38">
        <f>VLOOKUP($C66,Segment!$AK$152:$AP$223,6,0)/1000</f>
        <v>-1772.7914500000002</v>
      </c>
      <c r="G66" s="38">
        <f>VLOOKUP($C66,Segment!$I$229:$N$300,6,0)/1000</f>
        <v>-1800.124</v>
      </c>
      <c r="H66" s="38">
        <f>VLOOKUP($C66,Segment!$P$229:$U$300,6,0)/1000</f>
        <v>-3545.7300499999997</v>
      </c>
      <c r="I66" s="38">
        <f>VLOOKUP($C66,Segment!$AD$229:$AI$300,6,0)/1000</f>
        <v>-3381.6846599999972</v>
      </c>
      <c r="J66" s="38">
        <f>VLOOKUP($C66,Segment!$AK$229:$AP$300,6,0)/1000</f>
        <v>-5892.0359700000045</v>
      </c>
      <c r="K66" s="38">
        <f>VLOOKUP($C66,Segment!$I$306:$N$377,6,0)/1000</f>
        <v>-5424.8769299999994</v>
      </c>
      <c r="L66" s="38">
        <f>VLOOKUP($C66,Segment!$P$306:$U$377,6,0)/1000</f>
        <v>-8029.1934200000014</v>
      </c>
      <c r="M66" s="38">
        <f>VLOOKUP($C66,Segment!$AD$306:$AI$377,6,0)/1000</f>
        <v>-4331.0613099999964</v>
      </c>
      <c r="N66" s="203">
        <f>VLOOKUP($C66,Segment!$AK$306:$AP$377,6,0)/1000</f>
        <v>-9638.2766200000024</v>
      </c>
      <c r="O66" s="203">
        <f>VLOOKUP($C66,Segment!$I$383:$N$454,6,0)/1000</f>
        <v>-6877.7478799999999</v>
      </c>
      <c r="P66" s="203">
        <f>VLOOKUP($C66,Segment!$P$383:$U$454,6,0)/1000</f>
        <v>-7975.2173100000018</v>
      </c>
      <c r="Q66" s="203">
        <f>VLOOKUP($C66,Segment!$AD$383:$AI$454,6,0)/1000</f>
        <v>-11734.361309999998</v>
      </c>
      <c r="R66" s="203">
        <f>VLOOKUP($C66,Segment!$AK$383:$AP$454,6,0)/1000</f>
        <v>-13150.603670000002</v>
      </c>
      <c r="S66" s="203">
        <f>VLOOKUP($C66,Segment!$I$460:$N$531,6,0)/1000</f>
        <v>-10670.84779</v>
      </c>
      <c r="T66" s="203">
        <f>VLOOKUP($C66,Segment!$P$460:$U$531,6,0)/1000</f>
        <v>-11703.755550000003</v>
      </c>
      <c r="U66" s="203">
        <f>VLOOKUP($C66,Segment!$AD$460:$AI$531,6,0)/1000</f>
        <v>-11655.239379999999</v>
      </c>
      <c r="V66" s="203">
        <f>VLOOKUP($C66,Segment!$AK$460:$AP$531,6,0)/1000</f>
        <v>-13612.211870000001</v>
      </c>
      <c r="W66" s="132">
        <f t="shared" si="9"/>
        <v>3.5101673777383269E-2</v>
      </c>
      <c r="Y66" s="38"/>
      <c r="Z66" s="38">
        <f>VLOOKUP($C66,Segment!$AK$152:$AP$223,2,0)/1000</f>
        <v>-1772.7914500000002</v>
      </c>
      <c r="AA66" s="38">
        <f>VLOOKUP($C66,Segment!$I$229:$N$300,2,0)/1000</f>
        <v>-1800.124</v>
      </c>
      <c r="AB66" s="38">
        <f>VLOOKUP($C66,Segment!$P$229:$U$300,2,0)/1000</f>
        <v>-3545.7300499999997</v>
      </c>
      <c r="AC66" s="38">
        <f>VLOOKUP($C66,Segment!$AD$229:$AI$300,2,0)/1000</f>
        <v>-3381.6846599999972</v>
      </c>
      <c r="AD66" s="38">
        <f>VLOOKUP($C66,Segment!$AK$229:$AP$300,2,0)/1000</f>
        <v>-4579.971110000004</v>
      </c>
      <c r="AE66" s="38">
        <f>VLOOKUP($C66,Segment!$I$306:$N$377,2,0)/1000</f>
        <v>-4737.6229699999994</v>
      </c>
      <c r="AF66" s="38">
        <f>VLOOKUP($C66,Segment!$P$306:$U$377,2,0)/1000</f>
        <v>-7781.063790000002</v>
      </c>
      <c r="AG66" s="38">
        <f>VLOOKUP($C66,Segment!$AD$306:$AI$377,2,0)/1000</f>
        <v>-4055.5159099999964</v>
      </c>
      <c r="AH66" s="38">
        <f>VLOOKUP($C66,Segment!$AK$306:$AP$377,2,0)/1000</f>
        <v>-9207.8079700000017</v>
      </c>
      <c r="AI66" s="38">
        <f>VLOOKUP($C66,Segment!$I$383:$N$454,2,0)/1000</f>
        <v>-6329.6872999999996</v>
      </c>
      <c r="AJ66" s="38">
        <f>VLOOKUP($C66,Segment!$P$383:$U$454,2,0)/1000</f>
        <v>-6867.8168000000014</v>
      </c>
      <c r="AK66" s="38">
        <f>VLOOKUP($C66,Segment!$AD$383:$AI$454,2,0)/1000</f>
        <v>-10485.032929999999</v>
      </c>
      <c r="AL66" s="38">
        <f>VLOOKUP($C66,Segment!$AK$383:$AP$454,2,0)/1000</f>
        <v>-12885.364990000002</v>
      </c>
      <c r="AM66" s="38">
        <f>VLOOKUP($C66,Segment!$I$460:$N$531,2,0)/1000</f>
        <v>-9394.9259699999984</v>
      </c>
      <c r="AN66" s="38">
        <f>VLOOKUP($C66,Segment!$P$460:$U$531,2,0)/1000</f>
        <v>-10059.831290000004</v>
      </c>
      <c r="AO66" s="38">
        <f>VLOOKUP($C66,Segment!$AD$460:$AI$531,2,0)/1000</f>
        <v>-10129.145109999999</v>
      </c>
      <c r="AP66" s="38">
        <f>VLOOKUP($C66,Segment!$AK$460:$AP$531,2,0)/1000</f>
        <v>-11905.893669999998</v>
      </c>
      <c r="AQ66" s="132">
        <f>AP66/AL66-1</f>
        <v>-7.6014247230105303E-2</v>
      </c>
      <c r="AS66" s="38"/>
      <c r="AT66" s="38">
        <f>VLOOKUP($C66,Segment!$AK$152:$AP$223,3,0)/1000</f>
        <v>0</v>
      </c>
      <c r="AU66" s="38">
        <f>VLOOKUP($C66,Segment!$I$229:$N$300,3,0)/1000</f>
        <v>0</v>
      </c>
      <c r="AV66" s="38">
        <f>VLOOKUP($C66,Segment!$P$229:$U$300,3,0)/1000</f>
        <v>0</v>
      </c>
      <c r="AW66" s="38">
        <f>VLOOKUP($C66,Segment!$AD$229:$AI$300,3,0)/1000</f>
        <v>0</v>
      </c>
      <c r="AX66" s="38">
        <f>VLOOKUP($C66,Segment!$AK$229:$AP$300,3,0)/1000</f>
        <v>0</v>
      </c>
      <c r="AY66" s="38">
        <f>VLOOKUP($C66,Segment!$I$306:$N$377,3,0)/1000</f>
        <v>0</v>
      </c>
      <c r="AZ66" s="38">
        <f>VLOOKUP($C66,Segment!$P$306:$U$377,3,0)/1000</f>
        <v>0</v>
      </c>
      <c r="BA66" s="38">
        <f>VLOOKUP($C66,Segment!$AD$306:$AI$377,3,0)/1000</f>
        <v>0</v>
      </c>
      <c r="BB66" s="38">
        <f>VLOOKUP($C66,Segment!$AK$306:$AP$377,3,0)/1000</f>
        <v>0</v>
      </c>
      <c r="BC66" s="38">
        <f>VLOOKUP($C66,Segment!$I$383:$N$454,3,0)/1000</f>
        <v>0</v>
      </c>
      <c r="BD66" s="38">
        <f>VLOOKUP($C66,Segment!$P$383:$U$454,3,0)/1000</f>
        <v>0</v>
      </c>
      <c r="BE66" s="38">
        <f>VLOOKUP($C66,Segment!$AD$383:$AI$454,3,0)/1000</f>
        <v>0</v>
      </c>
      <c r="BF66" s="38">
        <f>VLOOKUP($C66,Segment!$AK$383:$AP$454,3,0)/1000</f>
        <v>0</v>
      </c>
      <c r="BG66" s="38">
        <f>VLOOKUP($C66,Segment!$I$460:$N$531,3,0)/1000</f>
        <v>0</v>
      </c>
      <c r="BH66" s="38">
        <f>VLOOKUP($C66,Segment!$P$460:$U$531,3,0)/1000</f>
        <v>0</v>
      </c>
      <c r="BI66" s="38">
        <f>VLOOKUP($C66,Segment!$AD$460:$AI$531,3,0)/1000</f>
        <v>0</v>
      </c>
      <c r="BJ66" s="38">
        <f>VLOOKUP($C66,Segment!$AK$460:$AP$531,3,0)/1000</f>
        <v>0</v>
      </c>
      <c r="BL66" s="38"/>
      <c r="BM66" s="38">
        <f>VLOOKUP($C66,Segment!$AK$152:$AP$223,4,0)/1000</f>
        <v>0</v>
      </c>
      <c r="BN66" s="38">
        <f>VLOOKUP($C66,Segment!$I$229:$N$300,4,0)/1000</f>
        <v>0</v>
      </c>
      <c r="BO66" s="38">
        <f>VLOOKUP($C66,Segment!$P$229:$U$300,4,0)/1000</f>
        <v>0</v>
      </c>
      <c r="BP66" s="38">
        <f>VLOOKUP($C66,Segment!$AD$229:$AI$300,4,0)/1000</f>
        <v>0</v>
      </c>
      <c r="BQ66" s="38">
        <f>VLOOKUP($C66,Segment!$AK$229:$AP$300,4,0)/1000</f>
        <v>0</v>
      </c>
      <c r="BR66" s="38">
        <f>VLOOKUP($C66,Segment!$I$306:$N$377,4,0)/1000</f>
        <v>0</v>
      </c>
      <c r="BS66" s="38">
        <f>VLOOKUP($C66,Segment!$P$306:$U$377,4,0)/1000</f>
        <v>0</v>
      </c>
      <c r="BT66" s="38">
        <f>VLOOKUP($C66,Segment!$AD$306:$AI$377,4,0)/1000</f>
        <v>0</v>
      </c>
      <c r="BU66" s="38">
        <f>VLOOKUP($C66,Segment!$AK$306:$AP$377,4,0)/1000</f>
        <v>0</v>
      </c>
      <c r="BV66" s="38">
        <f>VLOOKUP($C66,Segment!$I$383:$N$454,4,0)/1000</f>
        <v>0</v>
      </c>
      <c r="BW66" s="38">
        <f>VLOOKUP($C66,Segment!$P$383:$U$454,4,0)/1000</f>
        <v>0</v>
      </c>
      <c r="BX66" s="38">
        <f>VLOOKUP($C66,Segment!$AD$383:$AI$454,4,0)/1000</f>
        <v>0</v>
      </c>
      <c r="BY66" s="38">
        <f>VLOOKUP($C66,Segment!$AK$383:$AP$454,4,0)/1000</f>
        <v>0</v>
      </c>
      <c r="BZ66" s="38">
        <f>VLOOKUP($C66,Segment!$I$460:$N$531,4,0)/1000</f>
        <v>0</v>
      </c>
      <c r="CA66" s="38">
        <f>VLOOKUP($C66,Segment!$P$460:$U$531,4,0)/1000</f>
        <v>0</v>
      </c>
      <c r="CB66" s="38">
        <f>VLOOKUP($C66,Segment!$AD$460:$AI$531,4,0)/1000</f>
        <v>0</v>
      </c>
      <c r="CC66" s="38">
        <f>VLOOKUP($C66,Segment!$AK$460:$AP$531,4,0)/1000</f>
        <v>0</v>
      </c>
      <c r="CE66" s="38"/>
      <c r="CF66" s="38">
        <f t="shared" si="189"/>
        <v>0</v>
      </c>
      <c r="CG66" s="38">
        <f t="shared" si="189"/>
        <v>0</v>
      </c>
      <c r="CH66" s="38">
        <f t="shared" si="189"/>
        <v>0</v>
      </c>
      <c r="CI66" s="38">
        <f t="shared" si="189"/>
        <v>0</v>
      </c>
      <c r="CJ66" s="38">
        <f t="shared" si="189"/>
        <v>0</v>
      </c>
      <c r="CK66" s="38">
        <f t="shared" si="189"/>
        <v>0</v>
      </c>
      <c r="CL66" s="38">
        <f t="shared" si="189"/>
        <v>0</v>
      </c>
      <c r="CM66" s="38">
        <f t="shared" si="189"/>
        <v>0</v>
      </c>
      <c r="CN66" s="38">
        <f t="shared" si="189"/>
        <v>0</v>
      </c>
      <c r="CO66" s="38">
        <f t="shared" si="189"/>
        <v>0</v>
      </c>
      <c r="CP66" s="38">
        <f t="shared" si="190"/>
        <v>0</v>
      </c>
      <c r="CQ66" s="38">
        <f t="shared" si="190"/>
        <v>0</v>
      </c>
      <c r="CR66" s="38">
        <f t="shared" si="190"/>
        <v>0</v>
      </c>
      <c r="CS66" s="38">
        <f t="shared" si="190"/>
        <v>0</v>
      </c>
      <c r="CT66" s="38">
        <f t="shared" si="190"/>
        <v>0</v>
      </c>
      <c r="CU66" s="38">
        <f t="shared" si="190"/>
        <v>0</v>
      </c>
      <c r="CV66" s="38">
        <f t="shared" si="190"/>
        <v>0</v>
      </c>
      <c r="CY66" s="38"/>
      <c r="CZ66" s="38">
        <f>VLOOKUP($C66,Segment!$AK$152:$AP$223,5,0)/1000</f>
        <v>0</v>
      </c>
      <c r="DA66" s="38">
        <f>VLOOKUP($C66,Segment!$I$229:$N$300,5,0)/1000</f>
        <v>0</v>
      </c>
      <c r="DB66" s="38">
        <f>VLOOKUP($C66,Segment!$P$229:$U$300,5,0)/1000</f>
        <v>0</v>
      </c>
      <c r="DC66" s="38">
        <f>VLOOKUP($C66,Segment!$AD$229:$AI$300,5,0)/1000</f>
        <v>0</v>
      </c>
      <c r="DD66" s="38">
        <f>VLOOKUP($C66,Segment!$AK$229:$AP$300,5,0)/1000</f>
        <v>-1312.0648600000002</v>
      </c>
      <c r="DE66" s="38">
        <f>VLOOKUP($C66,Segment!$I$306:$N$377,5,0)/1000</f>
        <v>-687.25396000000001</v>
      </c>
      <c r="DF66" s="38">
        <f>VLOOKUP($C66,Segment!$P$306:$U$377,5,0)/1000</f>
        <v>-248.12962999999999</v>
      </c>
      <c r="DG66" s="38">
        <f>VLOOKUP($C66,Segment!$AD$306:$AI$377,5,0)/1000</f>
        <v>-275.54540000000026</v>
      </c>
      <c r="DH66" s="38">
        <f>VLOOKUP($C66,Segment!$AK$306:$AP$377,5,0)/1000</f>
        <v>-430.4686499999998</v>
      </c>
      <c r="DI66" s="38">
        <f>VLOOKUP($C66,Segment!$I$383:$N$454,5,0)/1000</f>
        <v>-548.06058000000007</v>
      </c>
      <c r="DJ66" s="38">
        <f>VLOOKUP($C66,Segment!$P$383:$U$454,5,0)/1000</f>
        <v>-1107.4005099999997</v>
      </c>
      <c r="DK66" s="38">
        <f>VLOOKUP($C66,Segment!$AD$383:$AI$454,5,0)/1000</f>
        <v>-1249.3283799999999</v>
      </c>
      <c r="DL66" s="38">
        <f>VLOOKUP($C66,Segment!$AK$383:$AP$454,5,0)/1000</f>
        <v>-265.23868000000016</v>
      </c>
      <c r="DM66" s="38">
        <f>VLOOKUP($C66,Segment!$I$460:$N$531,5,0)/1000</f>
        <v>-1275.9218199999998</v>
      </c>
      <c r="DN66" s="38">
        <f>VLOOKUP($C66,Segment!$P$460:$U$531,5,0)/1000</f>
        <v>-1643.9242600000002</v>
      </c>
      <c r="DO66" s="38">
        <f>VLOOKUP($C66,Segment!$AD$460:$AI$531,5,0)/1000</f>
        <v>-1526.0942700000005</v>
      </c>
      <c r="DP66" s="38">
        <f>VLOOKUP($C66,Segment!$AK$460:$AP$531,5,0)/1000</f>
        <v>-1706.3182000000002</v>
      </c>
    </row>
    <row r="67" spans="3:120" ht="13.5" thickBot="1" x14ac:dyDescent="0.35">
      <c r="C67" s="50" t="s">
        <v>37</v>
      </c>
      <c r="D67" s="114"/>
      <c r="E67" s="58"/>
      <c r="F67" s="58">
        <f t="shared" ref="F67:M67" si="191">SUM(F65:F66)</f>
        <v>-1462.8313400000002</v>
      </c>
      <c r="G67" s="58">
        <f t="shared" si="191"/>
        <v>3745.5460000000003</v>
      </c>
      <c r="H67" s="58">
        <f t="shared" si="191"/>
        <v>-746.52427000000034</v>
      </c>
      <c r="I67" s="58">
        <f t="shared" si="191"/>
        <v>-128.6787899999963</v>
      </c>
      <c r="J67" s="58">
        <f t="shared" si="191"/>
        <v>1098.2423699999972</v>
      </c>
      <c r="K67" s="58">
        <f t="shared" si="191"/>
        <v>-454.12320999999974</v>
      </c>
      <c r="L67" s="58">
        <f t="shared" si="191"/>
        <v>-2242.3511700000017</v>
      </c>
      <c r="M67" s="58">
        <f t="shared" si="191"/>
        <v>1809.3531800000028</v>
      </c>
      <c r="N67" s="58">
        <f t="shared" ref="N67:V67" si="192">SUM(N65:N66)</f>
        <v>-3786.2143900000037</v>
      </c>
      <c r="O67" s="58">
        <f t="shared" si="192"/>
        <v>3927.0330199999999</v>
      </c>
      <c r="P67" s="58">
        <f t="shared" si="192"/>
        <v>-856.35397000000194</v>
      </c>
      <c r="Q67" s="58">
        <f t="shared" si="192"/>
        <v>-3133.7450499999959</v>
      </c>
      <c r="R67" s="58">
        <f t="shared" si="192"/>
        <v>-5407.2190000000001</v>
      </c>
      <c r="S67" s="58">
        <f t="shared" si="192"/>
        <v>-1124.6072399999994</v>
      </c>
      <c r="T67" s="58">
        <f t="shared" si="192"/>
        <v>-866.55277000000569</v>
      </c>
      <c r="U67" s="58">
        <f t="shared" si="192"/>
        <v>599.4078000000045</v>
      </c>
      <c r="V67" s="58">
        <f t="shared" si="192"/>
        <v>7690.3727599999966</v>
      </c>
      <c r="W67" s="174">
        <f t="shared" si="9"/>
        <v>-2.4222417771501386</v>
      </c>
      <c r="X67" s="132"/>
      <c r="Y67" s="58"/>
      <c r="Z67" s="58">
        <f t="shared" ref="Z67:AG67" si="193">SUM(Z65:Z66)</f>
        <v>-1462.8313400000002</v>
      </c>
      <c r="AA67" s="58">
        <f t="shared" si="193"/>
        <v>3337.6460000000006</v>
      </c>
      <c r="AB67" s="58">
        <f t="shared" si="193"/>
        <v>-1387.4502700000003</v>
      </c>
      <c r="AC67" s="58">
        <f t="shared" si="193"/>
        <v>-510.0577899999962</v>
      </c>
      <c r="AD67" s="58">
        <f t="shared" si="193"/>
        <v>-1103.4215000000027</v>
      </c>
      <c r="AE67" s="58">
        <f t="shared" si="193"/>
        <v>-1923.9473899999994</v>
      </c>
      <c r="AF67" s="58">
        <f t="shared" si="193"/>
        <v>-3081.9132100000015</v>
      </c>
      <c r="AG67" s="58">
        <f t="shared" si="193"/>
        <v>717.77248000000236</v>
      </c>
      <c r="AH67" s="58">
        <f t="shared" ref="AH67:AP67" si="194">SUM(AH65:AH66)</f>
        <v>-3856.469170000003</v>
      </c>
      <c r="AI67" s="58">
        <f t="shared" si="194"/>
        <v>2441.8033799999994</v>
      </c>
      <c r="AJ67" s="58">
        <f t="shared" si="194"/>
        <v>-1239.0108800000016</v>
      </c>
      <c r="AK67" s="58">
        <f t="shared" si="194"/>
        <v>-5202.0499699999964</v>
      </c>
      <c r="AL67" s="58">
        <f t="shared" si="194"/>
        <v>-7152.3364599999986</v>
      </c>
      <c r="AM67" s="58">
        <f t="shared" si="194"/>
        <v>-3496.5928499999982</v>
      </c>
      <c r="AN67" s="58">
        <f t="shared" si="194"/>
        <v>-4611.7391000000052</v>
      </c>
      <c r="AO67" s="58">
        <f t="shared" si="194"/>
        <v>-3947.866259999998</v>
      </c>
      <c r="AP67" s="58">
        <f t="shared" si="194"/>
        <v>3243.1677100000052</v>
      </c>
      <c r="AQ67" s="174">
        <f>AP67/AL67-1</f>
        <v>-1.453441714905007</v>
      </c>
      <c r="AR67" s="58"/>
      <c r="AS67" s="58"/>
      <c r="AT67" s="58">
        <f t="shared" ref="AT67:BA67" si="195">SUM(AT65:AT66)</f>
        <v>0</v>
      </c>
      <c r="AU67" s="58">
        <f t="shared" si="195"/>
        <v>407.9</v>
      </c>
      <c r="AV67" s="58">
        <f t="shared" si="195"/>
        <v>640.92600000000004</v>
      </c>
      <c r="AW67" s="58">
        <f t="shared" si="195"/>
        <v>381.37900000000002</v>
      </c>
      <c r="AX67" s="58">
        <f t="shared" si="195"/>
        <v>1378.4380000000001</v>
      </c>
      <c r="AY67" s="58">
        <f t="shared" si="195"/>
        <v>840.29899999999998</v>
      </c>
      <c r="AZ67" s="58">
        <f t="shared" si="195"/>
        <v>536.05700000000002</v>
      </c>
      <c r="BA67" s="58">
        <f t="shared" si="195"/>
        <v>698.94500000000005</v>
      </c>
      <c r="BB67" s="58">
        <f t="shared" ref="BB67:BJ67" si="196">SUM(BB65:BB66)</f>
        <v>301.90800000000002</v>
      </c>
      <c r="BC67" s="58">
        <f t="shared" si="196"/>
        <v>945.80100000000004</v>
      </c>
      <c r="BD67" s="58">
        <f t="shared" si="196"/>
        <v>218.339</v>
      </c>
      <c r="BE67" s="58">
        <f t="shared" si="196"/>
        <v>327.899</v>
      </c>
      <c r="BF67" s="58">
        <f t="shared" si="196"/>
        <v>-442.34699999999998</v>
      </c>
      <c r="BG67" s="58">
        <f t="shared" si="196"/>
        <v>335.88900000000001</v>
      </c>
      <c r="BH67" s="58">
        <f t="shared" si="196"/>
        <v>358.36</v>
      </c>
      <c r="BI67" s="58">
        <f t="shared" si="196"/>
        <v>450.78300000000002</v>
      </c>
      <c r="BJ67" s="58">
        <f t="shared" si="196"/>
        <v>-373.178</v>
      </c>
      <c r="BK67" s="58"/>
      <c r="BL67" s="58"/>
      <c r="BM67" s="58">
        <f t="shared" ref="BM67:BT67" si="197">SUM(BM65:BM66)</f>
        <v>0</v>
      </c>
      <c r="BN67" s="58">
        <f t="shared" si="197"/>
        <v>0</v>
      </c>
      <c r="BO67" s="58">
        <f t="shared" si="197"/>
        <v>0</v>
      </c>
      <c r="BP67" s="58">
        <f t="shared" si="197"/>
        <v>0</v>
      </c>
      <c r="BQ67" s="58">
        <f t="shared" si="197"/>
        <v>0</v>
      </c>
      <c r="BR67" s="58">
        <f t="shared" si="197"/>
        <v>0</v>
      </c>
      <c r="BS67" s="58">
        <f t="shared" si="197"/>
        <v>0</v>
      </c>
      <c r="BT67" s="58">
        <f t="shared" si="197"/>
        <v>0</v>
      </c>
      <c r="BU67" s="58">
        <f t="shared" ref="BU67:CC67" si="198">SUM(BU65:BU66)</f>
        <v>0</v>
      </c>
      <c r="BV67" s="58">
        <f t="shared" si="198"/>
        <v>0</v>
      </c>
      <c r="BW67" s="58">
        <f t="shared" si="198"/>
        <v>0</v>
      </c>
      <c r="BX67" s="58">
        <f t="shared" si="198"/>
        <v>0</v>
      </c>
      <c r="BY67" s="58">
        <f t="shared" si="198"/>
        <v>0</v>
      </c>
      <c r="BZ67" s="58">
        <f t="shared" si="198"/>
        <v>0</v>
      </c>
      <c r="CA67" s="58">
        <f t="shared" si="198"/>
        <v>0</v>
      </c>
      <c r="CB67" s="58">
        <f t="shared" si="198"/>
        <v>0</v>
      </c>
      <c r="CC67" s="58">
        <f t="shared" si="198"/>
        <v>0</v>
      </c>
      <c r="CD67" s="58"/>
      <c r="CE67" s="58"/>
      <c r="CF67" s="58">
        <f t="shared" ref="CF67:CM67" si="199">SUM(CF65:CF66)</f>
        <v>0</v>
      </c>
      <c r="CG67" s="58">
        <f t="shared" si="199"/>
        <v>407.9</v>
      </c>
      <c r="CH67" s="58">
        <f t="shared" si="199"/>
        <v>640.92600000000004</v>
      </c>
      <c r="CI67" s="58">
        <f t="shared" si="199"/>
        <v>381.37900000000002</v>
      </c>
      <c r="CJ67" s="58">
        <f t="shared" si="199"/>
        <v>1378.4380000000001</v>
      </c>
      <c r="CK67" s="58">
        <f t="shared" si="199"/>
        <v>840.29899999999998</v>
      </c>
      <c r="CL67" s="58">
        <f t="shared" si="199"/>
        <v>536.05700000000002</v>
      </c>
      <c r="CM67" s="58">
        <f t="shared" si="199"/>
        <v>698.94500000000005</v>
      </c>
      <c r="CN67" s="58">
        <f t="shared" ref="CN67:CV67" si="200">SUM(CN65:CN66)</f>
        <v>301.90800000000002</v>
      </c>
      <c r="CO67" s="58">
        <f t="shared" si="200"/>
        <v>945.80100000000004</v>
      </c>
      <c r="CP67" s="58">
        <f t="shared" si="200"/>
        <v>218.339</v>
      </c>
      <c r="CQ67" s="58">
        <f t="shared" si="200"/>
        <v>327.899</v>
      </c>
      <c r="CR67" s="58">
        <f t="shared" si="200"/>
        <v>-442.34699999999998</v>
      </c>
      <c r="CS67" s="58">
        <f t="shared" si="200"/>
        <v>335.88900000000001</v>
      </c>
      <c r="CT67" s="58">
        <f t="shared" si="200"/>
        <v>358.36</v>
      </c>
      <c r="CU67" s="58">
        <f t="shared" si="200"/>
        <v>450.78300000000002</v>
      </c>
      <c r="CV67" s="58">
        <f t="shared" si="200"/>
        <v>-373.178</v>
      </c>
      <c r="CW67" s="174">
        <f>CV67/CR67-1</f>
        <v>-0.15636819058341078</v>
      </c>
      <c r="CX67" s="58"/>
      <c r="CY67" s="58"/>
      <c r="CZ67" s="58">
        <f t="shared" ref="CZ67:DG67" si="201">SUM(CZ65:CZ66)</f>
        <v>0</v>
      </c>
      <c r="DA67" s="58">
        <f t="shared" si="201"/>
        <v>0</v>
      </c>
      <c r="DB67" s="58">
        <f t="shared" si="201"/>
        <v>0</v>
      </c>
      <c r="DC67" s="58">
        <f t="shared" si="201"/>
        <v>0</v>
      </c>
      <c r="DD67" s="58">
        <f t="shared" si="201"/>
        <v>823.22586999999999</v>
      </c>
      <c r="DE67" s="58">
        <f t="shared" si="201"/>
        <v>629.52517999999986</v>
      </c>
      <c r="DF67" s="58">
        <f t="shared" si="201"/>
        <v>303.50503999999989</v>
      </c>
      <c r="DG67" s="58">
        <f t="shared" si="201"/>
        <v>392.6357000000001</v>
      </c>
      <c r="DH67" s="58">
        <f t="shared" ref="DH67:DP67" si="202">SUM(DH65:DH66)</f>
        <v>-231.65321999999964</v>
      </c>
      <c r="DI67" s="58">
        <f t="shared" si="202"/>
        <v>539.42863999999986</v>
      </c>
      <c r="DJ67" s="58">
        <f t="shared" si="202"/>
        <v>164.31791000000044</v>
      </c>
      <c r="DK67" s="58">
        <f t="shared" si="202"/>
        <v>1740.4059199999992</v>
      </c>
      <c r="DL67" s="58">
        <f t="shared" si="202"/>
        <v>2187.4644599999992</v>
      </c>
      <c r="DM67" s="58">
        <f t="shared" si="202"/>
        <v>2036.0966100000003</v>
      </c>
      <c r="DN67" s="58">
        <f t="shared" si="202"/>
        <v>3386.8263299999994</v>
      </c>
      <c r="DO67" s="58">
        <f t="shared" si="202"/>
        <v>4096.4910600000003</v>
      </c>
      <c r="DP67" s="58">
        <f t="shared" si="202"/>
        <v>4820.3830499999967</v>
      </c>
    </row>
    <row r="68" spans="3:120" ht="13.5" thickTop="1" x14ac:dyDescent="0.3">
      <c r="C68" s="45"/>
      <c r="D68" s="112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172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172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L68" s="45"/>
      <c r="BM68" s="45"/>
      <c r="BN68" s="45"/>
      <c r="BO68" s="45"/>
      <c r="BP68" s="45"/>
      <c r="BQ68" s="45"/>
      <c r="BR68" s="45"/>
      <c r="BS68" s="45"/>
      <c r="BT68" s="45"/>
      <c r="BU68" s="45"/>
      <c r="BV68" s="45"/>
      <c r="BW68" s="45"/>
      <c r="BX68" s="45"/>
      <c r="BY68" s="45"/>
      <c r="BZ68" s="45"/>
      <c r="CA68" s="45"/>
      <c r="CB68" s="45"/>
      <c r="CC68" s="45"/>
      <c r="CE68" s="45"/>
      <c r="CF68" s="45"/>
      <c r="CG68" s="45"/>
      <c r="CH68" s="45"/>
      <c r="CI68" s="45"/>
      <c r="CJ68" s="45"/>
      <c r="CK68" s="45"/>
      <c r="CL68" s="45"/>
      <c r="CM68" s="45"/>
      <c r="CN68" s="45"/>
      <c r="CO68" s="45"/>
      <c r="CP68" s="45"/>
      <c r="CQ68" s="45"/>
      <c r="CR68" s="45"/>
      <c r="CS68" s="45"/>
      <c r="CT68" s="45"/>
      <c r="CU68" s="45"/>
      <c r="CV68" s="45"/>
      <c r="CW68" s="172"/>
      <c r="CY68" s="45"/>
      <c r="CZ68" s="45"/>
      <c r="DA68" s="45"/>
      <c r="DB68" s="45"/>
      <c r="DC68" s="45"/>
      <c r="DD68" s="45"/>
      <c r="DE68" s="45"/>
      <c r="DF68" s="45"/>
      <c r="DG68" s="45"/>
      <c r="DH68" s="45"/>
      <c r="DI68" s="45"/>
      <c r="DJ68" s="45"/>
      <c r="DK68" s="45"/>
      <c r="DL68" s="45"/>
      <c r="DM68" s="45"/>
      <c r="DN68" s="45"/>
      <c r="DO68" s="45"/>
      <c r="DP68" s="45"/>
    </row>
    <row r="69" spans="3:120" ht="13.5" thickBot="1" x14ac:dyDescent="0.35">
      <c r="C69" s="50" t="s">
        <v>100</v>
      </c>
      <c r="D69" s="114"/>
      <c r="E69" s="58"/>
      <c r="F69" s="58">
        <f t="shared" ref="F69:P69" si="203">F35+F62+F67</f>
        <v>323478.86067637167</v>
      </c>
      <c r="G69" s="58">
        <f t="shared" si="203"/>
        <v>282484.67475629994</v>
      </c>
      <c r="H69" s="58">
        <f t="shared" si="203"/>
        <v>283693.12259871978</v>
      </c>
      <c r="I69" s="58">
        <f t="shared" si="203"/>
        <v>320087.79788098228</v>
      </c>
      <c r="J69" s="58">
        <f t="shared" si="203"/>
        <v>341945.16032245802</v>
      </c>
      <c r="K69" s="58">
        <f t="shared" si="203"/>
        <v>418887.0950264468</v>
      </c>
      <c r="L69" s="58">
        <f t="shared" si="203"/>
        <v>368288.73477886227</v>
      </c>
      <c r="M69" s="58">
        <f t="shared" si="203"/>
        <v>350548.20943813253</v>
      </c>
      <c r="N69" s="58">
        <f t="shared" si="203"/>
        <v>505046.85723365372</v>
      </c>
      <c r="O69" s="58">
        <f t="shared" si="203"/>
        <v>548066.31373609696</v>
      </c>
      <c r="P69" s="58">
        <f t="shared" si="203"/>
        <v>543677.04878734681</v>
      </c>
      <c r="Q69" s="58">
        <f t="shared" ref="Q69:V69" si="204">Q35+Q62+Q67</f>
        <v>508647.74837325647</v>
      </c>
      <c r="R69" s="58">
        <f t="shared" si="204"/>
        <v>483442.78511909611</v>
      </c>
      <c r="S69" s="58">
        <f t="shared" si="204"/>
        <v>442846.86183599872</v>
      </c>
      <c r="T69" s="58">
        <f t="shared" si="204"/>
        <v>561827.58109301259</v>
      </c>
      <c r="U69" s="58">
        <f t="shared" si="204"/>
        <v>691613.86810082884</v>
      </c>
      <c r="V69" s="58">
        <f t="shared" si="204"/>
        <v>767084.85791314964</v>
      </c>
      <c r="W69" s="174">
        <f t="shared" si="9"/>
        <v>0.58671280557879935</v>
      </c>
      <c r="X69" s="132">
        <f>SUM(U69:V69)/SUM(S69:T69)-1</f>
        <v>0.45191184694746722</v>
      </c>
      <c r="Y69" s="58"/>
      <c r="Z69" s="58">
        <f t="shared" ref="Z69:AJ69" si="205">Z35+Z62+Z67</f>
        <v>310486.16967637168</v>
      </c>
      <c r="AA69" s="58">
        <f t="shared" si="205"/>
        <v>235591.15175629998</v>
      </c>
      <c r="AB69" s="58">
        <f t="shared" si="205"/>
        <v>253527.0420265198</v>
      </c>
      <c r="AC69" s="58">
        <f t="shared" si="205"/>
        <v>287861.04617718229</v>
      </c>
      <c r="AD69" s="58">
        <f t="shared" si="205"/>
        <v>311457.77299245802</v>
      </c>
      <c r="AE69" s="58">
        <f t="shared" si="205"/>
        <v>358763.63974544004</v>
      </c>
      <c r="AF69" s="58">
        <f t="shared" si="205"/>
        <v>317224.19012241991</v>
      </c>
      <c r="AG69" s="58">
        <f t="shared" si="205"/>
        <v>297632.00701042422</v>
      </c>
      <c r="AH69" s="58">
        <f t="shared" si="205"/>
        <v>463699.81829145295</v>
      </c>
      <c r="AI69" s="58">
        <f t="shared" si="205"/>
        <v>464575.20742031618</v>
      </c>
      <c r="AJ69" s="58">
        <f t="shared" si="205"/>
        <v>468991.77666940552</v>
      </c>
      <c r="AK69" s="58">
        <f t="shared" ref="AK69:AP69" si="206">AK35+AK62+AK67</f>
        <v>425427.71891914762</v>
      </c>
      <c r="AL69" s="58">
        <f t="shared" si="206"/>
        <v>371033.0868999855</v>
      </c>
      <c r="AM69" s="58">
        <f t="shared" si="206"/>
        <v>321582.18957558752</v>
      </c>
      <c r="AN69" s="58">
        <f t="shared" si="206"/>
        <v>420770.57066071877</v>
      </c>
      <c r="AO69" s="58">
        <f t="shared" si="206"/>
        <v>585464.13029337663</v>
      </c>
      <c r="AP69" s="58">
        <f t="shared" si="206"/>
        <v>650180.19701931917</v>
      </c>
      <c r="AQ69" s="174">
        <f>AP69/AL69-1</f>
        <v>0.75235098964254821</v>
      </c>
      <c r="AR69" s="58"/>
      <c r="AS69" s="58"/>
      <c r="AT69" s="58">
        <f t="shared" ref="AT69:BD69" si="207">AT35+AT62+AT67</f>
        <v>5763.5489999999818</v>
      </c>
      <c r="AU69" s="58">
        <f t="shared" si="207"/>
        <v>38519.38600000002</v>
      </c>
      <c r="AV69" s="58">
        <f t="shared" si="207"/>
        <v>22285.796999999988</v>
      </c>
      <c r="AW69" s="58">
        <f t="shared" si="207"/>
        <v>19352.195</v>
      </c>
      <c r="AX69" s="58">
        <f t="shared" si="207"/>
        <v>19134.844999999987</v>
      </c>
      <c r="AY69" s="58">
        <f t="shared" si="207"/>
        <v>48353.243000000002</v>
      </c>
      <c r="AZ69" s="58">
        <f t="shared" si="207"/>
        <v>40665.976999999992</v>
      </c>
      <c r="BA69" s="58">
        <f t="shared" si="207"/>
        <v>41830.359999999986</v>
      </c>
      <c r="BB69" s="58">
        <f t="shared" si="207"/>
        <v>33608.974999999999</v>
      </c>
      <c r="BC69" s="58">
        <f t="shared" si="207"/>
        <v>74334.292999999961</v>
      </c>
      <c r="BD69" s="58">
        <f t="shared" si="207"/>
        <v>69121.816000000021</v>
      </c>
      <c r="BE69" s="58">
        <f t="shared" ref="BE69:BJ69" si="208">BE35+BE62+BE67</f>
        <v>72202.833000000028</v>
      </c>
      <c r="BF69" s="58">
        <f t="shared" si="208"/>
        <v>71083.366000000024</v>
      </c>
      <c r="BG69" s="58">
        <f t="shared" si="208"/>
        <v>103150.13899999997</v>
      </c>
      <c r="BH69" s="58">
        <f t="shared" si="208"/>
        <v>123313.433</v>
      </c>
      <c r="BI69" s="58">
        <f t="shared" si="208"/>
        <v>80045.275000000038</v>
      </c>
      <c r="BJ69" s="58">
        <f t="shared" si="208"/>
        <v>99728.481999999989</v>
      </c>
      <c r="BK69" s="58"/>
      <c r="BL69" s="58"/>
      <c r="BM69" s="58">
        <f t="shared" ref="BM69:BW69" si="209">BM35+BM62+BM67</f>
        <v>7229.1419999999998</v>
      </c>
      <c r="BN69" s="58">
        <f t="shared" si="209"/>
        <v>8374.1370000000006</v>
      </c>
      <c r="BO69" s="58">
        <f t="shared" si="209"/>
        <v>8007.7268760000015</v>
      </c>
      <c r="BP69" s="58">
        <f t="shared" si="209"/>
        <v>12747.113399999995</v>
      </c>
      <c r="BQ69" s="58">
        <f t="shared" si="209"/>
        <v>9954.0808599999964</v>
      </c>
      <c r="BR69" s="58">
        <f t="shared" si="209"/>
        <v>9348.0054</v>
      </c>
      <c r="BS69" s="58">
        <f t="shared" si="209"/>
        <v>7650.1382200000053</v>
      </c>
      <c r="BT69" s="58">
        <f t="shared" si="209"/>
        <v>8490.8822700000001</v>
      </c>
      <c r="BU69" s="58">
        <f t="shared" si="209"/>
        <v>7702.1380799999997</v>
      </c>
      <c r="BV69" s="58">
        <f t="shared" si="209"/>
        <v>7867.4888310000033</v>
      </c>
      <c r="BW69" s="58">
        <f t="shared" si="209"/>
        <v>4420.0332419999895</v>
      </c>
      <c r="BX69" s="58">
        <f t="shared" ref="BX69:CC69" si="210">BX35+BX62+BX67</f>
        <v>11272.703440000016</v>
      </c>
      <c r="BY69" s="58">
        <f t="shared" si="210"/>
        <v>39398.307509999999</v>
      </c>
      <c r="BZ69" s="58">
        <f t="shared" si="210"/>
        <v>17468.547009999991</v>
      </c>
      <c r="CA69" s="58">
        <f t="shared" si="210"/>
        <v>17897.949899999996</v>
      </c>
      <c r="CB69" s="58">
        <f t="shared" si="210"/>
        <v>22154.323939999998</v>
      </c>
      <c r="CC69" s="58">
        <f t="shared" si="210"/>
        <v>14809.888990000023</v>
      </c>
      <c r="CD69" s="58"/>
      <c r="CE69" s="58"/>
      <c r="CF69" s="58">
        <f t="shared" ref="CF69:CP69" si="211">CF35+CF62+CF67</f>
        <v>12992.690999999981</v>
      </c>
      <c r="CG69" s="58">
        <f t="shared" si="211"/>
        <v>46893.523000000023</v>
      </c>
      <c r="CH69" s="58">
        <f t="shared" si="211"/>
        <v>30293.523875999992</v>
      </c>
      <c r="CI69" s="58">
        <f t="shared" si="211"/>
        <v>32099.308399999994</v>
      </c>
      <c r="CJ69" s="58">
        <f t="shared" si="211"/>
        <v>29088.925859999988</v>
      </c>
      <c r="CK69" s="58">
        <f t="shared" si="211"/>
        <v>57701.248400000004</v>
      </c>
      <c r="CL69" s="58">
        <f t="shared" si="211"/>
        <v>48316.115220000007</v>
      </c>
      <c r="CM69" s="58">
        <f t="shared" si="211"/>
        <v>50321.242269999995</v>
      </c>
      <c r="CN69" s="58">
        <f t="shared" si="211"/>
        <v>41311.113079999996</v>
      </c>
      <c r="CO69" s="58">
        <f t="shared" si="211"/>
        <v>82201.781830999971</v>
      </c>
      <c r="CP69" s="58">
        <f t="shared" si="211"/>
        <v>73541.849241999997</v>
      </c>
      <c r="CQ69" s="58">
        <f t="shared" ref="CQ69:CV69" si="212">CQ35+CQ62+CQ67</f>
        <v>83475.53644000004</v>
      </c>
      <c r="CR69" s="58">
        <f t="shared" si="212"/>
        <v>110481.67351000002</v>
      </c>
      <c r="CS69" s="58">
        <f t="shared" si="212"/>
        <v>120618.68600999998</v>
      </c>
      <c r="CT69" s="58">
        <f t="shared" si="212"/>
        <v>141211.38289999997</v>
      </c>
      <c r="CU69" s="58">
        <f t="shared" si="212"/>
        <v>102199.59894000003</v>
      </c>
      <c r="CV69" s="58">
        <f t="shared" si="212"/>
        <v>114538.37099000002</v>
      </c>
      <c r="CW69" s="174">
        <f>CV69/CR69-1</f>
        <v>3.6718284138163693E-2</v>
      </c>
      <c r="CX69" s="174"/>
      <c r="CY69" s="58"/>
      <c r="CZ69" s="58">
        <f t="shared" ref="CZ69:DJ69" si="213">CZ35+CZ62+CZ67</f>
        <v>0</v>
      </c>
      <c r="DA69" s="58">
        <f t="shared" si="213"/>
        <v>0</v>
      </c>
      <c r="DB69" s="58">
        <f t="shared" si="213"/>
        <v>-127.44330380000001</v>
      </c>
      <c r="DC69" s="58">
        <f t="shared" si="213"/>
        <v>127.44330380000001</v>
      </c>
      <c r="DD69" s="58">
        <f t="shared" si="213"/>
        <v>1398.46147</v>
      </c>
      <c r="DE69" s="58">
        <f t="shared" si="213"/>
        <v>2422.2068810068113</v>
      </c>
      <c r="DF69" s="58">
        <f t="shared" si="213"/>
        <v>2748.429436442214</v>
      </c>
      <c r="DG69" s="58">
        <f t="shared" si="213"/>
        <v>2594.9601577082744</v>
      </c>
      <c r="DH69" s="58">
        <f t="shared" si="213"/>
        <v>35.925862200726954</v>
      </c>
      <c r="DI69" s="58">
        <f t="shared" si="213"/>
        <v>1289.3244847807161</v>
      </c>
      <c r="DJ69" s="58">
        <f t="shared" si="213"/>
        <v>1143.4228759413156</v>
      </c>
      <c r="DK69" s="58">
        <f t="shared" ref="DK69:DP69" si="214">DK35+DK62+DK67</f>
        <v>-255.50698589124522</v>
      </c>
      <c r="DL69" s="58">
        <f t="shared" si="214"/>
        <v>1928.0247091104711</v>
      </c>
      <c r="DM69" s="58">
        <f t="shared" si="214"/>
        <v>645.98625041128048</v>
      </c>
      <c r="DN69" s="58">
        <f t="shared" si="214"/>
        <v>-154.37246770625416</v>
      </c>
      <c r="DO69" s="58">
        <f t="shared" si="214"/>
        <v>3950.1388674522977</v>
      </c>
      <c r="DP69" s="58">
        <f t="shared" si="214"/>
        <v>2366.2899038303958</v>
      </c>
    </row>
    <row r="70" spans="3:120" ht="13.5" thickTop="1" x14ac:dyDescent="0.3">
      <c r="C70" s="36" t="s">
        <v>212</v>
      </c>
      <c r="D70" s="112"/>
      <c r="E70" s="45"/>
      <c r="F70" s="203">
        <v>0</v>
      </c>
      <c r="G70" s="203">
        <v>0</v>
      </c>
      <c r="H70" s="203">
        <v>0</v>
      </c>
      <c r="I70" s="203">
        <v>0</v>
      </c>
      <c r="J70" s="203">
        <v>0</v>
      </c>
      <c r="K70" s="203">
        <v>0</v>
      </c>
      <c r="L70" s="203">
        <v>0</v>
      </c>
      <c r="M70" s="203">
        <v>0</v>
      </c>
      <c r="N70" s="203">
        <v>0</v>
      </c>
      <c r="O70" s="203">
        <f>VLOOKUP($C70,Segment!$I$383:$N$454,6,0)/1000</f>
        <v>0</v>
      </c>
      <c r="P70" s="203">
        <f>VLOOKUP($C70,Segment!$P$383:$U$454,6,0)/1000</f>
        <v>0</v>
      </c>
      <c r="Q70" s="203">
        <f>VLOOKUP($C70,Segment!$AD$383:$AI$454,6,0)/1000</f>
        <v>0</v>
      </c>
      <c r="R70" s="203">
        <f>VLOOKUP($C70,Segment!$AK$383:$AP$454,6,0)/1000</f>
        <v>194676.58113999999</v>
      </c>
      <c r="S70" s="203">
        <f>VLOOKUP($C70,Segment!$I$460:$N$531,6,0)/1000</f>
        <v>0</v>
      </c>
      <c r="T70" s="203">
        <f>VLOOKUP($C70,Segment!$P$460:$U$531,6,0)/1000</f>
        <v>0</v>
      </c>
      <c r="U70" s="203">
        <f>VLOOKUP($C70,Segment!$AD$460:$AI$531,6,0)/1000</f>
        <v>0</v>
      </c>
      <c r="V70" s="203">
        <f>VLOOKUP($C70,Segment!$AK$460:$AP$531,6,0)/1000</f>
        <v>0</v>
      </c>
      <c r="W70" s="132">
        <f t="shared" ref="W70:W130" si="215">V70/R70-1</f>
        <v>-1</v>
      </c>
      <c r="Y70" s="45"/>
      <c r="Z70" s="38"/>
      <c r="AA70" s="38"/>
      <c r="AB70" s="38"/>
      <c r="AC70" s="38"/>
      <c r="AD70" s="38"/>
      <c r="AE70" s="38"/>
      <c r="AF70" s="38"/>
      <c r="AG70" s="38"/>
      <c r="AH70" s="38"/>
      <c r="AI70" s="38">
        <f>VLOOKUP($C70,Segment!$I$383:$N$454,2,0)/1000</f>
        <v>0</v>
      </c>
      <c r="AJ70" s="38">
        <f>VLOOKUP($C70,Segment!$P$383:$U$454,2,0)/1000</f>
        <v>0</v>
      </c>
      <c r="AK70" s="38">
        <f>VLOOKUP($C70,Segment!$AD$383:$AI$454,2,0)/1000</f>
        <v>0</v>
      </c>
      <c r="AL70" s="38">
        <f>VLOOKUP($C70,Segment!$AK$383:$AP$454,2,0)/1000</f>
        <v>194676.58113999999</v>
      </c>
      <c r="AM70" s="38">
        <f>VLOOKUP($C70,Segment!$I$460:$N$531,2,0)/1000</f>
        <v>0</v>
      </c>
      <c r="AN70" s="38">
        <f>VLOOKUP($C70,Segment!$P$460:$U$531,2,0)/1000</f>
        <v>0</v>
      </c>
      <c r="AO70" s="38">
        <f>VLOOKUP($C70,Segment!$AD$460:$AI$531,2,0)/1000</f>
        <v>0</v>
      </c>
      <c r="AP70" s="38">
        <f>VLOOKUP($C70,Segment!$AK$460:$AP$531,2,0)/1000</f>
        <v>0</v>
      </c>
      <c r="AQ70" s="132">
        <f>AP70/AL70-1</f>
        <v>-1</v>
      </c>
      <c r="AS70" s="45"/>
      <c r="AT70" s="38">
        <v>0</v>
      </c>
      <c r="AU70" s="38">
        <v>0</v>
      </c>
      <c r="AV70" s="38">
        <v>0</v>
      </c>
      <c r="AW70" s="38">
        <v>0</v>
      </c>
      <c r="AX70" s="38">
        <v>0</v>
      </c>
      <c r="AY70" s="38">
        <v>0</v>
      </c>
      <c r="AZ70" s="38">
        <v>0</v>
      </c>
      <c r="BA70" s="38">
        <v>0</v>
      </c>
      <c r="BB70" s="38">
        <v>0</v>
      </c>
      <c r="BC70" s="38">
        <f>VLOOKUP($C70,Segment!$I$383:$N$454,3,0)/1000</f>
        <v>0</v>
      </c>
      <c r="BD70" s="38">
        <f>VLOOKUP($C70,Segment!$P$383:$U$454,3,0)/1000</f>
        <v>0</v>
      </c>
      <c r="BE70" s="38">
        <f>VLOOKUP($C70,Segment!$AD$383:$AI$454,3,0)/1000</f>
        <v>0</v>
      </c>
      <c r="BF70" s="38">
        <f>VLOOKUP($C70,Segment!$AK$383:$AP$454,3,0)/1000</f>
        <v>0</v>
      </c>
      <c r="BG70" s="38">
        <f>VLOOKUP($C70,Segment!$I$460:$N$531,3,0)/1000</f>
        <v>0</v>
      </c>
      <c r="BH70" s="38">
        <f>VLOOKUP($C70,Segment!$I$460:$N$531,3,0)/1000</f>
        <v>0</v>
      </c>
      <c r="BI70" s="38">
        <f>VLOOKUP($C70,Segment!$AD$460:$AI$531,3,0)/1000</f>
        <v>0</v>
      </c>
      <c r="BJ70" s="38">
        <f>VLOOKUP($C70,Segment!$AK$460:$AP$531,3,0)/1000</f>
        <v>0</v>
      </c>
      <c r="BL70" s="45"/>
      <c r="BM70" s="38"/>
      <c r="BN70" s="38"/>
      <c r="BO70" s="38"/>
      <c r="BP70" s="38"/>
      <c r="BQ70" s="38"/>
      <c r="BR70" s="38"/>
      <c r="BS70" s="38"/>
      <c r="BT70" s="38"/>
      <c r="BU70" s="38"/>
      <c r="BV70" s="38">
        <f>VLOOKUP($C70,Segment!$I$383:$N$454,4,0)/1000</f>
        <v>0</v>
      </c>
      <c r="BW70" s="38">
        <f>VLOOKUP($C70,Segment!$P$383:$U$454,4,0)/1000</f>
        <v>0</v>
      </c>
      <c r="BX70" s="38">
        <f>VLOOKUP($C70,Segment!$AD$383:$AI$454,4,0)/1000</f>
        <v>0</v>
      </c>
      <c r="BY70" s="38">
        <f>VLOOKUP($C70,Segment!$AK$383:$AP$454,4,0)/1000</f>
        <v>0</v>
      </c>
      <c r="BZ70" s="38">
        <f>VLOOKUP($C70,Segment!$I$460:$N$531,4,0)/1000</f>
        <v>0</v>
      </c>
      <c r="CA70" s="38">
        <f>VLOOKUP($C70,Segment!$P$460:$U$531,4,0)/1000</f>
        <v>0</v>
      </c>
      <c r="CB70" s="38">
        <f>VLOOKUP($C70,Segment!$AD$460:$AI$531,4,0)/1000</f>
        <v>0</v>
      </c>
      <c r="CC70" s="38">
        <f>VLOOKUP($C70,Segment!$AK$460:$AP$531,4,0)/1000</f>
        <v>0</v>
      </c>
      <c r="CE70" s="45"/>
      <c r="CF70" s="38">
        <f t="shared" ref="CF70:CO73" si="216">AT70+BM70</f>
        <v>0</v>
      </c>
      <c r="CG70" s="38">
        <f t="shared" si="216"/>
        <v>0</v>
      </c>
      <c r="CH70" s="38">
        <f t="shared" si="216"/>
        <v>0</v>
      </c>
      <c r="CI70" s="38">
        <f t="shared" si="216"/>
        <v>0</v>
      </c>
      <c r="CJ70" s="38">
        <f t="shared" si="216"/>
        <v>0</v>
      </c>
      <c r="CK70" s="38">
        <f t="shared" si="216"/>
        <v>0</v>
      </c>
      <c r="CL70" s="38">
        <f t="shared" si="216"/>
        <v>0</v>
      </c>
      <c r="CM70" s="38">
        <f t="shared" si="216"/>
        <v>0</v>
      </c>
      <c r="CN70" s="38">
        <f t="shared" si="216"/>
        <v>0</v>
      </c>
      <c r="CO70" s="38">
        <f t="shared" si="216"/>
        <v>0</v>
      </c>
      <c r="CP70" s="38">
        <f t="shared" ref="CP70:CV73" si="217">BD70+BW70</f>
        <v>0</v>
      </c>
      <c r="CQ70" s="38">
        <f t="shared" si="217"/>
        <v>0</v>
      </c>
      <c r="CR70" s="38">
        <f t="shared" si="217"/>
        <v>0</v>
      </c>
      <c r="CS70" s="38">
        <f t="shared" si="217"/>
        <v>0</v>
      </c>
      <c r="CT70" s="38">
        <f t="shared" si="217"/>
        <v>0</v>
      </c>
      <c r="CU70" s="38">
        <f t="shared" si="217"/>
        <v>0</v>
      </c>
      <c r="CV70" s="38">
        <f t="shared" si="217"/>
        <v>0</v>
      </c>
      <c r="CY70" s="45"/>
      <c r="CZ70" s="38"/>
      <c r="DA70" s="38"/>
      <c r="DB70" s="38"/>
      <c r="DC70" s="38"/>
      <c r="DD70" s="38"/>
      <c r="DE70" s="38"/>
      <c r="DF70" s="38"/>
      <c r="DG70" s="38"/>
      <c r="DH70" s="38"/>
      <c r="DI70" s="38">
        <f>VLOOKUP($C70,Segment!$I$383:$N$454,5,0)/1000</f>
        <v>0</v>
      </c>
      <c r="DJ70" s="38">
        <f>VLOOKUP($C70,Segment!$P$383:$U$454,5,0)/1000</f>
        <v>0</v>
      </c>
      <c r="DK70" s="38">
        <f>VLOOKUP($C70,Segment!$AD$383:$AI$454,5,0)/1000</f>
        <v>0</v>
      </c>
      <c r="DL70" s="38">
        <f>VLOOKUP($C70,Segment!$AK$383:$AP$454,5,0)/1000</f>
        <v>0</v>
      </c>
      <c r="DM70" s="38">
        <f>VLOOKUP($C70,Segment!$I$460:$N$531,5,0)/1000</f>
        <v>0</v>
      </c>
      <c r="DN70" s="38">
        <f>VLOOKUP($C70,Segment!$P$460:$U$531,5,0)/1000</f>
        <v>0</v>
      </c>
      <c r="DO70" s="38">
        <f>VLOOKUP($C70,Segment!$AD$460:$AI$531,5,0)/1000</f>
        <v>0</v>
      </c>
      <c r="DP70" s="38">
        <f>VLOOKUP($C70,Segment!$AK$460:$AP$531,5,0)/1000</f>
        <v>0</v>
      </c>
    </row>
    <row r="71" spans="3:120" x14ac:dyDescent="0.3">
      <c r="C71" s="36" t="s">
        <v>38</v>
      </c>
      <c r="D71" s="110">
        <v>20</v>
      </c>
      <c r="E71" s="42"/>
      <c r="F71" s="38">
        <f>VLOOKUP($C71,Segment!$AK$152:$AP$223,6,0)/1000</f>
        <v>-6233.7790000000005</v>
      </c>
      <c r="G71" s="38">
        <f>VLOOKUP($C71,Segment!$I$229:$N$300,6,0)/1000</f>
        <v>-13903.800999999999</v>
      </c>
      <c r="H71" s="38">
        <f>VLOOKUP($C71,Segment!$P$229:$U$300,6,0)/1000</f>
        <v>-15494.251350000004</v>
      </c>
      <c r="I71" s="38">
        <f>VLOOKUP($C71,Segment!$AD$229:$AI$300,6,0)/1000</f>
        <v>-15748.203255000006</v>
      </c>
      <c r="J71" s="38">
        <f>VLOOKUP($C71,Segment!$AK$229:$AP$300,6,0)/1000</f>
        <v>-18646.61981</v>
      </c>
      <c r="K71" s="38">
        <f>VLOOKUP($C71,Segment!$I$306:$N$377,6,0)/1000</f>
        <v>-23690.657079999997</v>
      </c>
      <c r="L71" s="38">
        <f>VLOOKUP($C71,Segment!$P$306:$U$377,6,0)/1000</f>
        <v>-21520.986340000007</v>
      </c>
      <c r="M71" s="38">
        <f>VLOOKUP($C71,Segment!$AD$306:$AI$377,6,0)/1000</f>
        <v>-24885.869409999996</v>
      </c>
      <c r="N71" s="203">
        <f>VLOOKUP($C71,Segment!$AK$306:$AP$377,6,0)/1000</f>
        <v>-26698.657380000015</v>
      </c>
      <c r="O71" s="203">
        <f>VLOOKUP($C71,Segment!$I$383:$N$454,6,0)/1000</f>
        <v>-27805.965580000007</v>
      </c>
      <c r="P71" s="203">
        <f>VLOOKUP($C71,Segment!$P$383:$U$454,6,0)/1000</f>
        <v>-28844.880439999994</v>
      </c>
      <c r="Q71" s="203">
        <f>VLOOKUP($C71,Segment!$AD$383:$AI$454,6,0)/1000</f>
        <v>-31120.549920999983</v>
      </c>
      <c r="R71" s="203">
        <f>VLOOKUP($C71,Segment!$AK$383:$AP$454,6,0)/1000</f>
        <v>-31079.893479999992</v>
      </c>
      <c r="S71" s="203">
        <f>VLOOKUP($C71,Segment!$I$460:$N$531,6,0)/1000</f>
        <v>-31566.03457</v>
      </c>
      <c r="T71" s="203">
        <f>VLOOKUP($C71,Segment!$P$460:$U$531,6,0)/1000</f>
        <v>-31837.049690000025</v>
      </c>
      <c r="U71" s="203">
        <f>VLOOKUP($C71,Segment!$AD$460:$AI$531,6,0)/1000</f>
        <v>-33619.384128502497</v>
      </c>
      <c r="V71" s="203">
        <f>VLOOKUP($C71,Segment!$AK$460:$AP$531,6,0)/1000</f>
        <v>-35686.228741497478</v>
      </c>
      <c r="W71" s="132">
        <f t="shared" si="215"/>
        <v>0.14820949320375498</v>
      </c>
      <c r="X71" s="132"/>
      <c r="Y71" s="38"/>
      <c r="Z71" s="38">
        <f>VLOOKUP($C71,Segment!$AK$152:$AP$223,2,0)/1000</f>
        <v>-5444.366</v>
      </c>
      <c r="AA71" s="38">
        <f>VLOOKUP($C71,Segment!$I$229:$N$300,2,0)/1000</f>
        <v>-11451.534</v>
      </c>
      <c r="AB71" s="38">
        <f>VLOOKUP($C71,Segment!$P$229:$U$300,2,0)/1000</f>
        <v>-12721.017200000004</v>
      </c>
      <c r="AC71" s="38">
        <f>VLOOKUP($C71,Segment!$AD$229:$AI$300,2,0)/1000</f>
        <v>-14018.907430000007</v>
      </c>
      <c r="AD71" s="38">
        <f>VLOOKUP($C71,Segment!$AK$229:$AP$300,2,0)/1000</f>
        <v>-16654.931589999997</v>
      </c>
      <c r="AE71" s="38">
        <f>VLOOKUP($C71,Segment!$I$306:$N$377,2,0)/1000</f>
        <v>-21568.601489999997</v>
      </c>
      <c r="AF71" s="38">
        <f>VLOOKUP($C71,Segment!$P$306:$U$377,2,0)/1000</f>
        <v>-16544.984410000008</v>
      </c>
      <c r="AG71" s="38">
        <f>VLOOKUP($C71,Segment!$AD$306:$AI$377,2,0)/1000</f>
        <v>-21291.950809999995</v>
      </c>
      <c r="AH71" s="38">
        <f>VLOOKUP($C71,Segment!$AK$306:$AP$377,2,0)/1000</f>
        <v>-22958.680840000012</v>
      </c>
      <c r="AI71" s="38">
        <f>VLOOKUP($C71,Segment!$I$383:$N$454,2,0)/1000</f>
        <v>-23780.565520000007</v>
      </c>
      <c r="AJ71" s="38">
        <f>VLOOKUP($C71,Segment!$P$383:$U$454,2,0)/1000</f>
        <v>-25775.837729999992</v>
      </c>
      <c r="AK71" s="38">
        <f>VLOOKUP($C71,Segment!$AD$383:$AI$454,2,0)/1000</f>
        <v>-27118.784499999983</v>
      </c>
      <c r="AL71" s="38">
        <f>VLOOKUP($C71,Segment!$AK$383:$AP$454,2,0)/1000</f>
        <v>-26740.370399999993</v>
      </c>
      <c r="AM71" s="38">
        <f>VLOOKUP($C71,Segment!$I$460:$N$531,2,0)/1000</f>
        <v>-26968.82589</v>
      </c>
      <c r="AN71" s="38">
        <f>VLOOKUP($C71,Segment!$P$460:$U$531,2,0)/1000</f>
        <v>-27071.755200000025</v>
      </c>
      <c r="AO71" s="38">
        <f>VLOOKUP($C71,Segment!$AD$460:$AI$531,2,0)/1000</f>
        <v>-28432.331788502492</v>
      </c>
      <c r="AP71" s="38">
        <f>VLOOKUP($C71,Segment!$AK$460:$AP$531,2,0)/1000</f>
        <v>-29755.591931497485</v>
      </c>
      <c r="AQ71" s="132">
        <f>AP71/AL71-1</f>
        <v>0.11275915353429422</v>
      </c>
      <c r="AS71" s="38"/>
      <c r="AT71" s="38">
        <f>VLOOKUP($C71,Segment!$AK$152:$AP$223,3,0)/1000</f>
        <v>-651.96799999999996</v>
      </c>
      <c r="AU71" s="38">
        <f>VLOOKUP($C71,Segment!$I$229:$N$300,3,0)/1000</f>
        <v>-2248.5450000000001</v>
      </c>
      <c r="AV71" s="38">
        <f>VLOOKUP($C71,Segment!$P$229:$U$300,3,0)/1000</f>
        <v>-2560.3069999999998</v>
      </c>
      <c r="AW71" s="38">
        <f>VLOOKUP($C71,Segment!$AD$229:$AI$300,3,0)/1000</f>
        <v>-1508.6659999999999</v>
      </c>
      <c r="AX71" s="38">
        <f>VLOOKUP($C71,Segment!$AK$229:$AP$300,3,0)/1000</f>
        <v>-1649.711</v>
      </c>
      <c r="AY71" s="38">
        <f>VLOOKUP($C71,Segment!$I$306:$N$377,3,0)/1000</f>
        <v>-1748.873</v>
      </c>
      <c r="AZ71" s="38">
        <f>VLOOKUP($C71,Segment!$P$306:$U$377,3,0)/1000</f>
        <v>-4127.7929999999997</v>
      </c>
      <c r="BA71" s="38">
        <f>VLOOKUP($C71,Segment!$AD$306:$AI$377,3,0)/1000</f>
        <v>-2932.663</v>
      </c>
      <c r="BB71" s="38">
        <f>VLOOKUP($C71,Segment!$AK$306:$AP$377,3,0)/1000</f>
        <v>-3031.8820000000001</v>
      </c>
      <c r="BC71" s="38">
        <f>VLOOKUP($C71,Segment!$I$383:$N$454,3,0)/1000</f>
        <v>-3350.7579999999998</v>
      </c>
      <c r="BD71" s="38">
        <f>VLOOKUP($C71,Segment!$P$383:$U$454,3,0)/1000</f>
        <v>-2435.9090000000001</v>
      </c>
      <c r="BE71" s="38">
        <f>VLOOKUP($C71,Segment!$AD$383:$AI$454,3,0)/1000</f>
        <v>-3068.7510000000002</v>
      </c>
      <c r="BF71" s="38">
        <f>VLOOKUP($C71,Segment!$AK$383:$AP$454,3,0)/1000</f>
        <v>-3252.643</v>
      </c>
      <c r="BG71" s="38">
        <f>VLOOKUP($C71,Segment!$I$460:$N$531,3,0)/1000</f>
        <v>-3474.2649999999999</v>
      </c>
      <c r="BH71" s="38">
        <f>VLOOKUP($C71,Segment!$P$460:$U$531,3,0)/1000</f>
        <v>-3641.3380000000002</v>
      </c>
      <c r="BI71" s="38">
        <f>VLOOKUP($C71,Segment!$AD$460:$AI$531,3,0)/1000</f>
        <v>-4034.1529999999998</v>
      </c>
      <c r="BJ71" s="38">
        <f>VLOOKUP($C71,Segment!$AK$460:$AP$531,3,0)/1000</f>
        <v>-4855.1139999999996</v>
      </c>
      <c r="BL71" s="38"/>
      <c r="BM71" s="38">
        <f>VLOOKUP($C71,Segment!$AK$152:$AP$223,4,0)/1000</f>
        <v>-137.44499999999999</v>
      </c>
      <c r="BN71" s="38">
        <f>VLOOKUP($C71,Segment!$I$229:$N$300,4,0)/1000</f>
        <v>-203.72200000000001</v>
      </c>
      <c r="BO71" s="38">
        <f>VLOOKUP($C71,Segment!$P$229:$U$300,4,0)/1000</f>
        <v>-212.92715000000001</v>
      </c>
      <c r="BP71" s="38">
        <f>VLOOKUP($C71,Segment!$AD$229:$AI$300,4,0)/1000</f>
        <v>-220.62982499999995</v>
      </c>
      <c r="BQ71" s="38">
        <f>VLOOKUP($C71,Segment!$AK$229:$AP$300,4,0)/1000</f>
        <v>-230.68878000000015</v>
      </c>
      <c r="BR71" s="38">
        <f>VLOOKUP($C71,Segment!$I$306:$N$377,4,0)/1000</f>
        <v>-239.09710999999999</v>
      </c>
      <c r="BS71" s="38">
        <f>VLOOKUP($C71,Segment!$P$306:$U$377,4,0)/1000</f>
        <v>-706.84845000000007</v>
      </c>
      <c r="BT71" s="38">
        <f>VLOOKUP($C71,Segment!$AD$306:$AI$377,4,0)/1000</f>
        <v>-487.11552999999981</v>
      </c>
      <c r="BU71" s="38">
        <f>VLOOKUP($C71,Segment!$AK$306:$AP$377,4,0)/1000</f>
        <v>-518.37785000000008</v>
      </c>
      <c r="BV71" s="38">
        <f>VLOOKUP($C71,Segment!$I$383:$N$454,4,0)/1000</f>
        <v>-485.92282</v>
      </c>
      <c r="BW71" s="38">
        <f>VLOOKUP($C71,Segment!$P$383:$U$454,4,0)/1000</f>
        <v>-422.90300000000008</v>
      </c>
      <c r="BX71" s="38">
        <f>VLOOKUP($C71,Segment!$AD$383:$AI$454,4,0)/1000</f>
        <v>-468.60467099999988</v>
      </c>
      <c r="BY71" s="38">
        <f>VLOOKUP($C71,Segment!$AK$383:$AP$454,4,0)/1000</f>
        <v>-484.2267999999998</v>
      </c>
      <c r="BZ71" s="38">
        <f>VLOOKUP($C71,Segment!$I$460:$N$531,4,0)/1000</f>
        <v>-518.67039999999997</v>
      </c>
      <c r="CA71" s="38">
        <f>VLOOKUP($C71,Segment!$P$460:$U$531,4,0)/1000</f>
        <v>-519.68320000000006</v>
      </c>
      <c r="CB71" s="38">
        <f>VLOOKUP($C71,Segment!$AD$460:$AI$531,4,0)/1000</f>
        <v>-539.75581999999986</v>
      </c>
      <c r="CC71" s="38">
        <f>VLOOKUP($C71,Segment!$AK$460:$AP$531,4,0)/1000</f>
        <v>-550.04606000000001</v>
      </c>
      <c r="CE71" s="38"/>
      <c r="CF71" s="38">
        <f t="shared" si="216"/>
        <v>-789.41300000000001</v>
      </c>
      <c r="CG71" s="38">
        <f t="shared" si="216"/>
        <v>-2452.2670000000003</v>
      </c>
      <c r="CH71" s="38">
        <f t="shared" si="216"/>
        <v>-2773.2341499999998</v>
      </c>
      <c r="CI71" s="38">
        <f t="shared" si="216"/>
        <v>-1729.2958249999999</v>
      </c>
      <c r="CJ71" s="38">
        <f t="shared" si="216"/>
        <v>-1880.3997800000002</v>
      </c>
      <c r="CK71" s="38">
        <f t="shared" si="216"/>
        <v>-1987.97011</v>
      </c>
      <c r="CL71" s="38">
        <f t="shared" si="216"/>
        <v>-4834.6414500000001</v>
      </c>
      <c r="CM71" s="38">
        <f t="shared" si="216"/>
        <v>-3419.7785299999996</v>
      </c>
      <c r="CN71" s="38">
        <f t="shared" si="216"/>
        <v>-3550.2598500000004</v>
      </c>
      <c r="CO71" s="38">
        <f t="shared" si="216"/>
        <v>-3836.6808199999996</v>
      </c>
      <c r="CP71" s="38">
        <f t="shared" si="217"/>
        <v>-2858.8120000000004</v>
      </c>
      <c r="CQ71" s="38">
        <f t="shared" si="217"/>
        <v>-3537.3556710000003</v>
      </c>
      <c r="CR71" s="38">
        <f t="shared" si="217"/>
        <v>-3736.8697999999999</v>
      </c>
      <c r="CS71" s="38">
        <f t="shared" si="217"/>
        <v>-3992.9353999999998</v>
      </c>
      <c r="CT71" s="38">
        <f t="shared" si="217"/>
        <v>-4161.0212000000001</v>
      </c>
      <c r="CU71" s="38">
        <f t="shared" si="217"/>
        <v>-4573.9088199999997</v>
      </c>
      <c r="CV71" s="38">
        <f t="shared" si="217"/>
        <v>-5405.1600599999992</v>
      </c>
      <c r="CY71" s="38"/>
      <c r="CZ71" s="38">
        <f>VLOOKUP($C71,Segment!$AK$152:$AP$223,5,0)/1000</f>
        <v>0</v>
      </c>
      <c r="DA71" s="38">
        <f>VLOOKUP($C71,Segment!$I$229:$N$300,5,0)/1000</f>
        <v>0</v>
      </c>
      <c r="DB71" s="38">
        <f>VLOOKUP($C71,Segment!$P$229:$U$300,5,0)/1000</f>
        <v>0</v>
      </c>
      <c r="DC71" s="38">
        <f>VLOOKUP($C71,Segment!$AD$229:$AI$300,5,0)/1000</f>
        <v>0</v>
      </c>
      <c r="DD71" s="38">
        <f>VLOOKUP($C71,Segment!$AK$229:$AP$300,5,0)/1000</f>
        <v>-111.28844000000001</v>
      </c>
      <c r="DE71" s="38">
        <f>VLOOKUP($C71,Segment!$I$306:$N$377,5,0)/1000</f>
        <v>-134.08548000000002</v>
      </c>
      <c r="DF71" s="38">
        <f>VLOOKUP($C71,Segment!$P$306:$U$377,5,0)/1000</f>
        <v>-141.36048000000002</v>
      </c>
      <c r="DG71" s="38">
        <f>VLOOKUP($C71,Segment!$AD$306:$AI$377,5,0)/1000</f>
        <v>-174.14006999999995</v>
      </c>
      <c r="DH71" s="38">
        <f>VLOOKUP($C71,Segment!$AK$306:$AP$377,5,0)/1000</f>
        <v>-189.71669000000011</v>
      </c>
      <c r="DI71" s="38">
        <f>VLOOKUP($C71,Segment!$I$383:$N$454,5,0)/1000</f>
        <v>-188.71923999999999</v>
      </c>
      <c r="DJ71" s="38">
        <f>VLOOKUP($C71,Segment!$P$383:$U$454,5,0)/1000</f>
        <v>-210.23071000000002</v>
      </c>
      <c r="DK71" s="38">
        <f>VLOOKUP($C71,Segment!$AD$383:$AI$454,5,0)/1000</f>
        <v>-464.40974999999992</v>
      </c>
      <c r="DL71" s="38">
        <f>VLOOKUP($C71,Segment!$AK$383:$AP$454,5,0)/1000</f>
        <v>-602.65328</v>
      </c>
      <c r="DM71" s="38">
        <f>VLOOKUP($C71,Segment!$I$460:$N$531,5,0)/1000</f>
        <v>-604.27328</v>
      </c>
      <c r="DN71" s="38">
        <f>VLOOKUP($C71,Segment!$P$460:$U$531,5,0)/1000</f>
        <v>-604.27329000000009</v>
      </c>
      <c r="DO71" s="38">
        <f>VLOOKUP($C71,Segment!$AD$460:$AI$531,5,0)/1000</f>
        <v>-613.14351999999997</v>
      </c>
      <c r="DP71" s="38">
        <f>VLOOKUP($C71,Segment!$AK$460:$AP$531,5,0)/1000</f>
        <v>-525.47674999999981</v>
      </c>
    </row>
    <row r="72" spans="3:120" x14ac:dyDescent="0.3">
      <c r="C72" s="36" t="s">
        <v>78</v>
      </c>
      <c r="E72" s="42"/>
      <c r="F72" s="38">
        <f>VLOOKUP($C72,Segment!$AK$152:$AP$223,6,0)/1000</f>
        <v>-73989.409440000003</v>
      </c>
      <c r="G72" s="38">
        <f>VLOOKUP($C72,Segment!$I$229:$N$300,6,0)/1000</f>
        <v>-89221.28</v>
      </c>
      <c r="H72" s="38">
        <f>VLOOKUP($C72,Segment!$P$229:$U$300,6,0)/1000</f>
        <v>-86632.82257400002</v>
      </c>
      <c r="I72" s="38">
        <f>VLOOKUP($C72,Segment!$AD$229:$AI$300,6,0)/1000</f>
        <v>-90260.208737000008</v>
      </c>
      <c r="J72" s="38">
        <f>VLOOKUP($C72,Segment!$AK$229:$AP$300,6,0)/1000</f>
        <v>-97519.980396000014</v>
      </c>
      <c r="K72" s="38">
        <f>VLOOKUP($C72,Segment!$I$306:$N$377,6,0)/1000</f>
        <v>-117400.24662999999</v>
      </c>
      <c r="L72" s="38">
        <f>VLOOKUP($C72,Segment!$P$306:$U$377,6,0)/1000</f>
        <v>-123205.22119000001</v>
      </c>
      <c r="M72" s="38">
        <f>VLOOKUP($C72,Segment!$AD$306:$AI$377,6,0)/1000</f>
        <v>-122406.06623000008</v>
      </c>
      <c r="N72" s="203">
        <f>VLOOKUP($C72,Segment!$AK$306:$AP$377,6,0)/1000</f>
        <v>-120720.07513999999</v>
      </c>
      <c r="O72" s="203">
        <f>VLOOKUP($C72,Segment!$I$383:$N$454,6,0)/1000</f>
        <v>-149647.36709000004</v>
      </c>
      <c r="P72" s="203">
        <f>VLOOKUP($C72,Segment!$P$383:$U$454,6,0)/1000</f>
        <v>-149413.85399</v>
      </c>
      <c r="Q72" s="203">
        <f>VLOOKUP($C72,Segment!$AD$383:$AI$454,6,0)/1000</f>
        <v>-145241.55290999997</v>
      </c>
      <c r="R72" s="203">
        <f>VLOOKUP($C72,Segment!$AK$383:$AP$454,6,0)/1000</f>
        <v>-158948.27828</v>
      </c>
      <c r="S72" s="203">
        <f>VLOOKUP($C72,Segment!$I$460:$N$531,6,0)/1000</f>
        <v>-209798.33867999993</v>
      </c>
      <c r="T72" s="203">
        <f>VLOOKUP($C72,Segment!$P$460:$U$531,6,0)/1000</f>
        <v>-199083.91736000025</v>
      </c>
      <c r="U72" s="203">
        <f>VLOOKUP($C72,Segment!$AD$460:$AI$531,6,0)/1000</f>
        <v>-206962.11465389794</v>
      </c>
      <c r="V72" s="203">
        <f>VLOOKUP($C72,Segment!$AK$460:$AP$531,6,0)/1000</f>
        <v>-220530.36323228609</v>
      </c>
      <c r="W72" s="132">
        <f t="shared" si="215"/>
        <v>0.38743474052486659</v>
      </c>
      <c r="X72" s="133"/>
      <c r="Y72" s="38"/>
      <c r="Z72" s="38">
        <f>VLOOKUP($C72,Segment!$AK$152:$AP$223,2,0)/1000</f>
        <v>-63402.064439999995</v>
      </c>
      <c r="AA72" s="38">
        <f>VLOOKUP($C72,Segment!$I$229:$N$300,2,0)/1000</f>
        <v>-71992.97</v>
      </c>
      <c r="AB72" s="38">
        <f>VLOOKUP($C72,Segment!$P$229:$U$300,2,0)/1000</f>
        <v>-74600.217480000021</v>
      </c>
      <c r="AC72" s="38">
        <f>VLOOKUP($C72,Segment!$AD$229:$AI$300,2,0)/1000</f>
        <v>-77531.255560000005</v>
      </c>
      <c r="AD72" s="38">
        <f>VLOOKUP($C72,Segment!$AK$229:$AP$300,2,0)/1000</f>
        <v>-75568.913990000015</v>
      </c>
      <c r="AE72" s="38">
        <f>VLOOKUP($C72,Segment!$I$306:$N$377,2,0)/1000</f>
        <v>-92060.886849999995</v>
      </c>
      <c r="AF72" s="38">
        <f>VLOOKUP($C72,Segment!$P$306:$U$377,2,0)/1000</f>
        <v>-104130.39480000001</v>
      </c>
      <c r="AG72" s="38">
        <f>VLOOKUP($C72,Segment!$AD$306:$AI$377,2,0)/1000</f>
        <v>-102459.14514000008</v>
      </c>
      <c r="AH72" s="38">
        <f>VLOOKUP($C72,Segment!$AK$306:$AP$377,2,0)/1000</f>
        <v>-100261.43797</v>
      </c>
      <c r="AI72" s="38">
        <f>VLOOKUP($C72,Segment!$I$383:$N$454,2,0)/1000</f>
        <v>-117728.79645000002</v>
      </c>
      <c r="AJ72" s="38">
        <f>VLOOKUP($C72,Segment!$P$383:$U$454,2,0)/1000</f>
        <v>-123066.97621000001</v>
      </c>
      <c r="AK72" s="38">
        <f>VLOOKUP($C72,Segment!$AD$383:$AI$454,2,0)/1000</f>
        <v>-119334.72021999997</v>
      </c>
      <c r="AL72" s="38">
        <f>VLOOKUP($C72,Segment!$AK$383:$AP$454,2,0)/1000</f>
        <v>-132838.0147</v>
      </c>
      <c r="AM72" s="38">
        <f>VLOOKUP($C72,Segment!$I$460:$N$531,2,0)/1000</f>
        <v>-166745.85901999989</v>
      </c>
      <c r="AN72" s="38">
        <f>VLOOKUP($C72,Segment!$P$460:$U$531,2,0)/1000</f>
        <v>-165130.25728000025</v>
      </c>
      <c r="AO72" s="38">
        <f>VLOOKUP($C72,Segment!$AD$460:$AI$531,2,0)/1000</f>
        <v>-170656.66116389792</v>
      </c>
      <c r="AP72" s="38">
        <f>VLOOKUP($C72,Segment!$AK$460:$AP$531,2,0)/1000</f>
        <v>-184788.68992228614</v>
      </c>
      <c r="AQ72" s="132">
        <f>AP72/AL72-1</f>
        <v>0.39108289400147256</v>
      </c>
      <c r="AR72" s="132"/>
      <c r="AS72" s="38"/>
      <c r="AT72" s="38">
        <f>VLOOKUP($C72,Segment!$AK$152:$AP$223,3,0)/1000</f>
        <v>-8746.6970000000001</v>
      </c>
      <c r="AU72" s="38">
        <f>VLOOKUP($C72,Segment!$I$229:$N$300,3,0)/1000</f>
        <v>-15199.218000000001</v>
      </c>
      <c r="AV72" s="38">
        <f>VLOOKUP($C72,Segment!$P$229:$U$300,3,0)/1000</f>
        <v>-9729.6530000000002</v>
      </c>
      <c r="AW72" s="38">
        <f>VLOOKUP($C72,Segment!$AD$229:$AI$300,3,0)/1000</f>
        <v>-10346.534</v>
      </c>
      <c r="AX72" s="38">
        <f>VLOOKUP($C72,Segment!$AK$229:$AP$300,3,0)/1000</f>
        <v>-11891.829</v>
      </c>
      <c r="AY72" s="38">
        <f>VLOOKUP($C72,Segment!$I$306:$N$377,3,0)/1000</f>
        <v>-18982.030999999999</v>
      </c>
      <c r="AZ72" s="38">
        <f>VLOOKUP($C72,Segment!$P$306:$U$377,3,0)/1000</f>
        <v>-12824.300999999999</v>
      </c>
      <c r="BA72" s="38">
        <f>VLOOKUP($C72,Segment!$AD$306:$AI$377,3,0)/1000</f>
        <v>-13202.612999999999</v>
      </c>
      <c r="BB72" s="38">
        <f>VLOOKUP($C72,Segment!$AK$306:$AP$377,3,0)/1000</f>
        <v>-13175.48</v>
      </c>
      <c r="BC72" s="38">
        <f>VLOOKUP($C72,Segment!$I$383:$N$454,3,0)/1000</f>
        <v>-21484.366000000002</v>
      </c>
      <c r="BD72" s="38">
        <f>VLOOKUP($C72,Segment!$P$383:$U$454,3,0)/1000</f>
        <v>-17712.616999999998</v>
      </c>
      <c r="BE72" s="38">
        <f>VLOOKUP($C72,Segment!$AD$383:$AI$454,3,0)/1000</f>
        <v>-17361.724999999999</v>
      </c>
      <c r="BF72" s="38">
        <f>VLOOKUP($C72,Segment!$AK$383:$AP$454,3,0)/1000</f>
        <v>-18111.742999999999</v>
      </c>
      <c r="BG72" s="38">
        <f>VLOOKUP($C72,Segment!$I$460:$N$531,3,0)/1000</f>
        <v>-28575.083999999999</v>
      </c>
      <c r="BH72" s="38">
        <f>VLOOKUP($C72,Segment!$P$460:$U$531,3,0)/1000</f>
        <v>-23101.055</v>
      </c>
      <c r="BI72" s="38">
        <f>VLOOKUP($C72,Segment!$AD$460:$AI$531,3,0)/1000</f>
        <v>-25657.24</v>
      </c>
      <c r="BJ72" s="38">
        <f>VLOOKUP($C72,Segment!$AK$460:$AP$531,3,0)/1000</f>
        <v>-24686.297999999999</v>
      </c>
      <c r="BL72" s="38"/>
      <c r="BM72" s="38">
        <f>VLOOKUP($C72,Segment!$AK$152:$AP$223,4,0)/1000</f>
        <v>-1840.6479999999999</v>
      </c>
      <c r="BN72" s="38">
        <f>VLOOKUP($C72,Segment!$I$229:$N$300,4,0)/1000</f>
        <v>-2029.0920000000001</v>
      </c>
      <c r="BO72" s="38">
        <f>VLOOKUP($C72,Segment!$P$229:$U$300,4,0)/1000</f>
        <v>-2302.9520939999998</v>
      </c>
      <c r="BP72" s="38">
        <f>VLOOKUP($C72,Segment!$AD$229:$AI$300,4,0)/1000</f>
        <v>-2382.4191770000002</v>
      </c>
      <c r="BQ72" s="38">
        <f>VLOOKUP($C72,Segment!$AK$229:$AP$300,4,0)/1000</f>
        <v>-2682.7535060000009</v>
      </c>
      <c r="BR72" s="38">
        <f>VLOOKUP($C72,Segment!$I$306:$N$377,4,0)/1000</f>
        <v>-2898.9414700000002</v>
      </c>
      <c r="BS72" s="38">
        <f>VLOOKUP($C72,Segment!$P$306:$U$377,4,0)/1000</f>
        <v>-3066.6809499999999</v>
      </c>
      <c r="BT72" s="38">
        <f>VLOOKUP($C72,Segment!$AD$306:$AI$377,4,0)/1000</f>
        <v>-3355.1612900000009</v>
      </c>
      <c r="BU72" s="38">
        <f>VLOOKUP($C72,Segment!$AK$306:$AP$377,4,0)/1000</f>
        <v>-3460.2822999999971</v>
      </c>
      <c r="BV72" s="38">
        <f>VLOOKUP($C72,Segment!$I$383:$N$454,4,0)/1000</f>
        <v>-4573.9110000000001</v>
      </c>
      <c r="BW72" s="38">
        <f>VLOOKUP($C72,Segment!$P$383:$U$454,4,0)/1000</f>
        <v>-4715.0530400000007</v>
      </c>
      <c r="BX72" s="38">
        <f>VLOOKUP($C72,Segment!$AD$383:$AI$454,4,0)/1000</f>
        <v>-4746.1309599999968</v>
      </c>
      <c r="BY72" s="38">
        <f>VLOOKUP($C72,Segment!$AK$383:$AP$454,4,0)/1000</f>
        <v>-4938.5223300000034</v>
      </c>
      <c r="BZ72" s="38">
        <f>VLOOKUP($C72,Segment!$I$460:$N$531,4,0)/1000</f>
        <v>-6566.1625800000002</v>
      </c>
      <c r="CA72" s="38">
        <f>VLOOKUP($C72,Segment!$P$460:$U$531,4,0)/1000</f>
        <v>-6687.2196899999999</v>
      </c>
      <c r="CB72" s="38">
        <f>VLOOKUP($C72,Segment!$AD$460:$AI$531,4,0)/1000</f>
        <v>-6777.8381600000002</v>
      </c>
      <c r="CC72" s="38">
        <f>VLOOKUP($C72,Segment!$AK$460:$AP$531,4,0)/1000</f>
        <v>-7109.5342400000018</v>
      </c>
      <c r="CE72" s="38"/>
      <c r="CF72" s="38">
        <f t="shared" si="216"/>
        <v>-10587.344999999999</v>
      </c>
      <c r="CG72" s="38">
        <f t="shared" si="216"/>
        <v>-17228.310000000001</v>
      </c>
      <c r="CH72" s="38">
        <f t="shared" si="216"/>
        <v>-12032.605094</v>
      </c>
      <c r="CI72" s="38">
        <f t="shared" si="216"/>
        <v>-12728.953176999999</v>
      </c>
      <c r="CJ72" s="38">
        <f t="shared" si="216"/>
        <v>-14574.582506000001</v>
      </c>
      <c r="CK72" s="38">
        <f t="shared" si="216"/>
        <v>-21880.972470000001</v>
      </c>
      <c r="CL72" s="38">
        <f t="shared" si="216"/>
        <v>-15890.981949999999</v>
      </c>
      <c r="CM72" s="38">
        <f t="shared" si="216"/>
        <v>-16557.774290000001</v>
      </c>
      <c r="CN72" s="38">
        <f t="shared" si="216"/>
        <v>-16635.762299999995</v>
      </c>
      <c r="CO72" s="38">
        <f t="shared" si="216"/>
        <v>-26058.277000000002</v>
      </c>
      <c r="CP72" s="38">
        <f t="shared" si="217"/>
        <v>-22427.670039999997</v>
      </c>
      <c r="CQ72" s="38">
        <f t="shared" si="217"/>
        <v>-22107.855959999994</v>
      </c>
      <c r="CR72" s="38">
        <f t="shared" si="217"/>
        <v>-23050.265330000002</v>
      </c>
      <c r="CS72" s="38">
        <f t="shared" si="217"/>
        <v>-35141.246579999999</v>
      </c>
      <c r="CT72" s="38">
        <f t="shared" si="217"/>
        <v>-29788.274689999998</v>
      </c>
      <c r="CU72" s="38">
        <f t="shared" si="217"/>
        <v>-32435.078160000001</v>
      </c>
      <c r="CV72" s="38">
        <f t="shared" si="217"/>
        <v>-31795.83224</v>
      </c>
      <c r="CY72" s="38"/>
      <c r="CZ72" s="38">
        <f>VLOOKUP($C72,Segment!$AK$152:$AP$223,5,0)/1000</f>
        <v>0</v>
      </c>
      <c r="DA72" s="38">
        <f>VLOOKUP($C72,Segment!$I$229:$N$300,5,0)/1000</f>
        <v>0</v>
      </c>
      <c r="DB72" s="38">
        <f>VLOOKUP($C72,Segment!$P$229:$U$300,5,0)/1000</f>
        <v>0</v>
      </c>
      <c r="DC72" s="38">
        <f>VLOOKUP($C72,Segment!$AD$229:$AI$300,5,0)/1000</f>
        <v>0</v>
      </c>
      <c r="DD72" s="38">
        <f>VLOOKUP($C72,Segment!$AK$229:$AP$300,5,0)/1000</f>
        <v>-7376.4839000000011</v>
      </c>
      <c r="DE72" s="38">
        <f>VLOOKUP($C72,Segment!$I$306:$N$377,5,0)/1000</f>
        <v>-3458.3873100000001</v>
      </c>
      <c r="DF72" s="38">
        <f>VLOOKUP($C72,Segment!$P$306:$U$377,5,0)/1000</f>
        <v>-3183.8444400000008</v>
      </c>
      <c r="DG72" s="38">
        <f>VLOOKUP($C72,Segment!$AD$306:$AI$377,5,0)/1000</f>
        <v>-3389.1468000000018</v>
      </c>
      <c r="DH72" s="38">
        <f>VLOOKUP($C72,Segment!$AK$306:$AP$377,5,0)/1000</f>
        <v>-3822.8748699999965</v>
      </c>
      <c r="DI72" s="38">
        <f>VLOOKUP($C72,Segment!$I$383:$N$454,5,0)/1000</f>
        <v>-5860.2936400000008</v>
      </c>
      <c r="DJ72" s="38">
        <f>VLOOKUP($C72,Segment!$P$383:$U$454,5,0)/1000</f>
        <v>-3919.2077400000003</v>
      </c>
      <c r="DK72" s="38">
        <f>VLOOKUP($C72,Segment!$AD$383:$AI$454,5,0)/1000</f>
        <v>-3798.9767299999985</v>
      </c>
      <c r="DL72" s="38">
        <f>VLOOKUP($C72,Segment!$AK$383:$AP$454,5,0)/1000</f>
        <v>-3059.9982500000019</v>
      </c>
      <c r="DM72" s="38">
        <f>VLOOKUP($C72,Segment!$I$460:$N$531,5,0)/1000</f>
        <v>-7911.2330799999991</v>
      </c>
      <c r="DN72" s="38">
        <f>VLOOKUP($C72,Segment!$P$460:$U$531,5,0)/1000</f>
        <v>-4165.3853900000031</v>
      </c>
      <c r="DO72" s="38">
        <f>VLOOKUP($C72,Segment!$AD$460:$AI$531,5,0)/1000</f>
        <v>-3870.375329999998</v>
      </c>
      <c r="DP72" s="38">
        <f>VLOOKUP($C72,Segment!$AK$460:$AP$531,5,0)/1000</f>
        <v>-3945.8410700000004</v>
      </c>
    </row>
    <row r="73" spans="3:120" x14ac:dyDescent="0.3">
      <c r="C73" s="36" t="s">
        <v>39</v>
      </c>
      <c r="D73" s="110">
        <v>21</v>
      </c>
      <c r="E73" s="42"/>
      <c r="F73" s="38">
        <f>VLOOKUP($C73,Segment!$AK$152:$AP$223,6,0)/1000</f>
        <v>-26097.418030079782</v>
      </c>
      <c r="G73" s="38">
        <f>VLOOKUP($C73,Segment!$I$229:$N$300,6,0)/1000</f>
        <v>-19794.974850000002</v>
      </c>
      <c r="H73" s="38">
        <f>VLOOKUP($C73,Segment!$P$229:$U$300,6,0)/1000</f>
        <v>-20551.659737000016</v>
      </c>
      <c r="I73" s="38">
        <f>VLOOKUP($C73,Segment!$AD$229:$AI$300,6,0)/1000</f>
        <v>-23500.159489999973</v>
      </c>
      <c r="J73" s="38">
        <f>VLOOKUP($C73,Segment!$AK$229:$AP$300,6,0)/1000</f>
        <v>-16471.243640000001</v>
      </c>
      <c r="K73" s="38">
        <f>VLOOKUP($C73,Segment!$I$306:$N$377,6,0)/1000</f>
        <v>-26166.210770000002</v>
      </c>
      <c r="L73" s="38">
        <f>VLOOKUP($C73,Segment!$P$306:$U$377,6,0)/1000</f>
        <v>-28833.366190000001</v>
      </c>
      <c r="M73" s="38">
        <f>VLOOKUP($C73,Segment!$AD$306:$AI$377,6,0)/1000</f>
        <v>-31003.390049999998</v>
      </c>
      <c r="N73" s="203">
        <f>VLOOKUP($C73,Segment!$AK$306:$AP$377,6,0)/1000</f>
        <v>-42184.520090000005</v>
      </c>
      <c r="O73" s="203">
        <f>VLOOKUP($C73,Segment!$I$383:$N$454,6,0)/1000</f>
        <v>-43057.48803</v>
      </c>
      <c r="P73" s="203">
        <f>VLOOKUP($C73,Segment!$P$383:$U$454,6,0)/1000</f>
        <v>-38835.445511000027</v>
      </c>
      <c r="Q73" s="203">
        <f>VLOOKUP($C73,Segment!$AD$383:$AI$454,6,0)/1000</f>
        <v>-42000.902229999949</v>
      </c>
      <c r="R73" s="203">
        <f>VLOOKUP($C73,Segment!$AK$383:$AP$454,6,0)/1000</f>
        <v>-58885.520419999943</v>
      </c>
      <c r="S73" s="203">
        <f>VLOOKUP($C73,Segment!$I$460:$N$531,6,0)/1000</f>
        <v>-50731.120400000022</v>
      </c>
      <c r="T73" s="203">
        <f>VLOOKUP($C73,Segment!$P$460:$U$531,6,0)/1000</f>
        <v>-51967.13147</v>
      </c>
      <c r="U73" s="203">
        <f>VLOOKUP($C73,Segment!$AD$460:$AI$531,6,0)/1000</f>
        <v>-53018.250505014825</v>
      </c>
      <c r="V73" s="203">
        <f>VLOOKUP($C73,Segment!$AK$460:$AP$531,6,0)/1000</f>
        <v>-55895.035026111589</v>
      </c>
      <c r="W73" s="132">
        <f t="shared" si="215"/>
        <v>-5.0784732351158102E-2</v>
      </c>
      <c r="X73" s="133"/>
      <c r="Y73" s="38"/>
      <c r="Z73" s="38">
        <f>VLOOKUP($C73,Segment!$AK$152:$AP$223,2,0)/1000</f>
        <v>-22587.030030079783</v>
      </c>
      <c r="AA73" s="38">
        <f>VLOOKUP($C73,Segment!$I$229:$N$300,2,0)/1000</f>
        <v>-16625.558850000001</v>
      </c>
      <c r="AB73" s="38">
        <f>VLOOKUP($C73,Segment!$P$229:$U$300,2,0)/1000</f>
        <v>-18412.285000000014</v>
      </c>
      <c r="AC73" s="38">
        <f>VLOOKUP($C73,Segment!$AD$229:$AI$300,2,0)/1000</f>
        <v>-20676.506089999973</v>
      </c>
      <c r="AD73" s="38">
        <f>VLOOKUP($C73,Segment!$AK$229:$AP$300,2,0)/1000</f>
        <v>-11056.34318</v>
      </c>
      <c r="AE73" s="38">
        <f>VLOOKUP($C73,Segment!$I$306:$N$377,2,0)/1000</f>
        <v>-20519.504210000006</v>
      </c>
      <c r="AF73" s="38">
        <f>VLOOKUP($C73,Segment!$P$306:$U$377,2,0)/1000</f>
        <v>-23123.247879999999</v>
      </c>
      <c r="AG73" s="38">
        <f>VLOOKUP($C73,Segment!$AD$306:$AI$377,2,0)/1000</f>
        <v>-25628.810019999997</v>
      </c>
      <c r="AH73" s="38">
        <f>VLOOKUP($C73,Segment!$AK$306:$AP$377,2,0)/1000</f>
        <v>-33006.563110000003</v>
      </c>
      <c r="AI73" s="38">
        <f>VLOOKUP($C73,Segment!$I$383:$N$454,2,0)/1000</f>
        <v>-33225.38437</v>
      </c>
      <c r="AJ73" s="38">
        <f>VLOOKUP($C73,Segment!$P$383:$U$454,2,0)/1000</f>
        <v>-29545.302500000031</v>
      </c>
      <c r="AK73" s="38">
        <f>VLOOKUP($C73,Segment!$AD$383:$AI$454,2,0)/1000</f>
        <v>-30944.909229999954</v>
      </c>
      <c r="AL73" s="38">
        <f>VLOOKUP($C73,Segment!$AK$383:$AP$454,2,0)/1000</f>
        <v>-45772.909409999942</v>
      </c>
      <c r="AM73" s="38">
        <f>VLOOKUP($C73,Segment!$I$460:$N$531,2,0)/1000</f>
        <v>-37400.922950000022</v>
      </c>
      <c r="AN73" s="38">
        <f>VLOOKUP($C73,Segment!$P$460:$U$531,2,0)/1000</f>
        <v>-39066.102650000001</v>
      </c>
      <c r="AO73" s="38">
        <f>VLOOKUP($C73,Segment!$AD$460:$AI$531,2,0)/1000</f>
        <v>-38745.108675014824</v>
      </c>
      <c r="AP73" s="38">
        <f>VLOOKUP($C73,Segment!$AK$460:$AP$531,2,0)/1000</f>
        <v>-34463.844077251524</v>
      </c>
      <c r="AQ73" s="132">
        <f>AP73/AL73-1</f>
        <v>-0.24706896455827521</v>
      </c>
      <c r="AS73" s="38"/>
      <c r="AT73" s="38">
        <f>VLOOKUP($C73,Segment!$AK$152:$AP$223,3,0)/1000</f>
        <v>-3131.0250000000001</v>
      </c>
      <c r="AU73" s="38">
        <f>VLOOKUP($C73,Segment!$I$229:$N$300,3,0)/1000</f>
        <v>-2358.1419999999998</v>
      </c>
      <c r="AV73" s="38">
        <f>VLOOKUP($C73,Segment!$P$229:$U$300,3,0)/1000</f>
        <v>-1757.079</v>
      </c>
      <c r="AW73" s="38">
        <f>VLOOKUP($C73,Segment!$AD$229:$AI$300,3,0)/1000</f>
        <v>-2422.0120000000002</v>
      </c>
      <c r="AX73" s="38">
        <f>VLOOKUP($C73,Segment!$AK$229:$AP$300,3,0)/1000</f>
        <v>-1977.3520000000001</v>
      </c>
      <c r="AY73" s="38">
        <f>VLOOKUP($C73,Segment!$I$306:$N$377,3,0)/1000</f>
        <v>-3391.81</v>
      </c>
      <c r="AZ73" s="38">
        <f>VLOOKUP($C73,Segment!$P$306:$U$377,3,0)/1000</f>
        <v>-3628.7730000000001</v>
      </c>
      <c r="BA73" s="38">
        <f>VLOOKUP($C73,Segment!$AD$306:$AI$377,3,0)/1000</f>
        <v>-3528.3910000000001</v>
      </c>
      <c r="BB73" s="38">
        <f>VLOOKUP($C73,Segment!$AK$306:$AP$377,3,0)/1000</f>
        <v>-6704.7240000000002</v>
      </c>
      <c r="BC73" s="38">
        <f>VLOOKUP($C73,Segment!$I$383:$N$454,3,0)/1000</f>
        <v>-5879.63</v>
      </c>
      <c r="BD73" s="38">
        <f>VLOOKUP($C73,Segment!$P$383:$U$454,3,0)/1000</f>
        <v>-5845.8379999999997</v>
      </c>
      <c r="BE73" s="38">
        <f>VLOOKUP($C73,Segment!$AD$383:$AI$454,3,0)/1000</f>
        <v>-7709.0569999999998</v>
      </c>
      <c r="BF73" s="38">
        <f>VLOOKUP($C73,Segment!$AK$383:$AP$454,3,0)/1000</f>
        <v>-10229.228999999999</v>
      </c>
      <c r="BG73" s="38">
        <f>VLOOKUP($C73,Segment!$I$460:$N$531,3,0)/1000</f>
        <v>-9368.84</v>
      </c>
      <c r="BH73" s="38">
        <f>VLOOKUP($C73,Segment!$P$460:$U$531,3,0)/1000</f>
        <v>-9940.5820000000003</v>
      </c>
      <c r="BI73" s="38">
        <f>VLOOKUP($C73,Segment!$AD$460:$AI$531,3,0)/1000</f>
        <v>-10690.601000000001</v>
      </c>
      <c r="BJ73" s="38">
        <f>VLOOKUP($C73,Segment!$AK$460:$AP$531,3,0)/1000</f>
        <v>-17024.009999999998</v>
      </c>
      <c r="BL73" s="38"/>
      <c r="BM73" s="38">
        <f>VLOOKUP($C73,Segment!$AK$152:$AP$223,4,0)/1000</f>
        <v>-379.363</v>
      </c>
      <c r="BN73" s="38">
        <f>VLOOKUP($C73,Segment!$I$229:$N$300,4,0)/1000</f>
        <v>-811.274</v>
      </c>
      <c r="BO73" s="38">
        <f>VLOOKUP($C73,Segment!$P$229:$U$300,4,0)/1000</f>
        <v>-382.29573699999997</v>
      </c>
      <c r="BP73" s="38">
        <f>VLOOKUP($C73,Segment!$AD$229:$AI$300,4,0)/1000</f>
        <v>-401.64139999999992</v>
      </c>
      <c r="BQ73" s="38">
        <f>VLOOKUP($C73,Segment!$AK$229:$AP$300,4,0)/1000</f>
        <v>-332.3058300000003</v>
      </c>
      <c r="BR73" s="38">
        <f>VLOOKUP($C73,Segment!$I$306:$N$377,4,0)/1000</f>
        <v>-950.13300000000004</v>
      </c>
      <c r="BS73" s="38">
        <f>VLOOKUP($C73,Segment!$P$306:$U$377,4,0)/1000</f>
        <v>-767.28909999999985</v>
      </c>
      <c r="BT73" s="38">
        <f>VLOOKUP($C73,Segment!$AD$306:$AI$377,4,0)/1000</f>
        <v>-467.98012000000034</v>
      </c>
      <c r="BU73" s="38">
        <f>VLOOKUP($C73,Segment!$AK$306:$AP$377,4,0)/1000</f>
        <v>-462.1389199999997</v>
      </c>
      <c r="BV73" s="38">
        <f>VLOOKUP($C73,Segment!$I$383:$N$454,4,0)/1000</f>
        <v>-1633.3395700000001</v>
      </c>
      <c r="BW73" s="38">
        <f>VLOOKUP($C73,Segment!$P$383:$U$454,4,0)/1000</f>
        <v>-1387.2592510000004</v>
      </c>
      <c r="BX73" s="38">
        <f>VLOOKUP($C73,Segment!$AD$383:$AI$454,4,0)/1000</f>
        <v>-1189.31917</v>
      </c>
      <c r="BY73" s="38">
        <f>VLOOKUP($C73,Segment!$AK$383:$AP$454,4,0)/1000</f>
        <v>-1126.8976099999993</v>
      </c>
      <c r="BZ73" s="38">
        <f>VLOOKUP($C73,Segment!$I$460:$N$531,4,0)/1000</f>
        <v>-2144.3555099999999</v>
      </c>
      <c r="CA73" s="38">
        <f>VLOOKUP($C73,Segment!$P$460:$U$531,4,0)/1000</f>
        <v>-1006.653330000001</v>
      </c>
      <c r="CB73" s="38">
        <f>VLOOKUP($C73,Segment!$AD$460:$AI$531,4,0)/1000</f>
        <v>-1599.4027900000001</v>
      </c>
      <c r="CC73" s="38">
        <f>VLOOKUP($C73,Segment!$AK$460:$AP$531,4,0)/1000</f>
        <v>-1916.4202399999992</v>
      </c>
      <c r="CE73" s="38"/>
      <c r="CF73" s="38">
        <f t="shared" si="216"/>
        <v>-3510.3879999999999</v>
      </c>
      <c r="CG73" s="38">
        <f t="shared" si="216"/>
        <v>-3169.4159999999997</v>
      </c>
      <c r="CH73" s="38">
        <f t="shared" si="216"/>
        <v>-2139.3747370000001</v>
      </c>
      <c r="CI73" s="38">
        <f t="shared" si="216"/>
        <v>-2823.6534000000001</v>
      </c>
      <c r="CJ73" s="38">
        <f t="shared" si="216"/>
        <v>-2309.6578300000006</v>
      </c>
      <c r="CK73" s="38">
        <f t="shared" si="216"/>
        <v>-4341.9430000000002</v>
      </c>
      <c r="CL73" s="38">
        <f t="shared" si="216"/>
        <v>-4396.0621000000001</v>
      </c>
      <c r="CM73" s="38">
        <f t="shared" si="216"/>
        <v>-3996.3711200000002</v>
      </c>
      <c r="CN73" s="38">
        <f t="shared" si="216"/>
        <v>-7166.8629199999996</v>
      </c>
      <c r="CO73" s="38">
        <f t="shared" si="216"/>
        <v>-7512.9695700000002</v>
      </c>
      <c r="CP73" s="38">
        <f t="shared" si="217"/>
        <v>-7233.0972510000001</v>
      </c>
      <c r="CQ73" s="38">
        <f t="shared" si="217"/>
        <v>-8898.3761699999995</v>
      </c>
      <c r="CR73" s="38">
        <f t="shared" si="217"/>
        <v>-11356.126609999999</v>
      </c>
      <c r="CS73" s="38">
        <f t="shared" si="217"/>
        <v>-11513.19551</v>
      </c>
      <c r="CT73" s="38">
        <f t="shared" si="217"/>
        <v>-10947.235330000001</v>
      </c>
      <c r="CU73" s="38">
        <f t="shared" si="217"/>
        <v>-12290.003790000001</v>
      </c>
      <c r="CV73" s="38">
        <f t="shared" si="217"/>
        <v>-18940.430239999998</v>
      </c>
      <c r="CY73" s="38"/>
      <c r="CZ73" s="38">
        <f>VLOOKUP($C73,Segment!$AK$152:$AP$223,5,0)/1000</f>
        <v>0</v>
      </c>
      <c r="DA73" s="38">
        <f>VLOOKUP($C73,Segment!$I$229:$N$300,5,0)/1000</f>
        <v>0</v>
      </c>
      <c r="DB73" s="38">
        <f>VLOOKUP($C73,Segment!$P$229:$U$300,5,0)/1000</f>
        <v>0</v>
      </c>
      <c r="DC73" s="38">
        <f>VLOOKUP($C73,Segment!$AD$229:$AI$300,5,0)/1000</f>
        <v>0</v>
      </c>
      <c r="DD73" s="38">
        <f>VLOOKUP($C73,Segment!$AK$229:$AP$300,5,0)/1000</f>
        <v>-3105.2426300000002</v>
      </c>
      <c r="DE73" s="38">
        <f>VLOOKUP($C73,Segment!$I$306:$N$377,5,0)/1000</f>
        <v>-1304.7635599999999</v>
      </c>
      <c r="DF73" s="38">
        <f>VLOOKUP($C73,Segment!$P$306:$U$377,5,0)/1000</f>
        <v>-1314.0562100000002</v>
      </c>
      <c r="DG73" s="38">
        <f>VLOOKUP($C73,Segment!$AD$306:$AI$377,5,0)/1000</f>
        <v>-1378.2089100000001</v>
      </c>
      <c r="DH73" s="38">
        <f>VLOOKUP($C73,Segment!$AK$306:$AP$377,5,0)/1000</f>
        <v>-2011.0940599999992</v>
      </c>
      <c r="DI73" s="38">
        <f>VLOOKUP($C73,Segment!$I$383:$N$454,5,0)/1000</f>
        <v>-2319.13409</v>
      </c>
      <c r="DJ73" s="38">
        <f>VLOOKUP($C73,Segment!$P$383:$U$454,5,0)/1000</f>
        <v>-2057.0457600000009</v>
      </c>
      <c r="DK73" s="38">
        <f>VLOOKUP($C73,Segment!$AD$383:$AI$454,5,0)/1000</f>
        <v>-2157.6168299999999</v>
      </c>
      <c r="DL73" s="38">
        <f>VLOOKUP($C73,Segment!$AK$383:$AP$454,5,0)/1000</f>
        <v>-1756.4843999999985</v>
      </c>
      <c r="DM73" s="38">
        <f>VLOOKUP($C73,Segment!$I$460:$N$531,5,0)/1000</f>
        <v>-1817.0019399999999</v>
      </c>
      <c r="DN73" s="38">
        <f>VLOOKUP($C73,Segment!$P$460:$U$531,5,0)/1000</f>
        <v>-1953.7934900000002</v>
      </c>
      <c r="DO73" s="38">
        <f>VLOOKUP($C73,Segment!$AD$460:$AI$531,5,0)/1000</f>
        <v>-1983.1380400000005</v>
      </c>
      <c r="DP73" s="38">
        <f>VLOOKUP($C73,Segment!$AK$460:$AP$531,5,0)/1000</f>
        <v>-2490.7607088600589</v>
      </c>
    </row>
    <row r="74" spans="3:120" x14ac:dyDescent="0.3">
      <c r="C74" s="39" t="s">
        <v>93</v>
      </c>
      <c r="D74" s="109"/>
      <c r="E74" s="40"/>
      <c r="F74" s="40">
        <f t="shared" ref="F74:M74" si="218">-SUM(F72:F73)/F69</f>
        <v>0.30940762948405726</v>
      </c>
      <c r="G74" s="40">
        <f t="shared" si="218"/>
        <v>0.38591918285141852</v>
      </c>
      <c r="H74" s="40">
        <f t="shared" si="218"/>
        <v>0.37781840225507007</v>
      </c>
      <c r="I74" s="40">
        <f t="shared" si="218"/>
        <v>0.35540363918933054</v>
      </c>
      <c r="J74" s="40">
        <f t="shared" si="218"/>
        <v>0.3333611270547156</v>
      </c>
      <c r="K74" s="40">
        <f>-SUM(K72:K73)/K69</f>
        <v>0.34273306364555295</v>
      </c>
      <c r="L74" s="40">
        <f t="shared" si="218"/>
        <v>0.41282443100327537</v>
      </c>
      <c r="M74" s="40">
        <f t="shared" si="218"/>
        <v>0.43762727108459232</v>
      </c>
      <c r="N74" s="40">
        <f t="shared" ref="N74:V74" si="219">-SUM(N72:N73)/N69</f>
        <v>0.32255342825474542</v>
      </c>
      <c r="O74" s="40">
        <f t="shared" si="219"/>
        <v>0.35160864714774398</v>
      </c>
      <c r="P74" s="40">
        <f t="shared" si="219"/>
        <v>0.34625206254500479</v>
      </c>
      <c r="Q74" s="40">
        <f t="shared" si="219"/>
        <v>0.36811812445613629</v>
      </c>
      <c r="R74" s="40">
        <f t="shared" si="219"/>
        <v>0.45058858132785368</v>
      </c>
      <c r="S74" s="40">
        <f t="shared" si="219"/>
        <v>0.58830598460124772</v>
      </c>
      <c r="T74" s="40">
        <f t="shared" si="219"/>
        <v>0.44684714186083691</v>
      </c>
      <c r="U74" s="40">
        <f t="shared" si="219"/>
        <v>0.37590392146533824</v>
      </c>
      <c r="V74" s="40">
        <f t="shared" si="219"/>
        <v>0.36035830378716061</v>
      </c>
      <c r="W74" s="169"/>
      <c r="X74" s="133"/>
      <c r="Y74" s="40"/>
      <c r="Z74" s="40">
        <f t="shared" ref="Z74:AG74" si="220">-SUM(Z72:Z73)/Z69</f>
        <v>0.27694983824789554</v>
      </c>
      <c r="AA74" s="40">
        <f t="shared" si="220"/>
        <v>0.37615389283239598</v>
      </c>
      <c r="AB74" s="40">
        <f t="shared" si="220"/>
        <v>0.36687408860420739</v>
      </c>
      <c r="AC74" s="40">
        <f t="shared" si="220"/>
        <v>0.34116377660057484</v>
      </c>
      <c r="AD74" s="40">
        <f t="shared" si="220"/>
        <v>0.27812841637475411</v>
      </c>
      <c r="AE74" s="40">
        <f t="shared" si="220"/>
        <v>0.31380100597675159</v>
      </c>
      <c r="AF74" s="40">
        <f t="shared" si="220"/>
        <v>0.40114734828668513</v>
      </c>
      <c r="AG74" s="40">
        <f t="shared" si="220"/>
        <v>0.43035679007303113</v>
      </c>
      <c r="AH74" s="40">
        <f t="shared" ref="AH74:AP74" si="221">-SUM(AH72:AH73)/AH69</f>
        <v>0.2874014520235072</v>
      </c>
      <c r="AI74" s="40">
        <f t="shared" si="221"/>
        <v>0.32492948054248383</v>
      </c>
      <c r="AJ74" s="40">
        <f t="shared" si="221"/>
        <v>0.32540502051825343</v>
      </c>
      <c r="AK74" s="40">
        <f t="shared" si="221"/>
        <v>0.3532436246321799</v>
      </c>
      <c r="AL74" s="40">
        <f t="shared" si="221"/>
        <v>0.48138813064438568</v>
      </c>
      <c r="AM74" s="40">
        <f t="shared" si="221"/>
        <v>0.63481992656193242</v>
      </c>
      <c r="AN74" s="40">
        <f t="shared" si="221"/>
        <v>0.48529144899406607</v>
      </c>
      <c r="AO74" s="40">
        <f t="shared" si="221"/>
        <v>0.35766797486633611</v>
      </c>
      <c r="AP74" s="40">
        <f t="shared" si="221"/>
        <v>0.3372181050802181</v>
      </c>
      <c r="AQ74" s="169"/>
      <c r="AS74" s="40"/>
      <c r="AT74" s="40">
        <f t="shared" ref="AT74:BA74" si="222">-SUM(AT72:AT73)/AT69</f>
        <v>2.0608347391511788</v>
      </c>
      <c r="AU74" s="40">
        <f t="shared" si="222"/>
        <v>0.45580581165026857</v>
      </c>
      <c r="AV74" s="40">
        <f t="shared" si="222"/>
        <v>0.51542836901906652</v>
      </c>
      <c r="AW74" s="40">
        <f t="shared" si="222"/>
        <v>0.65979833295396206</v>
      </c>
      <c r="AX74" s="40">
        <f t="shared" si="222"/>
        <v>0.72481282184412832</v>
      </c>
      <c r="AY74" s="40">
        <f t="shared" si="222"/>
        <v>0.46271645109718906</v>
      </c>
      <c r="AZ74" s="40">
        <f t="shared" si="222"/>
        <v>0.40459064834468389</v>
      </c>
      <c r="BA74" s="40">
        <f t="shared" si="222"/>
        <v>0.39997274706696301</v>
      </c>
      <c r="BB74" s="40">
        <f t="shared" ref="BB74:BJ74" si="223">-SUM(BB72:BB73)/BB69</f>
        <v>0.59151473676302235</v>
      </c>
      <c r="BC74" s="40">
        <f t="shared" si="223"/>
        <v>0.36812075417196766</v>
      </c>
      <c r="BD74" s="40">
        <f t="shared" si="223"/>
        <v>0.3408251745006235</v>
      </c>
      <c r="BE74" s="40">
        <f t="shared" si="223"/>
        <v>0.34722712334570016</v>
      </c>
      <c r="BF74" s="40">
        <f t="shared" si="223"/>
        <v>0.39870047797117525</v>
      </c>
      <c r="BG74" s="40">
        <f t="shared" si="223"/>
        <v>0.3678514092937869</v>
      </c>
      <c r="BH74" s="40">
        <f t="shared" si="223"/>
        <v>0.26794839942538945</v>
      </c>
      <c r="BI74" s="40">
        <f t="shared" si="223"/>
        <v>0.45409102536033491</v>
      </c>
      <c r="BJ74" s="40">
        <f t="shared" si="223"/>
        <v>0.4182386732809189</v>
      </c>
      <c r="BL74" s="40"/>
      <c r="BM74" s="40">
        <f t="shared" ref="BM74:BT74" si="224">-SUM(BM72:BM73)/BM69</f>
        <v>0.30709190661907043</v>
      </c>
      <c r="BN74" s="40">
        <f t="shared" si="224"/>
        <v>0.33918313015418783</v>
      </c>
      <c r="BO74" s="40">
        <f t="shared" si="224"/>
        <v>0.33533209518521034</v>
      </c>
      <c r="BP74" s="40">
        <f t="shared" si="224"/>
        <v>0.21840713969015144</v>
      </c>
      <c r="BQ74" s="40">
        <f t="shared" si="224"/>
        <v>0.30289680970102167</v>
      </c>
      <c r="BR74" s="40">
        <f t="shared" si="224"/>
        <v>0.41175355653945178</v>
      </c>
      <c r="BS74" s="40">
        <f t="shared" si="224"/>
        <v>0.50116350054652958</v>
      </c>
      <c r="BT74" s="40">
        <f t="shared" si="224"/>
        <v>0.45026432924502213</v>
      </c>
      <c r="BU74" s="40">
        <f t="shared" ref="BU74:CC74" si="225">-SUM(BU72:BU73)/BU69</f>
        <v>0.5092639445383712</v>
      </c>
      <c r="BV74" s="40">
        <f t="shared" si="225"/>
        <v>0.78897481818363413</v>
      </c>
      <c r="BW74" s="40">
        <f t="shared" si="225"/>
        <v>1.3806032572367735</v>
      </c>
      <c r="BX74" s="40">
        <f t="shared" si="225"/>
        <v>0.52653297956359513</v>
      </c>
      <c r="BY74" s="40">
        <f t="shared" si="225"/>
        <v>0.15395128175139225</v>
      </c>
      <c r="BZ74" s="40">
        <f t="shared" si="225"/>
        <v>0.4986401035537531</v>
      </c>
      <c r="CA74" s="40">
        <f t="shared" si="225"/>
        <v>0.42987454222340865</v>
      </c>
      <c r="CB74" s="40">
        <f t="shared" si="225"/>
        <v>0.37813119338183698</v>
      </c>
      <c r="CC74" s="40">
        <f t="shared" si="225"/>
        <v>0.6094545668839606</v>
      </c>
      <c r="CE74" s="40"/>
      <c r="CF74" s="40">
        <f t="shared" ref="CF74:CM74" si="226">-SUM(CF72:CF73)/CF69</f>
        <v>1.0850510490859839</v>
      </c>
      <c r="CG74" s="40">
        <f t="shared" si="226"/>
        <v>0.43497960262017404</v>
      </c>
      <c r="CH74" s="40">
        <f t="shared" si="226"/>
        <v>0.4678220958713798</v>
      </c>
      <c r="CI74" s="40">
        <f t="shared" si="226"/>
        <v>0.48451531675367815</v>
      </c>
      <c r="CJ74" s="40">
        <f t="shared" si="226"/>
        <v>0.58043533189437646</v>
      </c>
      <c r="CK74" s="40">
        <f t="shared" si="226"/>
        <v>0.4544601061005813</v>
      </c>
      <c r="CL74" s="40">
        <f t="shared" si="226"/>
        <v>0.41988152312382859</v>
      </c>
      <c r="CM74" s="40">
        <f t="shared" si="226"/>
        <v>0.40845862468410804</v>
      </c>
      <c r="CN74" s="40">
        <f t="shared" ref="CN74:CV74" si="227">-SUM(CN72:CN73)/CN69</f>
        <v>0.57617971159251069</v>
      </c>
      <c r="CO74" s="40">
        <f t="shared" si="227"/>
        <v>0.40840047286346781</v>
      </c>
      <c r="CP74" s="40">
        <f t="shared" si="227"/>
        <v>0.40331821400624546</v>
      </c>
      <c r="CQ74" s="40">
        <f t="shared" si="227"/>
        <v>0.37144094488433071</v>
      </c>
      <c r="CR74" s="40">
        <f t="shared" si="227"/>
        <v>0.31142171227960064</v>
      </c>
      <c r="CS74" s="40">
        <f t="shared" si="227"/>
        <v>0.38679282317942076</v>
      </c>
      <c r="CT74" s="40">
        <f t="shared" si="227"/>
        <v>0.28847185817057819</v>
      </c>
      <c r="CU74" s="40">
        <f t="shared" si="227"/>
        <v>0.43762482841304962</v>
      </c>
      <c r="CV74" s="40">
        <f t="shared" si="227"/>
        <v>0.44296301790803028</v>
      </c>
      <c r="CW74" s="169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</row>
    <row r="75" spans="3:120" x14ac:dyDescent="0.3">
      <c r="C75" s="36" t="s">
        <v>40</v>
      </c>
      <c r="E75" s="42"/>
      <c r="F75" s="38">
        <f>VLOOKUP($C75,Segment!$AK$152:$AP$223,6,0)/1000</f>
        <v>-11384.04</v>
      </c>
      <c r="G75" s="38">
        <f>VLOOKUP($C75,Segment!$I$229:$N$300,6,0)/1000</f>
        <v>-3255.9450000000002</v>
      </c>
      <c r="H75" s="38">
        <f>VLOOKUP($C75,Segment!$P$229:$U$300,6,0)/1000</f>
        <v>-6055.2146200000007</v>
      </c>
      <c r="I75" s="38">
        <f>VLOOKUP($C75,Segment!$AD$229:$AI$300,6,0)/1000</f>
        <v>-12210.934919999998</v>
      </c>
      <c r="J75" s="38">
        <f>VLOOKUP($C75,Segment!$AK$229:$AP$300,6,0)/1000</f>
        <v>-11530.641920000004</v>
      </c>
      <c r="K75" s="38">
        <f>VLOOKUP($C75,Segment!$I$306:$N$377,6,0)/1000</f>
        <v>-7737.7078099999999</v>
      </c>
      <c r="L75" s="38">
        <f>VLOOKUP($C75,Segment!$P$306:$U$377,6,0)/1000</f>
        <v>-11801.765720000001</v>
      </c>
      <c r="M75" s="38">
        <f>VLOOKUP($C75,Segment!$AD$306:$AI$377,6,0)/1000</f>
        <v>-7376.6103800000019</v>
      </c>
      <c r="N75" s="203">
        <f>VLOOKUP($C75,Segment!$AK$306:$AP$377,6,0)/1000</f>
        <v>-9137.869179999996</v>
      </c>
      <c r="O75" s="203">
        <f>VLOOKUP($C75,Segment!$I$383:$N$454,6,0)/1000</f>
        <v>-22138.284299999996</v>
      </c>
      <c r="P75" s="203">
        <f>VLOOKUP($C75,Segment!$P$383:$U$454,6,0)/1000</f>
        <v>-14652.800800000005</v>
      </c>
      <c r="Q75" s="203">
        <f>VLOOKUP($C75,Segment!$AD$383:$AI$454,6,0)/1000</f>
        <v>-12379.768450000003</v>
      </c>
      <c r="R75" s="203">
        <f>VLOOKUP($C75,Segment!$AK$383:$AP$454,6,0)/1000</f>
        <v>-20433.839800000002</v>
      </c>
      <c r="S75" s="203">
        <f>VLOOKUP($C75,Segment!$I$460:$N$531,6,0)/1000</f>
        <v>-14208.82718</v>
      </c>
      <c r="T75" s="203">
        <f>VLOOKUP($C75,Segment!$P$460:$U$531,6,0)/1000</f>
        <v>-20024.151009999998</v>
      </c>
      <c r="U75" s="203">
        <f>VLOOKUP($C75,Segment!$AD$460:$AI$531,6,0)/1000</f>
        <v>-31075.186279999998</v>
      </c>
      <c r="V75" s="203">
        <f>VLOOKUP($C75,Segment!$AK$460:$AP$531,6,0)/1000</f>
        <v>-47927.350410000014</v>
      </c>
      <c r="W75" s="132">
        <f t="shared" si="215"/>
        <v>1.3454891923934928</v>
      </c>
      <c r="X75" s="132"/>
      <c r="Y75" s="38"/>
      <c r="Z75" s="38">
        <f>VLOOKUP($C75,Segment!$AK$152:$AP$223,2,0)/1000</f>
        <v>-10782.982</v>
      </c>
      <c r="AA75" s="38">
        <f>VLOOKUP($C75,Segment!$I$229:$N$300,2,0)/1000</f>
        <v>-2931.873</v>
      </c>
      <c r="AB75" s="38">
        <f>VLOOKUP($C75,Segment!$P$229:$U$300,2,0)/1000</f>
        <v>-5813.9006200000013</v>
      </c>
      <c r="AC75" s="38">
        <f>VLOOKUP($C75,Segment!$AD$229:$AI$300,2,0)/1000</f>
        <v>-11794.013919999998</v>
      </c>
      <c r="AD75" s="38">
        <f>VLOOKUP($C75,Segment!$AK$229:$AP$300,2,0)/1000</f>
        <v>-8039.5695200000036</v>
      </c>
      <c r="AE75" s="38">
        <f>VLOOKUP($C75,Segment!$I$306:$N$377,2,0)/1000</f>
        <v>-5241.7258099999999</v>
      </c>
      <c r="AF75" s="38">
        <f>VLOOKUP($C75,Segment!$P$306:$U$377,2,0)/1000</f>
        <v>-5639.2748199999996</v>
      </c>
      <c r="AG75" s="38">
        <f>VLOOKUP($C75,Segment!$AD$306:$AI$377,2,0)/1000</f>
        <v>-4885.2202200000029</v>
      </c>
      <c r="AH75" s="38">
        <f>VLOOKUP($C75,Segment!$AK$306:$AP$377,2,0)/1000</f>
        <v>-5276.7611999999954</v>
      </c>
      <c r="AI75" s="38">
        <f>VLOOKUP($C75,Segment!$I$383:$N$454,2,0)/1000</f>
        <v>-17857.764079999997</v>
      </c>
      <c r="AJ75" s="38">
        <f>VLOOKUP($C75,Segment!$P$383:$U$454,2,0)/1000</f>
        <v>-7451.5702100000044</v>
      </c>
      <c r="AK75" s="38">
        <f>VLOOKUP($C75,Segment!$AD$383:$AI$454,2,0)/1000</f>
        <v>-8334.2475400000021</v>
      </c>
      <c r="AL75" s="38">
        <f>VLOOKUP($C75,Segment!$AK$383:$AP$454,2,0)/1000</f>
        <v>-14658.520489999999</v>
      </c>
      <c r="AM75" s="38">
        <f>VLOOKUP($C75,Segment!$I$460:$N$531,2,0)/1000</f>
        <v>-9843.5131400000009</v>
      </c>
      <c r="AN75" s="38">
        <f>VLOOKUP($C75,Segment!$P$460:$U$531,2,0)/1000</f>
        <v>-12924.784059999998</v>
      </c>
      <c r="AO75" s="38">
        <f>VLOOKUP($C75,Segment!$AD$460:$AI$531,2,0)/1000</f>
        <v>-27461.980099999997</v>
      </c>
      <c r="AP75" s="38">
        <f>VLOOKUP($C75,Segment!$AK$460:$AP$531,2,0)/1000</f>
        <v>-42444.444160000014</v>
      </c>
      <c r="AQ75" s="132">
        <f t="shared" ref="AQ75:AQ80" si="228">AP75/AL75-1</f>
        <v>1.8955476228965598</v>
      </c>
      <c r="AS75" s="38"/>
      <c r="AT75" s="38">
        <f>VLOOKUP($C75,Segment!$AK$152:$AP$223,3,0)/1000</f>
        <v>-278.81799999999998</v>
      </c>
      <c r="AU75" s="38">
        <f>VLOOKUP($C75,Segment!$I$229:$N$300,3,0)/1000</f>
        <v>-162.952</v>
      </c>
      <c r="AV75" s="38">
        <f>VLOOKUP($C75,Segment!$P$229:$U$300,3,0)/1000</f>
        <v>-241.31399999999999</v>
      </c>
      <c r="AW75" s="38">
        <f>VLOOKUP($C75,Segment!$AD$229:$AI$300,3,0)/1000</f>
        <v>-415.92099999999999</v>
      </c>
      <c r="AX75" s="38">
        <f>VLOOKUP($C75,Segment!$AK$229:$AP$300,3,0)/1000</f>
        <v>-278.04000000000002</v>
      </c>
      <c r="AY75" s="38">
        <f>VLOOKUP($C75,Segment!$I$306:$N$377,3,0)/1000</f>
        <v>-363.63600000000002</v>
      </c>
      <c r="AZ75" s="38">
        <f>VLOOKUP($C75,Segment!$P$306:$U$377,3,0)/1000</f>
        <v>-4811.1980000000003</v>
      </c>
      <c r="BA75" s="38">
        <f>VLOOKUP($C75,Segment!$AD$306:$AI$377,3,0)/1000</f>
        <v>-1190.9079999999999</v>
      </c>
      <c r="BB75" s="38">
        <f>VLOOKUP($C75,Segment!$AK$306:$AP$377,3,0)/1000</f>
        <v>-1472.903</v>
      </c>
      <c r="BC75" s="38">
        <f>VLOOKUP($C75,Segment!$I$383:$N$454,3,0)/1000</f>
        <v>-1520.7370000000001</v>
      </c>
      <c r="BD75" s="38">
        <f>VLOOKUP($C75,Segment!$P$383:$U$454,3,0)/1000</f>
        <v>-5677.1090000000004</v>
      </c>
      <c r="BE75" s="38">
        <f>VLOOKUP($C75,Segment!$AD$383:$AI$454,3,0)/1000</f>
        <v>-2799.46</v>
      </c>
      <c r="BF75" s="38">
        <f>VLOOKUP($C75,Segment!$AK$383:$AP$454,3,0)/1000</f>
        <v>-4375.424</v>
      </c>
      <c r="BG75" s="38">
        <f>VLOOKUP($C75,Segment!$I$460:$N$531,3,0)/1000</f>
        <v>-4025.9609999999998</v>
      </c>
      <c r="BH75" s="38">
        <f>VLOOKUP($C75,Segment!$P$460:$U$531,3,0)/1000</f>
        <v>-6674.9989999999998</v>
      </c>
      <c r="BI75" s="38">
        <f>VLOOKUP($C75,Segment!$AD$460:$AI$531,3,0)/1000</f>
        <v>-3474.337</v>
      </c>
      <c r="BJ75" s="38">
        <f>VLOOKUP($C75,Segment!$AK$460:$AP$531,3,0)/1000</f>
        <v>-4506.5020000000004</v>
      </c>
      <c r="BL75" s="38"/>
      <c r="BM75" s="38">
        <f>VLOOKUP($C75,Segment!$AK$152:$AP$223,4,0)/1000</f>
        <v>-322.24</v>
      </c>
      <c r="BN75" s="38">
        <f>VLOOKUP($C75,Segment!$I$229:$N$300,4,0)/1000</f>
        <v>-161.12</v>
      </c>
      <c r="BO75" s="38">
        <f>VLOOKUP($C75,Segment!$P$229:$U$300,4,0)/1000</f>
        <v>0</v>
      </c>
      <c r="BP75" s="38">
        <f>VLOOKUP($C75,Segment!$AD$229:$AI$300,4,0)/1000</f>
        <v>-1</v>
      </c>
      <c r="BQ75" s="38">
        <f>VLOOKUP($C75,Segment!$AK$229:$AP$300,4,0)/1000</f>
        <v>-23</v>
      </c>
      <c r="BR75" s="38">
        <f>VLOOKUP($C75,Segment!$I$306:$N$377,4,0)/1000</f>
        <v>-46.9</v>
      </c>
      <c r="BS75" s="38">
        <f>VLOOKUP($C75,Segment!$P$306:$U$377,4,0)/1000</f>
        <v>-6.7</v>
      </c>
      <c r="BT75" s="38">
        <f>VLOOKUP($C75,Segment!$AD$306:$AI$377,4,0)/1000</f>
        <v>-14.8</v>
      </c>
      <c r="BU75" s="38">
        <f>VLOOKUP($C75,Segment!$AK$306:$AP$377,4,0)/1000</f>
        <v>5.7</v>
      </c>
      <c r="BV75" s="38">
        <f>VLOOKUP($C75,Segment!$I$383:$N$454,4,0)/1000</f>
        <v>-974.17100000000005</v>
      </c>
      <c r="BW75" s="38">
        <f>VLOOKUP($C75,Segment!$P$383:$U$454,4,0)/1000</f>
        <v>-40</v>
      </c>
      <c r="BX75" s="38">
        <f>VLOOKUP($C75,Segment!$AD$383:$AI$454,4,0)/1000</f>
        <v>-27.074999999999999</v>
      </c>
      <c r="BY75" s="38">
        <f>VLOOKUP($C75,Segment!$AK$383:$AP$454,4,0)/1000</f>
        <v>-224.27068999999995</v>
      </c>
      <c r="BZ75" s="38">
        <f>VLOOKUP($C75,Segment!$I$460:$N$531,4,0)/1000</f>
        <v>-63.483700000000013</v>
      </c>
      <c r="CA75" s="38">
        <f>VLOOKUP($C75,Segment!$P$460:$U$531,4,0)/1000</f>
        <v>-6.0248999999999944</v>
      </c>
      <c r="CB75" s="38">
        <f>VLOOKUP($C75,Segment!$AD$460:$AI$531,4,0)/1000</f>
        <v>-17.010249999999999</v>
      </c>
      <c r="CC75" s="38">
        <f>VLOOKUP($C75,Segment!$AK$460:$AP$531,4,0)/1000</f>
        <v>-94.280529999999999</v>
      </c>
      <c r="CE75" s="38"/>
      <c r="CF75" s="38">
        <f t="shared" ref="CF75:CO80" si="229">AT75+BM75</f>
        <v>-601.05799999999999</v>
      </c>
      <c r="CG75" s="38">
        <f t="shared" si="229"/>
        <v>-324.072</v>
      </c>
      <c r="CH75" s="38">
        <f t="shared" si="229"/>
        <v>-241.31399999999999</v>
      </c>
      <c r="CI75" s="38">
        <f t="shared" si="229"/>
        <v>-416.92099999999999</v>
      </c>
      <c r="CJ75" s="38">
        <f t="shared" si="229"/>
        <v>-301.04000000000002</v>
      </c>
      <c r="CK75" s="38">
        <f t="shared" si="229"/>
        <v>-410.536</v>
      </c>
      <c r="CL75" s="38">
        <f t="shared" si="229"/>
        <v>-4817.8980000000001</v>
      </c>
      <c r="CM75" s="38">
        <f t="shared" si="229"/>
        <v>-1205.7079999999999</v>
      </c>
      <c r="CN75" s="38">
        <f t="shared" si="229"/>
        <v>-1467.203</v>
      </c>
      <c r="CO75" s="38">
        <f t="shared" si="229"/>
        <v>-2494.9080000000004</v>
      </c>
      <c r="CP75" s="38">
        <f t="shared" ref="CP75:CV80" si="230">BD75+BW75</f>
        <v>-5717.1090000000004</v>
      </c>
      <c r="CQ75" s="38">
        <f t="shared" si="230"/>
        <v>-2826.5349999999999</v>
      </c>
      <c r="CR75" s="38">
        <f t="shared" si="230"/>
        <v>-4599.6946900000003</v>
      </c>
      <c r="CS75" s="38">
        <f t="shared" si="230"/>
        <v>-4089.4447</v>
      </c>
      <c r="CT75" s="38">
        <f t="shared" si="230"/>
        <v>-6681.0239000000001</v>
      </c>
      <c r="CU75" s="38">
        <f t="shared" si="230"/>
        <v>-3491.3472499999998</v>
      </c>
      <c r="CV75" s="38">
        <f t="shared" si="230"/>
        <v>-4600.7825300000004</v>
      </c>
      <c r="CY75" s="38"/>
      <c r="CZ75" s="38">
        <f>VLOOKUP($C75,Segment!$AK$152:$AP$223,5,0)/1000</f>
        <v>0</v>
      </c>
      <c r="DA75" s="38">
        <f>VLOOKUP($C75,Segment!$I$229:$N$300,5,0)/1000</f>
        <v>0</v>
      </c>
      <c r="DB75" s="38">
        <f>VLOOKUP($C75,Segment!$P$229:$U$300,5,0)/1000</f>
        <v>0</v>
      </c>
      <c r="DC75" s="38">
        <f>VLOOKUP($C75,Segment!$AD$229:$AI$300,5,0)/1000</f>
        <v>0</v>
      </c>
      <c r="DD75" s="38">
        <f>VLOOKUP($C75,Segment!$AK$229:$AP$300,5,0)/1000</f>
        <v>-3190.0324000000001</v>
      </c>
      <c r="DE75" s="38">
        <f>VLOOKUP($C75,Segment!$I$306:$N$377,5,0)/1000</f>
        <v>-2085.4459999999999</v>
      </c>
      <c r="DF75" s="38">
        <f>VLOOKUP($C75,Segment!$P$306:$U$377,5,0)/1000</f>
        <v>-1344.5929000000003</v>
      </c>
      <c r="DG75" s="38">
        <f>VLOOKUP($C75,Segment!$AD$306:$AI$377,5,0)/1000</f>
        <v>-1285.6821599999992</v>
      </c>
      <c r="DH75" s="38">
        <f>VLOOKUP($C75,Segment!$AK$306:$AP$377,5,0)/1000</f>
        <v>-2393.9049799999993</v>
      </c>
      <c r="DI75" s="38">
        <f>VLOOKUP($C75,Segment!$I$383:$N$454,5,0)/1000</f>
        <v>-1785.61222</v>
      </c>
      <c r="DJ75" s="38">
        <f>VLOOKUP($C75,Segment!$P$383:$U$454,5,0)/1000</f>
        <v>-1484.1215900000002</v>
      </c>
      <c r="DK75" s="38">
        <f>VLOOKUP($C75,Segment!$AD$383:$AI$454,5,0)/1000</f>
        <v>-1218.9859099999996</v>
      </c>
      <c r="DL75" s="38">
        <f>VLOOKUP($C75,Segment!$AK$383:$AP$454,5,0)/1000</f>
        <v>-1175.6246199999996</v>
      </c>
      <c r="DM75" s="38">
        <f>VLOOKUP($C75,Segment!$I$460:$N$531,5,0)/1000</f>
        <v>-275.86934000000002</v>
      </c>
      <c r="DN75" s="38">
        <f>VLOOKUP($C75,Segment!$P$460:$U$531,5,0)/1000</f>
        <v>-418.34305000000001</v>
      </c>
      <c r="DO75" s="38">
        <f>VLOOKUP($C75,Segment!$AD$460:$AI$531,5,0)/1000</f>
        <v>-121.85892999999993</v>
      </c>
      <c r="DP75" s="38">
        <f>VLOOKUP($C75,Segment!$AK$460:$AP$531,5,0)/1000</f>
        <v>-882.12372000000005</v>
      </c>
    </row>
    <row r="76" spans="3:120" x14ac:dyDescent="0.3">
      <c r="C76" s="36" t="s">
        <v>41</v>
      </c>
      <c r="E76" s="42"/>
      <c r="F76" s="38">
        <f>VLOOKUP($C76,Segment!$AK$152:$AP$223,6,0)/1000</f>
        <v>99.524000000000001</v>
      </c>
      <c r="G76" s="38">
        <f>VLOOKUP($C76,Segment!$I$229:$N$300,6,0)/1000</f>
        <v>3000</v>
      </c>
      <c r="H76" s="38">
        <f>VLOOKUP($C76,Segment!$P$229:$U$300,6,0)/1000</f>
        <v>1924.864</v>
      </c>
      <c r="I76" s="38">
        <f>VLOOKUP($C76,Segment!$AD$229:$AI$300,6,0)/1000</f>
        <v>3894.98</v>
      </c>
      <c r="J76" s="38">
        <f>VLOOKUP($C76,Segment!$AK$229:$AP$300,6,0)/1000</f>
        <v>1266.6275000000001</v>
      </c>
      <c r="K76" s="38">
        <f>VLOOKUP($C76,Segment!$I$306:$N$377,6,0)/1000</f>
        <v>-16.55594</v>
      </c>
      <c r="L76" s="38">
        <f>VLOOKUP($C76,Segment!$P$306:$U$377,6,0)/1000</f>
        <v>16.55594</v>
      </c>
      <c r="M76" s="38">
        <f>VLOOKUP($C76,Segment!$AD$306:$AI$377,6,0)/1000</f>
        <v>-520</v>
      </c>
      <c r="N76" s="203">
        <f>VLOOKUP($C76,Segment!$AK$306:$AP$377,6,0)/1000</f>
        <v>-100</v>
      </c>
      <c r="O76" s="203">
        <f>VLOOKUP($C76,Segment!$I$383:$N$454,6,0)/1000</f>
        <v>0</v>
      </c>
      <c r="P76" s="203">
        <f>VLOOKUP($C76,Segment!$P$383:$U$454,6,0)/1000</f>
        <v>0</v>
      </c>
      <c r="Q76" s="203">
        <f>VLOOKUP($C76,Segment!$AD$383:$AI$454,6,0)/1000</f>
        <v>-300</v>
      </c>
      <c r="R76" s="203">
        <f>VLOOKUP($C76,Segment!$AK$383:$AP$454,6,0)/1000</f>
        <v>-15000</v>
      </c>
      <c r="S76" s="203">
        <f>VLOOKUP($C76,Segment!$I$460:$N$531,6,0)/1000</f>
        <v>14800</v>
      </c>
      <c r="T76" s="203">
        <f>VLOOKUP($C76,Segment!$P$460:$U$531,6,0)/1000</f>
        <v>0</v>
      </c>
      <c r="U76" s="203">
        <f>VLOOKUP($C76,Segment!$AD$460:$AI$531,6,0)/1000</f>
        <v>0</v>
      </c>
      <c r="V76" s="203">
        <f>VLOOKUP($C76,Segment!$AK$460:$AP$531,6,0)/1000</f>
        <v>0</v>
      </c>
      <c r="W76" s="132">
        <f t="shared" si="215"/>
        <v>-1</v>
      </c>
      <c r="X76" s="132"/>
      <c r="Y76" s="38"/>
      <c r="Z76" s="38">
        <f>VLOOKUP($C76,Segment!$AK$152:$AP$223,2,0)/1000</f>
        <v>99.524000000000001</v>
      </c>
      <c r="AA76" s="38">
        <f>VLOOKUP($C76,Segment!$I$229:$N$300,2,0)/1000</f>
        <v>3000</v>
      </c>
      <c r="AB76" s="38">
        <f>VLOOKUP($C76,Segment!$P$229:$U$300,2,0)/1000</f>
        <v>1924.864</v>
      </c>
      <c r="AC76" s="38">
        <f>VLOOKUP($C76,Segment!$AD$229:$AI$300,2,0)/1000</f>
        <v>3894.98</v>
      </c>
      <c r="AD76" s="38">
        <f>VLOOKUP($C76,Segment!$AK$229:$AP$300,2,0)/1000</f>
        <v>1266.6275000000001</v>
      </c>
      <c r="AE76" s="38">
        <f>VLOOKUP($C76,Segment!$I$306:$N$377,2,0)/1000</f>
        <v>-16.55594</v>
      </c>
      <c r="AF76" s="38">
        <f>VLOOKUP($C76,Segment!$P$306:$U$377,2,0)/1000</f>
        <v>16.55594</v>
      </c>
      <c r="AG76" s="38">
        <f>VLOOKUP($C76,Segment!$AD$306:$AI$377,2,0)/1000</f>
        <v>0</v>
      </c>
      <c r="AH76" s="38">
        <f>VLOOKUP($C76,Segment!$AK$306:$AP$377,2,0)/1000</f>
        <v>0</v>
      </c>
      <c r="AI76" s="38">
        <f>VLOOKUP($C76,Segment!$I$383:$N$454,2,0)/1000</f>
        <v>0</v>
      </c>
      <c r="AJ76" s="38">
        <f>VLOOKUP($C76,Segment!$P$383:$U$454,2,0)/1000</f>
        <v>0</v>
      </c>
      <c r="AK76" s="38">
        <f>VLOOKUP($C76,Segment!$AD$383:$AI$454,2,0)/1000</f>
        <v>0</v>
      </c>
      <c r="AL76" s="38">
        <f>VLOOKUP($C76,Segment!$AK$383:$AP$454,2,0)/1000</f>
        <v>-15000</v>
      </c>
      <c r="AM76" s="38">
        <f>VLOOKUP($C76,Segment!$I$460:$N$531,2,0)/1000</f>
        <v>15000</v>
      </c>
      <c r="AN76" s="38">
        <f>VLOOKUP($C76,Segment!$P$460:$U$531,2,0)/1000</f>
        <v>0</v>
      </c>
      <c r="AO76" s="38">
        <f>VLOOKUP($C76,Segment!$AD$460:$AI$531,2,0)/1000</f>
        <v>0</v>
      </c>
      <c r="AP76" s="38">
        <f>VLOOKUP($C76,Segment!$AK$460:$AP$531,2,0)/1000</f>
        <v>0</v>
      </c>
      <c r="AQ76" s="132">
        <f t="shared" si="228"/>
        <v>-1</v>
      </c>
      <c r="AS76" s="38"/>
      <c r="AT76" s="38">
        <f>VLOOKUP($C76,Segment!$AK$152:$AP$223,3,0)/1000</f>
        <v>0</v>
      </c>
      <c r="AU76" s="38">
        <f>VLOOKUP($C76,Segment!$I$229:$N$300,3,0)/1000</f>
        <v>0</v>
      </c>
      <c r="AV76" s="38">
        <f>VLOOKUP($C76,Segment!$P$229:$U$300,3,0)/1000</f>
        <v>0</v>
      </c>
      <c r="AW76" s="38">
        <f>VLOOKUP($C76,Segment!$AD$229:$AI$300,3,0)/1000</f>
        <v>0</v>
      </c>
      <c r="AX76" s="38">
        <f>VLOOKUP($C76,Segment!$AK$229:$AP$300,3,0)/1000</f>
        <v>0</v>
      </c>
      <c r="AY76" s="38">
        <f>VLOOKUP($C76,Segment!$I$306:$N$377,3,0)/1000</f>
        <v>0</v>
      </c>
      <c r="AZ76" s="38">
        <f>VLOOKUP($C76,Segment!$P$306:$U$377,3,0)/1000</f>
        <v>0</v>
      </c>
      <c r="BA76" s="38">
        <f>VLOOKUP($C76,Segment!$AD$306:$AI$377,3,0)/1000</f>
        <v>-520</v>
      </c>
      <c r="BB76" s="38">
        <f>VLOOKUP($C76,Segment!$AK$306:$AP$377,3,0)/1000</f>
        <v>-100</v>
      </c>
      <c r="BC76" s="38">
        <f>VLOOKUP($C76,Segment!$I$383:$N$454,3,0)/1000</f>
        <v>0</v>
      </c>
      <c r="BD76" s="38">
        <f>VLOOKUP($C76,Segment!$P$383:$U$454,3,0)/1000</f>
        <v>0</v>
      </c>
      <c r="BE76" s="38">
        <f>VLOOKUP($C76,Segment!$AD$383:$AI$454,3,0)/1000</f>
        <v>-300</v>
      </c>
      <c r="BF76" s="38">
        <f>VLOOKUP($C76,Segment!$AK$383:$AP$454,3,0)/1000</f>
        <v>0</v>
      </c>
      <c r="BG76" s="38">
        <f>VLOOKUP($C76,Segment!$I$460:$N$531,3,0)/1000</f>
        <v>-200</v>
      </c>
      <c r="BH76" s="38">
        <f>VLOOKUP($C76,Segment!$P$460:$U$531,3,0)/1000</f>
        <v>0</v>
      </c>
      <c r="BI76" s="38">
        <f>VLOOKUP($C76,Segment!$AD$460:$AI$531,3,0)/1000</f>
        <v>0</v>
      </c>
      <c r="BJ76" s="38">
        <f>VLOOKUP($C76,Segment!$AK$460:$AP$531,3,0)/1000</f>
        <v>0</v>
      </c>
      <c r="BL76" s="38"/>
      <c r="BM76" s="38">
        <f>VLOOKUP($C76,Segment!$AK$152:$AP$223,4,0)/1000</f>
        <v>0</v>
      </c>
      <c r="BN76" s="38">
        <f>VLOOKUP($C76,Segment!$I$229:$N$300,4,0)/1000</f>
        <v>0</v>
      </c>
      <c r="BO76" s="38">
        <f>VLOOKUP($C76,Segment!$P$229:$U$300,4,0)/1000</f>
        <v>0</v>
      </c>
      <c r="BP76" s="38">
        <f>VLOOKUP($C76,Segment!$AD$229:$AI$300,4,0)/1000</f>
        <v>0</v>
      </c>
      <c r="BQ76" s="38">
        <f>VLOOKUP($C76,Segment!$AK$229:$AP$300,4,0)/1000</f>
        <v>0</v>
      </c>
      <c r="BR76" s="38">
        <f>VLOOKUP($C76,Segment!$I$306:$N$377,4,0)/1000</f>
        <v>0</v>
      </c>
      <c r="BS76" s="38">
        <f>VLOOKUP($C76,Segment!$P$306:$U$377,4,0)/1000</f>
        <v>0</v>
      </c>
      <c r="BT76" s="38">
        <f>VLOOKUP($C76,Segment!$AD$306:$AI$377,4,0)/1000</f>
        <v>0</v>
      </c>
      <c r="BU76" s="38">
        <f>VLOOKUP($C76,Segment!$AK$306:$AP$377,4,0)/1000</f>
        <v>0</v>
      </c>
      <c r="BV76" s="38">
        <f>VLOOKUP($C76,Segment!$I$383:$N$454,4,0)/1000</f>
        <v>0</v>
      </c>
      <c r="BW76" s="38">
        <f>VLOOKUP($C76,Segment!$P$383:$U$454,4,0)/1000</f>
        <v>0</v>
      </c>
      <c r="BX76" s="38">
        <f>VLOOKUP($C76,Segment!$AD$383:$AI$454,4,0)/1000</f>
        <v>0</v>
      </c>
      <c r="BY76" s="38">
        <f>VLOOKUP($C76,Segment!$AK$383:$AP$454,4,0)/1000</f>
        <v>0</v>
      </c>
      <c r="BZ76" s="38">
        <f>VLOOKUP($C76,Segment!$I$460:$N$531,4,0)/1000</f>
        <v>0</v>
      </c>
      <c r="CA76" s="38">
        <f>VLOOKUP($C76,Segment!$P$460:$U$531,4,0)/1000</f>
        <v>0</v>
      </c>
      <c r="CB76" s="38">
        <f>VLOOKUP($C76,Segment!$AD$460:$AI$531,4,0)/1000</f>
        <v>0</v>
      </c>
      <c r="CC76" s="38">
        <f>VLOOKUP($C76,Segment!$AK$460:$AP$531,4,0)/1000</f>
        <v>0</v>
      </c>
      <c r="CE76" s="38"/>
      <c r="CF76" s="38">
        <f t="shared" si="229"/>
        <v>0</v>
      </c>
      <c r="CG76" s="38">
        <f t="shared" si="229"/>
        <v>0</v>
      </c>
      <c r="CH76" s="38">
        <f t="shared" si="229"/>
        <v>0</v>
      </c>
      <c r="CI76" s="38">
        <f t="shared" si="229"/>
        <v>0</v>
      </c>
      <c r="CJ76" s="38">
        <f t="shared" si="229"/>
        <v>0</v>
      </c>
      <c r="CK76" s="38">
        <f t="shared" si="229"/>
        <v>0</v>
      </c>
      <c r="CL76" s="38">
        <f t="shared" si="229"/>
        <v>0</v>
      </c>
      <c r="CM76" s="38">
        <f t="shared" si="229"/>
        <v>-520</v>
      </c>
      <c r="CN76" s="38">
        <f t="shared" si="229"/>
        <v>-100</v>
      </c>
      <c r="CO76" s="38">
        <f t="shared" si="229"/>
        <v>0</v>
      </c>
      <c r="CP76" s="38">
        <f t="shared" si="230"/>
        <v>0</v>
      </c>
      <c r="CQ76" s="38">
        <f t="shared" si="230"/>
        <v>-300</v>
      </c>
      <c r="CR76" s="38">
        <f t="shared" si="230"/>
        <v>0</v>
      </c>
      <c r="CS76" s="38">
        <f t="shared" si="230"/>
        <v>-200</v>
      </c>
      <c r="CT76" s="38">
        <f t="shared" si="230"/>
        <v>0</v>
      </c>
      <c r="CU76" s="38">
        <f t="shared" si="230"/>
        <v>0</v>
      </c>
      <c r="CV76" s="38">
        <f t="shared" si="230"/>
        <v>0</v>
      </c>
      <c r="CY76" s="38"/>
      <c r="CZ76" s="38">
        <f>VLOOKUP($C76,Segment!$AK$152:$AP$223,5,0)/1000</f>
        <v>0</v>
      </c>
      <c r="DA76" s="38">
        <f>VLOOKUP($C76,Segment!$I$229:$N$300,5,0)/1000</f>
        <v>0</v>
      </c>
      <c r="DB76" s="38">
        <f>VLOOKUP($C76,Segment!$P$229:$U$300,5,0)/1000</f>
        <v>0</v>
      </c>
      <c r="DC76" s="38">
        <f>VLOOKUP($C76,Segment!$AD$229:$AI$300,5,0)/1000</f>
        <v>0</v>
      </c>
      <c r="DD76" s="38">
        <f>VLOOKUP($C76,Segment!$AK$229:$AP$300,5,0)/1000</f>
        <v>0</v>
      </c>
      <c r="DE76" s="38">
        <f>VLOOKUP($C76,Segment!$I$306:$N$377,5,0)/1000</f>
        <v>0</v>
      </c>
      <c r="DF76" s="38">
        <f>VLOOKUP($C76,Segment!$P$306:$U$377,5,0)/1000</f>
        <v>0</v>
      </c>
      <c r="DG76" s="38">
        <f>VLOOKUP($C76,Segment!$AD$306:$AI$377,5,0)/1000</f>
        <v>0</v>
      </c>
      <c r="DH76" s="38">
        <f>VLOOKUP($C76,Segment!$AK$306:$AP$377,5,0)/1000</f>
        <v>0</v>
      </c>
      <c r="DI76" s="38">
        <f>VLOOKUP($C76,Segment!$I$383:$N$454,5,0)/1000</f>
        <v>0</v>
      </c>
      <c r="DJ76" s="38">
        <f>VLOOKUP($C76,Segment!$P$383:$U$454,5,0)/1000</f>
        <v>0</v>
      </c>
      <c r="DK76" s="38">
        <f>VLOOKUP($C76,Segment!$AD$383:$AI$454,5,0)/1000</f>
        <v>0</v>
      </c>
      <c r="DL76" s="38">
        <f>VLOOKUP($C76,Segment!$AK$383:$AP$454,5,0)/1000</f>
        <v>0</v>
      </c>
      <c r="DM76" s="38">
        <f>VLOOKUP($C76,Segment!$I$460:$N$531,5,0)/1000</f>
        <v>0</v>
      </c>
      <c r="DN76" s="38">
        <f>VLOOKUP($C76,Segment!$P$460:$U$531,5,0)/1000</f>
        <v>0</v>
      </c>
      <c r="DO76" s="38">
        <f>VLOOKUP($C76,Segment!$AD$460:$AI$531,5,0)/1000</f>
        <v>0</v>
      </c>
      <c r="DP76" s="38">
        <f>VLOOKUP($C76,Segment!$AK$460:$AP$531,5,0)/1000</f>
        <v>0</v>
      </c>
    </row>
    <row r="77" spans="3:120" x14ac:dyDescent="0.3">
      <c r="C77" s="36" t="s">
        <v>42</v>
      </c>
      <c r="D77" s="110">
        <v>40</v>
      </c>
      <c r="E77" s="42"/>
      <c r="F77" s="38">
        <f>VLOOKUP($C77,Segment!$AK$152:$AP$223,6,0)/1000</f>
        <v>0</v>
      </c>
      <c r="G77" s="38">
        <f>VLOOKUP($C77,Segment!$I$229:$N$300,6,0)/1000</f>
        <v>-1084.432</v>
      </c>
      <c r="H77" s="38">
        <f>VLOOKUP($C77,Segment!$P$229:$U$300,6,0)/1000</f>
        <v>-6146.2209099999991</v>
      </c>
      <c r="I77" s="38">
        <f>VLOOKUP($C77,Segment!$AD$229:$AI$300,6,0)/1000</f>
        <v>-10335.05665</v>
      </c>
      <c r="J77" s="38">
        <f>VLOOKUP($C77,Segment!$AK$229:$AP$300,6,0)/1000</f>
        <v>-5608.7994700000027</v>
      </c>
      <c r="K77" s="38">
        <f>VLOOKUP($C77,Segment!$I$306:$N$377,6,0)/1000</f>
        <v>-10237.25072</v>
      </c>
      <c r="L77" s="38">
        <f>VLOOKUP($C77,Segment!$P$306:$U$377,6,0)/1000</f>
        <v>-8519.2827200000011</v>
      </c>
      <c r="M77" s="38">
        <f>VLOOKUP($C77,Segment!$AD$306:$AI$377,6,0)/1000</f>
        <v>-12180.632540000002</v>
      </c>
      <c r="N77" s="203">
        <f>VLOOKUP($C77,Segment!$AK$306:$AP$377,6,0)/1000</f>
        <v>-11400.146709999994</v>
      </c>
      <c r="O77" s="203">
        <f>VLOOKUP($C77,Segment!$I$383:$N$454,6,0)/1000</f>
        <v>-11037.411050000001</v>
      </c>
      <c r="P77" s="203">
        <f>VLOOKUP($C77,Segment!$P$383:$U$454,6,0)/1000</f>
        <v>-14401.606940000003</v>
      </c>
      <c r="Q77" s="203">
        <f>VLOOKUP($C77,Segment!$AD$383:$AI$454,6,0)/1000</f>
        <v>-14816.069139999991</v>
      </c>
      <c r="R77" s="203">
        <f>VLOOKUP($C77,Segment!$AK$383:$AP$454,6,0)/1000</f>
        <v>-14089.736310000009</v>
      </c>
      <c r="S77" s="203">
        <f>VLOOKUP($C77,Segment!$I$460:$N$531,6,0)/1000</f>
        <v>-15572.818310000002</v>
      </c>
      <c r="T77" s="203">
        <f>VLOOKUP($C77,Segment!$P$460:$U$531,6,0)/1000</f>
        <v>-17510.381040000004</v>
      </c>
      <c r="U77" s="203">
        <f>VLOOKUP($C77,Segment!$AD$460:$AI$531,6,0)/1000</f>
        <v>-18060.837549999993</v>
      </c>
      <c r="V77" s="203">
        <f>VLOOKUP($C77,Segment!$AK$460:$AP$531,6,0)/1000</f>
        <v>-18523.977660000015</v>
      </c>
      <c r="W77" s="132">
        <f t="shared" si="215"/>
        <v>0.31471428935492995</v>
      </c>
      <c r="X77" s="132"/>
      <c r="Y77" s="38"/>
      <c r="Z77" s="38">
        <f>VLOOKUP($C77,Segment!$AK$152:$AP$223,2,0)/1000</f>
        <v>0</v>
      </c>
      <c r="AA77" s="38">
        <f>VLOOKUP($C77,Segment!$I$229:$N$300,2,0)/1000</f>
        <v>-586.17399999999998</v>
      </c>
      <c r="AB77" s="38">
        <f>VLOOKUP($C77,Segment!$P$229:$U$300,2,0)/1000</f>
        <v>-6170.8480299999992</v>
      </c>
      <c r="AC77" s="38">
        <f>VLOOKUP($C77,Segment!$AD$229:$AI$300,2,0)/1000</f>
        <v>-9920.2968199999996</v>
      </c>
      <c r="AD77" s="38">
        <f>VLOOKUP($C77,Segment!$AK$229:$AP$300,2,0)/1000</f>
        <v>-5222.0513200000023</v>
      </c>
      <c r="AE77" s="38">
        <f>VLOOKUP($C77,Segment!$I$306:$N$377,2,0)/1000</f>
        <v>-9816.1239300000016</v>
      </c>
      <c r="AF77" s="38">
        <f>VLOOKUP($C77,Segment!$P$306:$U$377,2,0)/1000</f>
        <v>-8586.4207200000001</v>
      </c>
      <c r="AG77" s="38">
        <f>VLOOKUP($C77,Segment!$AD$306:$AI$377,2,0)/1000</f>
        <v>-11661.559540000002</v>
      </c>
      <c r="AH77" s="38">
        <f>VLOOKUP($C77,Segment!$AK$306:$AP$377,2,0)/1000</f>
        <v>-11005.569709999994</v>
      </c>
      <c r="AI77" s="38">
        <f>VLOOKUP($C77,Segment!$I$383:$N$454,2,0)/1000</f>
        <v>-10659.49805</v>
      </c>
      <c r="AJ77" s="38">
        <f>VLOOKUP($C77,Segment!$P$383:$U$454,2,0)/1000</f>
        <v>-7157.602380000003</v>
      </c>
      <c r="AK77" s="38">
        <f>VLOOKUP($C77,Segment!$AD$383:$AI$454,2,0)/1000</f>
        <v>-9958.9820399999917</v>
      </c>
      <c r="AL77" s="38">
        <f>VLOOKUP($C77,Segment!$AK$383:$AP$454,2,0)/1000</f>
        <v>-9068.4271200000094</v>
      </c>
      <c r="AM77" s="38">
        <f>VLOOKUP($C77,Segment!$I$460:$N$531,2,0)/1000</f>
        <v>-10058.926210000001</v>
      </c>
      <c r="AN77" s="38">
        <f>VLOOKUP($C77,Segment!$P$460:$U$531,2,0)/1000</f>
        <v>-11954.344509999997</v>
      </c>
      <c r="AO77" s="38">
        <f>VLOOKUP($C77,Segment!$AD$460:$AI$531,2,0)/1000</f>
        <v>-12362.964699999995</v>
      </c>
      <c r="AP77" s="38">
        <f>VLOOKUP($C77,Segment!$AK$460:$AP$531,2,0)/1000</f>
        <v>-12842.131140000001</v>
      </c>
      <c r="AQ77" s="132">
        <f t="shared" si="228"/>
        <v>0.41613655489133916</v>
      </c>
      <c r="AS77" s="38"/>
      <c r="AT77" s="38">
        <f>VLOOKUP($C77,Segment!$AK$152:$AP$223,3,0)/1000</f>
        <v>0</v>
      </c>
      <c r="AU77" s="38">
        <f>VLOOKUP($C77,Segment!$I$229:$N$300,3,0)/1000</f>
        <v>-471.24700000000001</v>
      </c>
      <c r="AV77" s="38">
        <f>VLOOKUP($C77,Segment!$P$229:$U$300,3,0)/1000</f>
        <v>66.007000000000005</v>
      </c>
      <c r="AW77" s="38">
        <f>VLOOKUP($C77,Segment!$AD$229:$AI$300,3,0)/1000</f>
        <v>-374.25700000000001</v>
      </c>
      <c r="AX77" s="38">
        <f>VLOOKUP($C77,Segment!$AK$229:$AP$300,3,0)/1000</f>
        <v>-347.63299999999998</v>
      </c>
      <c r="AY77" s="38">
        <f>VLOOKUP($C77,Segment!$I$306:$N$377,3,0)/1000</f>
        <v>-383.52100000000002</v>
      </c>
      <c r="AZ77" s="38">
        <f>VLOOKUP($C77,Segment!$P$306:$U$377,3,0)/1000</f>
        <v>67.138000000000005</v>
      </c>
      <c r="BA77" s="38">
        <f>VLOOKUP($C77,Segment!$AD$306:$AI$377,3,0)/1000</f>
        <v>-519.07299999999998</v>
      </c>
      <c r="BB77" s="38">
        <f>VLOOKUP($C77,Segment!$AK$306:$AP$377,3,0)/1000</f>
        <v>-394.577</v>
      </c>
      <c r="BC77" s="38">
        <f>VLOOKUP($C77,Segment!$I$383:$N$454,3,0)/1000</f>
        <v>-377.91300000000001</v>
      </c>
      <c r="BD77" s="38">
        <f>VLOOKUP($C77,Segment!$P$383:$U$454,3,0)/1000</f>
        <v>-6113.50216</v>
      </c>
      <c r="BE77" s="38">
        <f>VLOOKUP($C77,Segment!$AD$383:$AI$454,3,0)/1000</f>
        <v>-4119.7831199999991</v>
      </c>
      <c r="BF77" s="38">
        <f>VLOOKUP($C77,Segment!$AK$383:$AP$454,3,0)/1000</f>
        <v>-4238.2509200000022</v>
      </c>
      <c r="BG77" s="38">
        <f>VLOOKUP($C77,Segment!$I$460:$N$531,3,0)/1000</f>
        <v>-4414.8024400000004</v>
      </c>
      <c r="BH77" s="38">
        <f>VLOOKUP($C77,Segment!$P$460:$U$531,3,0)/1000</f>
        <v>-4605.6594200000009</v>
      </c>
      <c r="BI77" s="38">
        <f>VLOOKUP($C77,Segment!$AD$460:$AI$531,3,0)/1000</f>
        <v>-4751.6403799999989</v>
      </c>
      <c r="BJ77" s="38">
        <f>VLOOKUP($C77,Segment!$AK$460:$AP$531,3,0)/1000</f>
        <v>-4753.6297999999988</v>
      </c>
      <c r="BL77" s="38"/>
      <c r="BM77" s="38">
        <f>VLOOKUP($C77,Segment!$AK$152:$AP$223,4,0)/1000</f>
        <v>0</v>
      </c>
      <c r="BN77" s="38">
        <f>VLOOKUP($C77,Segment!$I$229:$N$300,4,0)/1000</f>
        <v>-27.010999999999999</v>
      </c>
      <c r="BO77" s="38">
        <f>VLOOKUP($C77,Segment!$P$229:$U$300,4,0)/1000</f>
        <v>-41.379880000000007</v>
      </c>
      <c r="BP77" s="38">
        <f>VLOOKUP($C77,Segment!$AD$229:$AI$300,4,0)/1000</f>
        <v>-40.502830000000003</v>
      </c>
      <c r="BQ77" s="38">
        <f>VLOOKUP($C77,Segment!$AK$229:$AP$300,4,0)/1000</f>
        <v>-39.115149999999979</v>
      </c>
      <c r="BR77" s="38">
        <f>VLOOKUP($C77,Segment!$I$306:$N$377,4,0)/1000</f>
        <v>-37.605789999999999</v>
      </c>
      <c r="BS77" s="38">
        <f>VLOOKUP($C77,Segment!$P$306:$U$377,4,0)/1000</f>
        <v>0</v>
      </c>
      <c r="BT77" s="38">
        <f>VLOOKUP($C77,Segment!$AD$306:$AI$377,4,0)/1000</f>
        <v>0</v>
      </c>
      <c r="BU77" s="38">
        <f>VLOOKUP($C77,Segment!$AK$306:$AP$377,4,0)/1000</f>
        <v>0</v>
      </c>
      <c r="BV77" s="38">
        <f>VLOOKUP($C77,Segment!$I$383:$N$454,4,0)/1000</f>
        <v>0</v>
      </c>
      <c r="BW77" s="38">
        <f>VLOOKUP($C77,Segment!$P$383:$U$454,4,0)/1000</f>
        <v>-1130.5023999999999</v>
      </c>
      <c r="BX77" s="38">
        <f>VLOOKUP($C77,Segment!$AD$383:$AI$454,4,0)/1000</f>
        <v>-734.62297999999998</v>
      </c>
      <c r="BY77" s="38">
        <f>VLOOKUP($C77,Segment!$AK$383:$AP$454,4,0)/1000</f>
        <v>-759.74026000000026</v>
      </c>
      <c r="BZ77" s="38">
        <f>VLOOKUP($C77,Segment!$I$460:$N$531,4,0)/1000</f>
        <v>-795.60027000000002</v>
      </c>
      <c r="CA77" s="38">
        <f>VLOOKUP($C77,Segment!$P$460:$U$531,4,0)/1000</f>
        <v>-836.64743999999996</v>
      </c>
      <c r="CB77" s="38">
        <f>VLOOKUP($C77,Segment!$AD$460:$AI$531,4,0)/1000</f>
        <v>-851.27549000000022</v>
      </c>
      <c r="CC77" s="38">
        <f>VLOOKUP($C77,Segment!$AK$460:$AP$531,4,0)/1000</f>
        <v>-855.63982999999962</v>
      </c>
      <c r="CE77" s="38"/>
      <c r="CF77" s="38">
        <f t="shared" si="229"/>
        <v>0</v>
      </c>
      <c r="CG77" s="38">
        <f t="shared" si="229"/>
        <v>-498.25800000000004</v>
      </c>
      <c r="CH77" s="38">
        <f t="shared" si="229"/>
        <v>24.627119999999998</v>
      </c>
      <c r="CI77" s="38">
        <f t="shared" si="229"/>
        <v>-414.75983000000002</v>
      </c>
      <c r="CJ77" s="38">
        <f t="shared" si="229"/>
        <v>-386.74814999999995</v>
      </c>
      <c r="CK77" s="38">
        <f t="shared" si="229"/>
        <v>-421.12679000000003</v>
      </c>
      <c r="CL77" s="38">
        <f t="shared" si="229"/>
        <v>67.138000000000005</v>
      </c>
      <c r="CM77" s="38">
        <f t="shared" si="229"/>
        <v>-519.07299999999998</v>
      </c>
      <c r="CN77" s="38">
        <f t="shared" si="229"/>
        <v>-394.577</v>
      </c>
      <c r="CO77" s="38">
        <f t="shared" si="229"/>
        <v>-377.91300000000001</v>
      </c>
      <c r="CP77" s="38">
        <f t="shared" si="230"/>
        <v>-7244.0045599999994</v>
      </c>
      <c r="CQ77" s="38">
        <f t="shared" si="230"/>
        <v>-4854.4060999999992</v>
      </c>
      <c r="CR77" s="38">
        <f t="shared" si="230"/>
        <v>-4997.9911800000027</v>
      </c>
      <c r="CS77" s="38">
        <f t="shared" si="230"/>
        <v>-5210.4027100000003</v>
      </c>
      <c r="CT77" s="38">
        <f t="shared" si="230"/>
        <v>-5442.3068600000006</v>
      </c>
      <c r="CU77" s="38">
        <f t="shared" si="230"/>
        <v>-5602.9158699999989</v>
      </c>
      <c r="CV77" s="38">
        <f t="shared" si="230"/>
        <v>-5609.2696299999989</v>
      </c>
      <c r="CY77" s="38"/>
      <c r="CZ77" s="38">
        <f>VLOOKUP($C77,Segment!$AK$152:$AP$223,5,0)/1000</f>
        <v>0</v>
      </c>
      <c r="DA77" s="38">
        <f>VLOOKUP($C77,Segment!$I$229:$N$300,5,0)/1000</f>
        <v>0</v>
      </c>
      <c r="DB77" s="38">
        <f>VLOOKUP($C77,Segment!$P$229:$U$300,5,0)/1000</f>
        <v>0</v>
      </c>
      <c r="DC77" s="38">
        <f>VLOOKUP($C77,Segment!$AD$229:$AI$300,5,0)/1000</f>
        <v>0</v>
      </c>
      <c r="DD77" s="38">
        <f>VLOOKUP($C77,Segment!$AK$229:$AP$300,5,0)/1000</f>
        <v>0</v>
      </c>
      <c r="DE77" s="38">
        <f>VLOOKUP($C77,Segment!$I$306:$N$377,5,0)/1000</f>
        <v>0</v>
      </c>
      <c r="DF77" s="38">
        <f>VLOOKUP($C77,Segment!$P$306:$U$377,5,0)/1000</f>
        <v>0</v>
      </c>
      <c r="DG77" s="38">
        <f>VLOOKUP($C77,Segment!$AD$306:$AI$377,5,0)/1000</f>
        <v>0</v>
      </c>
      <c r="DH77" s="38">
        <f>VLOOKUP($C77,Segment!$AK$306:$AP$377,5,0)/1000</f>
        <v>0</v>
      </c>
      <c r="DI77" s="38">
        <f>VLOOKUP($C77,Segment!$I$383:$N$454,5,0)/1000</f>
        <v>0</v>
      </c>
      <c r="DJ77" s="38">
        <f>VLOOKUP($C77,Segment!$P$383:$U$454,5,0)/1000</f>
        <v>0</v>
      </c>
      <c r="DK77" s="38">
        <f>VLOOKUP($C77,Segment!$AD$383:$AI$454,5,0)/1000</f>
        <v>-2.681</v>
      </c>
      <c r="DL77" s="38">
        <f>VLOOKUP($C77,Segment!$AK$383:$AP$454,5,0)/1000</f>
        <v>-23.318009999999997</v>
      </c>
      <c r="DM77" s="38">
        <f>VLOOKUP($C77,Segment!$I$460:$N$531,5,0)/1000</f>
        <v>-303.48939000000001</v>
      </c>
      <c r="DN77" s="38">
        <f>VLOOKUP($C77,Segment!$P$460:$U$531,5,0)/1000</f>
        <v>-113.72966999999998</v>
      </c>
      <c r="DO77" s="38">
        <f>VLOOKUP($C77,Segment!$AD$460:$AI$531,5,0)/1000</f>
        <v>-94.956979999999987</v>
      </c>
      <c r="DP77" s="38">
        <f>VLOOKUP($C77,Segment!$AK$460:$AP$531,5,0)/1000</f>
        <v>-72.576890000000077</v>
      </c>
    </row>
    <row r="78" spans="3:120" x14ac:dyDescent="0.3">
      <c r="C78" s="36" t="s">
        <v>4</v>
      </c>
      <c r="E78" s="42"/>
      <c r="F78" s="38">
        <f>VLOOKUP($C78,Segment!$AK$152:$AP$223,6,0)/1000</f>
        <v>67.042000000000002</v>
      </c>
      <c r="G78" s="38">
        <f>VLOOKUP($C78,Segment!$I$229:$N$300,6,0)/1000</f>
        <v>56.716999999999999</v>
      </c>
      <c r="H78" s="38">
        <f>VLOOKUP($C78,Segment!$P$229:$U$300,6,0)/1000</f>
        <v>47.848999999999997</v>
      </c>
      <c r="I78" s="38">
        <f>VLOOKUP($C78,Segment!$AD$229:$AI$300,6,0)/1000</f>
        <v>20.209</v>
      </c>
      <c r="J78" s="38">
        <f>VLOOKUP($C78,Segment!$AK$229:$AP$300,6,0)/1000</f>
        <v>-42.596820000000001</v>
      </c>
      <c r="K78" s="38">
        <f>VLOOKUP($C78,Segment!$I$306:$N$377,6,0)/1000</f>
        <v>634.68299000000002</v>
      </c>
      <c r="L78" s="38">
        <f>VLOOKUP($C78,Segment!$P$306:$U$377,6,0)/1000</f>
        <v>-337.09100000000001</v>
      </c>
      <c r="M78" s="38">
        <f>VLOOKUP($C78,Segment!$AD$306:$AI$377,6,0)/1000</f>
        <v>-170.44200000000001</v>
      </c>
      <c r="N78" s="203">
        <f>VLOOKUP($C78,Segment!$AK$306:$AP$377,6,0)/1000</f>
        <v>630.36162000000002</v>
      </c>
      <c r="O78" s="203">
        <f>VLOOKUP($C78,Segment!$I$383:$N$454,6,0)/1000</f>
        <v>0</v>
      </c>
      <c r="P78" s="203">
        <f>VLOOKUP($C78,Segment!$P$383:$U$454,6,0)/1000</f>
        <v>0</v>
      </c>
      <c r="Q78" s="203">
        <f>VLOOKUP($C78,Segment!$AD$383:$AI$454,6,0)/1000</f>
        <v>-1E-3</v>
      </c>
      <c r="R78" s="203">
        <f>VLOOKUP($C78,Segment!$AK$383:$AP$454,6,0)/1000</f>
        <v>3.0000000000000001E-3</v>
      </c>
      <c r="S78" s="203">
        <f>VLOOKUP($C78,Segment!$I$460:$N$531,6,0)/1000</f>
        <v>343.39501000000001</v>
      </c>
      <c r="T78" s="203">
        <f>VLOOKUP($C78,Segment!$P$460:$U$531,6,0)/1000</f>
        <v>26.712739999999947</v>
      </c>
      <c r="U78" s="203">
        <f>VLOOKUP($C78,Segment!$AD$460:$AI$531,6,0)/1000</f>
        <v>245.91876000000008</v>
      </c>
      <c r="V78" s="203">
        <f>VLOOKUP($C78,Segment!$AK$460:$AP$531,6,0)/1000</f>
        <v>871.69708048264476</v>
      </c>
      <c r="X78" s="132"/>
      <c r="Y78" s="38"/>
      <c r="Z78" s="38">
        <f>VLOOKUP($C78,Segment!$AK$152:$AP$223,2,0)/1000</f>
        <v>0.52700000000000002</v>
      </c>
      <c r="AA78" s="38">
        <f>VLOOKUP($C78,Segment!$I$229:$N$300,2,0)/1000</f>
        <v>0</v>
      </c>
      <c r="AB78" s="38">
        <f>VLOOKUP($C78,Segment!$P$229:$U$300,2,0)/1000</f>
        <v>0</v>
      </c>
      <c r="AC78" s="38">
        <f>VLOOKUP($C78,Segment!$AD$229:$AI$300,2,0)/1000</f>
        <v>0</v>
      </c>
      <c r="AD78" s="38">
        <f>VLOOKUP($C78,Segment!$AK$229:$AP$300,2,0)/1000</f>
        <v>1.7999999999999998E-4</v>
      </c>
      <c r="AE78" s="38">
        <f>VLOOKUP($C78,Segment!$I$306:$N$377,2,0)/1000</f>
        <v>627.47599000000002</v>
      </c>
      <c r="AF78" s="38">
        <f>VLOOKUP($C78,Segment!$P$306:$U$377,2,0)/1000</f>
        <v>0</v>
      </c>
      <c r="AG78" s="38">
        <f>VLOOKUP($C78,Segment!$AD$306:$AI$377,2,0)/1000</f>
        <v>0</v>
      </c>
      <c r="AH78" s="38">
        <f>VLOOKUP($C78,Segment!$AK$306:$AP$377,2,0)/1000</f>
        <v>129.95962</v>
      </c>
      <c r="AI78" s="38">
        <f>VLOOKUP($C78,Segment!$I$383:$N$454,2,0)/1000</f>
        <v>0</v>
      </c>
      <c r="AJ78" s="38">
        <f>VLOOKUP($C78,Segment!$P$383:$U$454,2,0)/1000</f>
        <v>0</v>
      </c>
      <c r="AK78" s="38">
        <f>VLOOKUP($C78,Segment!$AD$383:$AI$454,2,0)/1000</f>
        <v>0</v>
      </c>
      <c r="AL78" s="38">
        <f>VLOOKUP($C78,Segment!$AK$383:$AP$454,2,0)/1000</f>
        <v>0</v>
      </c>
      <c r="AM78" s="38">
        <f>VLOOKUP($C78,Segment!$I$460:$N$531,2,0)/1000</f>
        <v>343.39501000000001</v>
      </c>
      <c r="AN78" s="38">
        <f>VLOOKUP($C78,Segment!$P$460:$U$531,2,0)/1000</f>
        <v>17.172129999999946</v>
      </c>
      <c r="AO78" s="38">
        <f>VLOOKUP($C78,Segment!$AD$460:$AI$531,2,0)/1000</f>
        <v>57.504750000000058</v>
      </c>
      <c r="AP78" s="38">
        <f>VLOOKUP($C78,Segment!$AK$460:$AP$531,2,0)/1000</f>
        <v>332.39100999999999</v>
      </c>
      <c r="AQ78" s="132" t="e">
        <f t="shared" si="228"/>
        <v>#DIV/0!</v>
      </c>
      <c r="AS78" s="38"/>
      <c r="AT78" s="38">
        <f>VLOOKUP($C78,Segment!$AK$152:$AP$223,3,0)/1000</f>
        <v>66.515000000000001</v>
      </c>
      <c r="AU78" s="38">
        <f>VLOOKUP($C78,Segment!$I$229:$N$300,3,0)/1000</f>
        <v>56.716999999999999</v>
      </c>
      <c r="AV78" s="38">
        <f>VLOOKUP($C78,Segment!$P$229:$U$300,3,0)/1000</f>
        <v>47.848999999999997</v>
      </c>
      <c r="AW78" s="38">
        <f>VLOOKUP($C78,Segment!$AD$229:$AI$300,3,0)/1000</f>
        <v>20.209</v>
      </c>
      <c r="AX78" s="38">
        <f>VLOOKUP($C78,Segment!$AK$229:$AP$300,3,0)/1000</f>
        <v>-42.597000000000001</v>
      </c>
      <c r="AY78" s="38">
        <f>VLOOKUP($C78,Segment!$I$306:$N$377,3,0)/1000</f>
        <v>7.2069999999999999</v>
      </c>
      <c r="AZ78" s="38">
        <f>VLOOKUP($C78,Segment!$P$306:$U$377,3,0)/1000</f>
        <v>-337.09100000000001</v>
      </c>
      <c r="BA78" s="38">
        <f>VLOOKUP($C78,Segment!$AD$306:$AI$377,3,0)/1000</f>
        <v>-170.44200000000001</v>
      </c>
      <c r="BB78" s="38">
        <f>VLOOKUP($C78,Segment!$AK$306:$AP$377,3,0)/1000</f>
        <v>500.40199999999999</v>
      </c>
      <c r="BC78" s="38">
        <f>VLOOKUP($C78,Segment!$I$383:$N$454,3,0)/1000</f>
        <v>0</v>
      </c>
      <c r="BD78" s="38">
        <f>VLOOKUP($C78,Segment!$P$383:$U$454,3,0)/1000</f>
        <v>0</v>
      </c>
      <c r="BE78" s="38">
        <f>VLOOKUP($C78,Segment!$AD$383:$AI$454,3,0)/1000</f>
        <v>-1E-3</v>
      </c>
      <c r="BF78" s="38">
        <f>VLOOKUP($C78,Segment!$AK$383:$AP$454,3,0)/1000</f>
        <v>3.0000000000000001E-3</v>
      </c>
      <c r="BG78" s="38">
        <f>VLOOKUP($C78,Segment!$I$460:$N$531,3,0)/1000</f>
        <v>0</v>
      </c>
      <c r="BH78" s="38">
        <f>VLOOKUP($C78,Segment!$P$460:$U$531,3,0)/1000</f>
        <v>-6.0000000000000001E-3</v>
      </c>
      <c r="BI78" s="38">
        <f>VLOOKUP($C78,Segment!$AD$460:$AI$531,3,0)/1000</f>
        <v>188.46899999999999</v>
      </c>
      <c r="BJ78" s="38">
        <f>VLOOKUP($C78,Segment!$AK$460:$AP$531,3,0)/1000</f>
        <v>-2391.2399999999998</v>
      </c>
      <c r="BL78" s="38"/>
      <c r="BM78" s="38">
        <f>VLOOKUP($C78,Segment!$AK$152:$AP$223,4,0)/1000</f>
        <v>0</v>
      </c>
      <c r="BN78" s="38">
        <f>VLOOKUP($C78,Segment!$I$229:$N$300,4,0)/1000</f>
        <v>0</v>
      </c>
      <c r="BO78" s="38">
        <f>VLOOKUP($C78,Segment!$P$229:$U$300,4,0)/1000</f>
        <v>0</v>
      </c>
      <c r="BP78" s="38">
        <f>VLOOKUP($C78,Segment!$AD$229:$AI$300,4,0)/1000</f>
        <v>0</v>
      </c>
      <c r="BQ78" s="38">
        <f>VLOOKUP($C78,Segment!$AK$229:$AP$300,4,0)/1000</f>
        <v>0</v>
      </c>
      <c r="BR78" s="38">
        <f>VLOOKUP($C78,Segment!$I$306:$N$377,4,0)/1000</f>
        <v>0</v>
      </c>
      <c r="BS78" s="38">
        <f>VLOOKUP($C78,Segment!$P$306:$U$377,4,0)/1000</f>
        <v>0</v>
      </c>
      <c r="BT78" s="38">
        <f>VLOOKUP($C78,Segment!$AD$306:$AI$377,4,0)/1000</f>
        <v>0</v>
      </c>
      <c r="BU78" s="38">
        <f>VLOOKUP($C78,Segment!$AK$306:$AP$377,4,0)/1000</f>
        <v>0</v>
      </c>
      <c r="BV78" s="38">
        <f>VLOOKUP($C78,Segment!$I$383:$N$454,4,0)/1000</f>
        <v>0</v>
      </c>
      <c r="BW78" s="38">
        <f>VLOOKUP($C78,Segment!$P$383:$U$454,4,0)/1000</f>
        <v>0</v>
      </c>
      <c r="BX78" s="38">
        <f>VLOOKUP($C78,Segment!$AD$383:$AI$454,4,0)/1000</f>
        <v>0</v>
      </c>
      <c r="BY78" s="38">
        <f>VLOOKUP($C78,Segment!$AK$383:$AP$454,4,0)/1000</f>
        <v>0</v>
      </c>
      <c r="BZ78" s="38">
        <f>VLOOKUP($C78,Segment!$I$460:$N$531,4,0)/1000</f>
        <v>0</v>
      </c>
      <c r="CA78" s="38">
        <f>VLOOKUP($C78,Segment!$P$460:$U$531,4,0)/1000</f>
        <v>0</v>
      </c>
      <c r="CB78" s="38">
        <f>VLOOKUP($C78,Segment!$AD$460:$AI$531,4,0)/1000</f>
        <v>0</v>
      </c>
      <c r="CC78" s="38">
        <f>VLOOKUP($C78,Segment!$AK$460:$AP$531,4,0)/1000</f>
        <v>2901.88168</v>
      </c>
      <c r="CE78" s="38"/>
      <c r="CF78" s="38">
        <f t="shared" si="229"/>
        <v>66.515000000000001</v>
      </c>
      <c r="CG78" s="38">
        <f t="shared" si="229"/>
        <v>56.716999999999999</v>
      </c>
      <c r="CH78" s="38">
        <f t="shared" si="229"/>
        <v>47.848999999999997</v>
      </c>
      <c r="CI78" s="38">
        <f t="shared" si="229"/>
        <v>20.209</v>
      </c>
      <c r="CJ78" s="38">
        <f t="shared" si="229"/>
        <v>-42.597000000000001</v>
      </c>
      <c r="CK78" s="38">
        <f t="shared" si="229"/>
        <v>7.2069999999999999</v>
      </c>
      <c r="CL78" s="38">
        <f t="shared" si="229"/>
        <v>-337.09100000000001</v>
      </c>
      <c r="CM78" s="38">
        <f t="shared" si="229"/>
        <v>-170.44200000000001</v>
      </c>
      <c r="CN78" s="38">
        <f t="shared" si="229"/>
        <v>500.40199999999999</v>
      </c>
      <c r="CO78" s="38">
        <f t="shared" si="229"/>
        <v>0</v>
      </c>
      <c r="CP78" s="38">
        <f t="shared" si="230"/>
        <v>0</v>
      </c>
      <c r="CQ78" s="38">
        <f t="shared" si="230"/>
        <v>-1E-3</v>
      </c>
      <c r="CR78" s="38">
        <f t="shared" si="230"/>
        <v>3.0000000000000001E-3</v>
      </c>
      <c r="CS78" s="38">
        <f t="shared" si="230"/>
        <v>0</v>
      </c>
      <c r="CT78" s="38">
        <f t="shared" si="230"/>
        <v>-6.0000000000000001E-3</v>
      </c>
      <c r="CU78" s="38">
        <f t="shared" si="230"/>
        <v>188.46899999999999</v>
      </c>
      <c r="CV78" s="38">
        <f t="shared" si="230"/>
        <v>510.64168000000018</v>
      </c>
      <c r="CY78" s="38"/>
      <c r="CZ78" s="38">
        <f>VLOOKUP($C78,Segment!$AK$152:$AP$223,5,0)/1000</f>
        <v>0</v>
      </c>
      <c r="DA78" s="38">
        <f>VLOOKUP($C78,Segment!$I$229:$N$300,5,0)/1000</f>
        <v>0</v>
      </c>
      <c r="DB78" s="38">
        <f>VLOOKUP($C78,Segment!$P$229:$U$300,5,0)/1000</f>
        <v>0</v>
      </c>
      <c r="DC78" s="38">
        <f>VLOOKUP($C78,Segment!$AD$229:$AI$300,5,0)/1000</f>
        <v>0</v>
      </c>
      <c r="DD78" s="38">
        <f>VLOOKUP($C78,Segment!$AK$229:$AP$300,5,0)/1000</f>
        <v>0</v>
      </c>
      <c r="DE78" s="38">
        <f>VLOOKUP($C78,Segment!$I$306:$N$377,5,0)/1000</f>
        <v>0</v>
      </c>
      <c r="DF78" s="38">
        <f>VLOOKUP($C78,Segment!$P$306:$U$377,5,0)/1000</f>
        <v>0</v>
      </c>
      <c r="DG78" s="38">
        <f>VLOOKUP($C78,Segment!$AD$306:$AI$377,5,0)/1000</f>
        <v>0</v>
      </c>
      <c r="DH78" s="38">
        <f>VLOOKUP($C78,Segment!$AK$306:$AP$377,5,0)/1000</f>
        <v>0</v>
      </c>
      <c r="DI78" s="38">
        <f>VLOOKUP($C78,Segment!$I$383:$N$454,5,0)/1000</f>
        <v>0</v>
      </c>
      <c r="DJ78" s="38">
        <f>VLOOKUP($C78,Segment!$P$383:$U$454,5,0)/1000</f>
        <v>0</v>
      </c>
      <c r="DK78" s="38">
        <f>VLOOKUP($C78,Segment!$AD$383:$AI$454,5,0)/1000</f>
        <v>0</v>
      </c>
      <c r="DL78" s="38">
        <f>VLOOKUP($C78,Segment!$AK$383:$AP$454,5,0)/1000</f>
        <v>0</v>
      </c>
      <c r="DM78" s="38">
        <f>VLOOKUP($C78,Segment!$I$460:$N$531,5,0)/1000</f>
        <v>0</v>
      </c>
      <c r="DN78" s="38">
        <f>VLOOKUP($C78,Segment!$P$460:$U$531,5,0)/1000</f>
        <v>9.5466100000000012</v>
      </c>
      <c r="DO78" s="38">
        <f>VLOOKUP($C78,Segment!$AD$460:$AI$531,5,0)/1000</f>
        <v>-5.4989999999999782E-2</v>
      </c>
      <c r="DP78" s="38">
        <f>VLOOKUP($C78,Segment!$AK$460:$AP$531,5,0)/1000</f>
        <v>28.664390482644603</v>
      </c>
    </row>
    <row r="79" spans="3:120" x14ac:dyDescent="0.3">
      <c r="C79" s="36" t="s">
        <v>5</v>
      </c>
      <c r="E79" s="42"/>
      <c r="F79" s="38">
        <f>VLOOKUP($C79,Segment!$AK$152:$AP$223,6,0)/1000</f>
        <v>-175</v>
      </c>
      <c r="G79" s="38">
        <f>VLOOKUP($C79,Segment!$I$229:$N$300,6,0)/1000</f>
        <v>-319</v>
      </c>
      <c r="H79" s="38">
        <f>VLOOKUP($C79,Segment!$P$229:$U$300,6,0)/1000</f>
        <v>-206</v>
      </c>
      <c r="I79" s="38">
        <f>VLOOKUP($C79,Segment!$AD$229:$AI$300,6,0)/1000</f>
        <v>-164</v>
      </c>
      <c r="J79" s="38">
        <f>VLOOKUP($C79,Segment!$AK$229:$AP$300,6,0)/1000</f>
        <v>-275</v>
      </c>
      <c r="K79" s="38">
        <f>VLOOKUP($C79,Segment!$I$306:$N$377,6,0)/1000</f>
        <v>-317</v>
      </c>
      <c r="L79" s="38">
        <f>VLOOKUP($C79,Segment!$P$306:$U$377,6,0)/1000</f>
        <v>-251</v>
      </c>
      <c r="M79" s="38">
        <f>VLOOKUP($C79,Segment!$AD$306:$AI$377,6,0)/1000</f>
        <v>-507</v>
      </c>
      <c r="N79" s="203">
        <f>VLOOKUP($C79,Segment!$AK$306:$AP$377,6,0)/1000</f>
        <v>-268</v>
      </c>
      <c r="O79" s="203">
        <f>VLOOKUP($C79,Segment!$I$383:$N$454,6,0)/1000</f>
        <v>-370</v>
      </c>
      <c r="P79" s="203">
        <f>VLOOKUP($C79,Segment!$P$383:$U$454,6,0)/1000</f>
        <v>-696</v>
      </c>
      <c r="Q79" s="203">
        <f>VLOOKUP($C79,Segment!$AD$383:$AI$454,6,0)/1000</f>
        <v>-377</v>
      </c>
      <c r="R79" s="203">
        <f>VLOOKUP($C79,Segment!$AK$383:$AP$454,6,0)/1000</f>
        <v>-371</v>
      </c>
      <c r="S79" s="203">
        <f>VLOOKUP($C79,Segment!$I$460:$N$531,6,0)/1000</f>
        <v>-463</v>
      </c>
      <c r="T79" s="203">
        <f>VLOOKUP($C79,Segment!$P$460:$U$531,6,0)/1000</f>
        <v>-895</v>
      </c>
      <c r="U79" s="203">
        <f>VLOOKUP($C79,Segment!$AD$460:$AI$531,6,0)/1000</f>
        <v>-1145</v>
      </c>
      <c r="V79" s="203">
        <f>VLOOKUP($C79,Segment!$AK$460:$AP$531,6,0)/1000</f>
        <v>-1290</v>
      </c>
      <c r="W79" s="132">
        <f t="shared" si="215"/>
        <v>2.477088948787062</v>
      </c>
      <c r="X79" s="132"/>
      <c r="Y79" s="38"/>
      <c r="Z79" s="38">
        <f>VLOOKUP($C79,Segment!$AK$152:$AP$223,2,0)/1000</f>
        <v>-175</v>
      </c>
      <c r="AA79" s="38">
        <f>VLOOKUP($C79,Segment!$I$229:$N$300,2,0)/1000</f>
        <v>-319</v>
      </c>
      <c r="AB79" s="38">
        <f>VLOOKUP($C79,Segment!$P$229:$U$300,2,0)/1000</f>
        <v>-206</v>
      </c>
      <c r="AC79" s="38">
        <f>VLOOKUP($C79,Segment!$AD$229:$AI$300,2,0)/1000</f>
        <v>-164</v>
      </c>
      <c r="AD79" s="38">
        <f>VLOOKUP($C79,Segment!$AK$229:$AP$300,2,0)/1000</f>
        <v>-275</v>
      </c>
      <c r="AE79" s="38">
        <f>VLOOKUP($C79,Segment!$I$306:$N$377,2,0)/1000</f>
        <v>-317</v>
      </c>
      <c r="AF79" s="38">
        <f>VLOOKUP($C79,Segment!$P$306:$U$377,2,0)/1000</f>
        <v>-251</v>
      </c>
      <c r="AG79" s="38">
        <f>VLOOKUP($C79,Segment!$AD$306:$AI$377,2,0)/1000</f>
        <v>-507</v>
      </c>
      <c r="AH79" s="38">
        <f>VLOOKUP($C79,Segment!$AK$306:$AP$377,2,0)/1000</f>
        <v>-268</v>
      </c>
      <c r="AI79" s="38">
        <f>VLOOKUP($C79,Segment!$I$383:$N$454,2,0)/1000</f>
        <v>-370</v>
      </c>
      <c r="AJ79" s="38">
        <f>VLOOKUP($C79,Segment!$P$383:$U$454,2,0)/1000</f>
        <v>-696</v>
      </c>
      <c r="AK79" s="38">
        <f>VLOOKUP($C79,Segment!$AD$383:$AI$454,2,0)/1000</f>
        <v>-377</v>
      </c>
      <c r="AL79" s="38">
        <f>VLOOKUP($C79,Segment!$AK$383:$AP$454,2,0)/1000</f>
        <v>-371</v>
      </c>
      <c r="AM79" s="38">
        <f>VLOOKUP($C79,Segment!$I$460:$N$531,2,0)/1000</f>
        <v>-463</v>
      </c>
      <c r="AN79" s="38">
        <f>VLOOKUP($C79,Segment!$P$460:$U$531,2,0)/1000</f>
        <v>-895</v>
      </c>
      <c r="AO79" s="38">
        <f>VLOOKUP($C79,Segment!$AD$460:$AI$531,2,0)/1000</f>
        <v>-1145</v>
      </c>
      <c r="AP79" s="38">
        <f>VLOOKUP($C79,Segment!$AK$460:$AP$531,2,0)/1000</f>
        <v>-1290</v>
      </c>
      <c r="AQ79" s="132">
        <f t="shared" si="228"/>
        <v>2.477088948787062</v>
      </c>
      <c r="AS79" s="38"/>
      <c r="AT79" s="38">
        <f>VLOOKUP($C79,Segment!$AK$152:$AP$223,3,0)/1000</f>
        <v>0</v>
      </c>
      <c r="AU79" s="38">
        <f>VLOOKUP($C79,Segment!$I$229:$N$300,3,0)/1000</f>
        <v>0</v>
      </c>
      <c r="AV79" s="38">
        <f>VLOOKUP($C79,Segment!$P$229:$U$300,3,0)/1000</f>
        <v>0</v>
      </c>
      <c r="AW79" s="38">
        <f>VLOOKUP($C79,Segment!$AD$229:$AI$300,3,0)/1000</f>
        <v>0</v>
      </c>
      <c r="AX79" s="38">
        <f>VLOOKUP($C79,Segment!$AK$229:$AP$300,3,0)/1000</f>
        <v>0</v>
      </c>
      <c r="AY79" s="38">
        <f>VLOOKUP($C79,Segment!$I$306:$N$377,3,0)/1000</f>
        <v>0</v>
      </c>
      <c r="AZ79" s="38">
        <f>VLOOKUP($C79,Segment!$P$306:$U$377,3,0)/1000</f>
        <v>0</v>
      </c>
      <c r="BA79" s="38">
        <f>VLOOKUP($C79,Segment!$AD$306:$AI$377,3,0)/1000</f>
        <v>0</v>
      </c>
      <c r="BB79" s="38">
        <f>VLOOKUP($C79,Segment!$AK$306:$AP$377,3,0)/1000</f>
        <v>0</v>
      </c>
      <c r="BC79" s="38">
        <f>VLOOKUP($C79,Segment!$I$383:$N$454,3,0)/1000</f>
        <v>0</v>
      </c>
      <c r="BD79" s="38">
        <f>VLOOKUP($C79,Segment!$P$383:$U$454,3,0)/1000</f>
        <v>0</v>
      </c>
      <c r="BE79" s="38">
        <f>VLOOKUP($C79,Segment!$AD$383:$AI$454,3,0)/1000</f>
        <v>0</v>
      </c>
      <c r="BF79" s="38">
        <f>VLOOKUP($C79,Segment!$AK$383:$AP$454,3,0)/1000</f>
        <v>0</v>
      </c>
      <c r="BG79" s="38">
        <f>VLOOKUP($C79,Segment!$I$460:$N$531,3,0)/1000</f>
        <v>0</v>
      </c>
      <c r="BH79" s="38">
        <f>VLOOKUP($C79,Segment!$P$460:$U$531,3,0)/1000</f>
        <v>0</v>
      </c>
      <c r="BI79" s="38">
        <f>VLOOKUP($C79,Segment!$AD$460:$AI$531,3,0)/1000</f>
        <v>0</v>
      </c>
      <c r="BJ79" s="38">
        <f>VLOOKUP($C79,Segment!$AK$460:$AP$531,3,0)/1000</f>
        <v>0</v>
      </c>
      <c r="BL79" s="38"/>
      <c r="BM79" s="38">
        <f>VLOOKUP($C79,Segment!$AK$152:$AP$223,4,0)/1000</f>
        <v>0</v>
      </c>
      <c r="BN79" s="38">
        <f>VLOOKUP($C79,Segment!$I$229:$N$300,4,0)/1000</f>
        <v>0</v>
      </c>
      <c r="BO79" s="38">
        <f>VLOOKUP($C79,Segment!$P$229:$U$300,4,0)/1000</f>
        <v>0</v>
      </c>
      <c r="BP79" s="38">
        <f>VLOOKUP($C79,Segment!$AD$229:$AI$300,4,0)/1000</f>
        <v>0</v>
      </c>
      <c r="BQ79" s="38">
        <f>VLOOKUP($C79,Segment!$AK$229:$AP$300,4,0)/1000</f>
        <v>0</v>
      </c>
      <c r="BR79" s="38">
        <f>VLOOKUP($C79,Segment!$I$306:$N$377,4,0)/1000</f>
        <v>0</v>
      </c>
      <c r="BS79" s="38">
        <f>VLOOKUP($C79,Segment!$P$306:$U$377,4,0)/1000</f>
        <v>0</v>
      </c>
      <c r="BT79" s="38">
        <f>VLOOKUP($C79,Segment!$AD$306:$AI$377,4,0)/1000</f>
        <v>0</v>
      </c>
      <c r="BU79" s="38">
        <f>VLOOKUP($C79,Segment!$AK$306:$AP$377,4,0)/1000</f>
        <v>0</v>
      </c>
      <c r="BV79" s="38">
        <f>VLOOKUP($C79,Segment!$I$383:$N$454,4,0)/1000</f>
        <v>0</v>
      </c>
      <c r="BW79" s="38">
        <f>VLOOKUP($C79,Segment!$P$383:$U$454,4,0)/1000</f>
        <v>0</v>
      </c>
      <c r="BX79" s="38">
        <f>VLOOKUP($C79,Segment!$AD$383:$AI$454,4,0)/1000</f>
        <v>0</v>
      </c>
      <c r="BY79" s="38">
        <f>VLOOKUP($C79,Segment!$AK$383:$AP$454,4,0)/1000</f>
        <v>0</v>
      </c>
      <c r="BZ79" s="38">
        <f>VLOOKUP($C79,Segment!$I$460:$N$531,4,0)/1000</f>
        <v>0</v>
      </c>
      <c r="CA79" s="38">
        <f>VLOOKUP($C79,Segment!$P$460:$U$531,4,0)/1000</f>
        <v>0</v>
      </c>
      <c r="CB79" s="38">
        <f>VLOOKUP($C79,Segment!$AD$460:$AI$531,4,0)/1000</f>
        <v>0</v>
      </c>
      <c r="CC79" s="38">
        <f>VLOOKUP($C79,Segment!$AK$460:$AP$531,4,0)/1000</f>
        <v>0</v>
      </c>
      <c r="CE79" s="38"/>
      <c r="CF79" s="38">
        <f t="shared" si="229"/>
        <v>0</v>
      </c>
      <c r="CG79" s="38">
        <f t="shared" si="229"/>
        <v>0</v>
      </c>
      <c r="CH79" s="38">
        <f t="shared" si="229"/>
        <v>0</v>
      </c>
      <c r="CI79" s="38">
        <f t="shared" si="229"/>
        <v>0</v>
      </c>
      <c r="CJ79" s="38">
        <f t="shared" si="229"/>
        <v>0</v>
      </c>
      <c r="CK79" s="38">
        <f t="shared" si="229"/>
        <v>0</v>
      </c>
      <c r="CL79" s="38">
        <f t="shared" si="229"/>
        <v>0</v>
      </c>
      <c r="CM79" s="38">
        <f t="shared" si="229"/>
        <v>0</v>
      </c>
      <c r="CN79" s="38">
        <f t="shared" si="229"/>
        <v>0</v>
      </c>
      <c r="CO79" s="38">
        <f t="shared" si="229"/>
        <v>0</v>
      </c>
      <c r="CP79" s="38">
        <f t="shared" si="230"/>
        <v>0</v>
      </c>
      <c r="CQ79" s="38">
        <f t="shared" si="230"/>
        <v>0</v>
      </c>
      <c r="CR79" s="38">
        <f t="shared" si="230"/>
        <v>0</v>
      </c>
      <c r="CS79" s="38">
        <f t="shared" si="230"/>
        <v>0</v>
      </c>
      <c r="CT79" s="38">
        <f t="shared" si="230"/>
        <v>0</v>
      </c>
      <c r="CU79" s="38">
        <f t="shared" si="230"/>
        <v>0</v>
      </c>
      <c r="CV79" s="38">
        <f t="shared" si="230"/>
        <v>0</v>
      </c>
      <c r="CY79" s="38"/>
      <c r="CZ79" s="38">
        <f>VLOOKUP($C79,Segment!$AK$152:$AP$223,5,0)/1000</f>
        <v>0</v>
      </c>
      <c r="DA79" s="38">
        <f>VLOOKUP($C79,Segment!$I$229:$N$300,5,0)/1000</f>
        <v>0</v>
      </c>
      <c r="DB79" s="38">
        <f>VLOOKUP($C79,Segment!$P$229:$U$300,5,0)/1000</f>
        <v>0</v>
      </c>
      <c r="DC79" s="38">
        <f>VLOOKUP($C79,Segment!$AD$229:$AI$300,5,0)/1000</f>
        <v>0</v>
      </c>
      <c r="DD79" s="38">
        <f>VLOOKUP($C79,Segment!$AK$229:$AP$300,5,0)/1000</f>
        <v>0</v>
      </c>
      <c r="DE79" s="38">
        <f>VLOOKUP($C79,Segment!$I$306:$N$377,5,0)/1000</f>
        <v>0</v>
      </c>
      <c r="DF79" s="38">
        <f>VLOOKUP($C79,Segment!$P$306:$U$377,5,0)/1000</f>
        <v>0</v>
      </c>
      <c r="DG79" s="38">
        <f>VLOOKUP($C79,Segment!$AD$306:$AI$377,5,0)/1000</f>
        <v>0</v>
      </c>
      <c r="DH79" s="38">
        <f>VLOOKUP($C79,Segment!$AK$306:$AP$377,5,0)/1000</f>
        <v>0</v>
      </c>
      <c r="DI79" s="38">
        <f>VLOOKUP($C79,Segment!$I$383:$N$454,5,0)/1000</f>
        <v>0</v>
      </c>
      <c r="DJ79" s="38">
        <f>VLOOKUP($C79,Segment!$P$383:$U$454,5,0)/1000</f>
        <v>0</v>
      </c>
      <c r="DK79" s="38">
        <f>VLOOKUP($C79,Segment!$AD$383:$AI$454,5,0)/1000</f>
        <v>0</v>
      </c>
      <c r="DL79" s="38">
        <f>VLOOKUP($C79,Segment!$AK$383:$AP$454,5,0)/1000</f>
        <v>0</v>
      </c>
      <c r="DM79" s="38">
        <f>VLOOKUP($C79,Segment!$I$460:$N$531,5,0)/1000</f>
        <v>0</v>
      </c>
      <c r="DN79" s="38">
        <f>VLOOKUP($C79,Segment!$P$460:$U$531,5,0)/1000</f>
        <v>0</v>
      </c>
      <c r="DO79" s="38">
        <f>VLOOKUP($C79,Segment!$AD$460:$AI$531,5,0)/1000</f>
        <v>0</v>
      </c>
      <c r="DP79" s="38">
        <f>VLOOKUP($C79,Segment!$AK$460:$AP$531,5,0)/1000</f>
        <v>0</v>
      </c>
    </row>
    <row r="80" spans="3:120" x14ac:dyDescent="0.3">
      <c r="C80" s="36" t="s">
        <v>182</v>
      </c>
      <c r="D80" s="110">
        <v>22</v>
      </c>
      <c r="E80" s="42"/>
      <c r="F80" s="38">
        <f>VLOOKUP($C80,Segment!$AK$152:$AP$223,6,0)/1000</f>
        <v>20963.257410314298</v>
      </c>
      <c r="G80" s="38">
        <f>VLOOKUP($C80,Segment!$I$229:$N$300,6,0)/1000</f>
        <v>-4077.1950000000002</v>
      </c>
      <c r="H80" s="38">
        <f>VLOOKUP($C80,Segment!$P$229:$U$300,6,0)/1000</f>
        <v>1467.4000300000007</v>
      </c>
      <c r="I80" s="38">
        <f>VLOOKUP($C80,Segment!$AD$229:$AI$300,6,0)/1000</f>
        <v>-7984.4992864880996</v>
      </c>
      <c r="J80" s="38">
        <f>VLOOKUP($C80,Segment!$AK$229:$AP$300,6,0)/1000</f>
        <v>-759.40956351190118</v>
      </c>
      <c r="K80" s="38">
        <f>VLOOKUP($C80,Segment!$I$306:$N$377,6,0)/1000</f>
        <v>-13407.116358587</v>
      </c>
      <c r="L80" s="38">
        <f>VLOOKUP($C80,Segment!$P$306:$U$377,6,0)/1000</f>
        <v>-13269.114693521198</v>
      </c>
      <c r="M80" s="38">
        <f>VLOOKUP($C80,Segment!$AD$306:$AI$377,6,0)/1000</f>
        <v>-28655.271060740404</v>
      </c>
      <c r="N80" s="38">
        <f>VLOOKUP($C80,Segment!$AK$306:$AP$377,6,0)/1000</f>
        <v>-52009.791459195774</v>
      </c>
      <c r="O80" s="203">
        <f>VLOOKUP($C80,Segment!$I$383:$N$454,6,0)/1000</f>
        <v>-79650.763228381518</v>
      </c>
      <c r="P80" s="203">
        <f>VLOOKUP($C80,Segment!$P$383:$U$454,6,0)/1000</f>
        <v>-49328.227828022165</v>
      </c>
      <c r="Q80" s="203">
        <f>VLOOKUP($C80,Segment!$AD$383:$AI$454,6,0)/1000</f>
        <v>-60282.663773575783</v>
      </c>
      <c r="R80" s="203">
        <f>VLOOKUP($C80,Segment!$AK$383:$AP$454,6,0)/1000</f>
        <v>-25861.614291967155</v>
      </c>
      <c r="S80" s="203">
        <f>VLOOKUP($C80,Segment!$I$460:$N$531,6,0)/1000</f>
        <v>-42955.058603729893</v>
      </c>
      <c r="T80" s="203">
        <f>VLOOKUP($C80,Segment!$P$460:$U$531,6,0)/1000</f>
        <v>-23680.631340586206</v>
      </c>
      <c r="U80" s="203">
        <f>VLOOKUP($C80,Segment!$AD$460:$AI$531,6,0)/1000</f>
        <v>-14644.751280054486</v>
      </c>
      <c r="V80" s="203">
        <f>VLOOKUP($C80,Segment!$AK$460:$AP$531,6,0)/1000</f>
        <v>-31999.103048228131</v>
      </c>
      <c r="W80" s="132">
        <f t="shared" si="215"/>
        <v>0.2373204041701038</v>
      </c>
      <c r="X80" s="132"/>
      <c r="Y80" s="38"/>
      <c r="Z80" s="38">
        <f>VLOOKUP($C80,Segment!$AK$152:$AP$223,2,0)/1000</f>
        <v>17879.047509999997</v>
      </c>
      <c r="AA80" s="38">
        <f>VLOOKUP($C80,Segment!$I$229:$N$300,2,0)/1000</f>
        <v>927.20600000000002</v>
      </c>
      <c r="AB80" s="38">
        <f>VLOOKUP($C80,Segment!$P$229:$U$300,2,0)/1000</f>
        <v>321.44179000000048</v>
      </c>
      <c r="AC80" s="38">
        <f>VLOOKUP($C80,Segment!$AD$229:$AI$300,2,0)/1000</f>
        <v>-9419.4204900000004</v>
      </c>
      <c r="AD80" s="38">
        <f>VLOOKUP($C80,Segment!$AK$229:$AP$300,2,0)/1000</f>
        <v>2160.9784599999994</v>
      </c>
      <c r="AE80" s="38">
        <f>VLOOKUP($C80,Segment!$I$306:$N$377,2,0)/1000</f>
        <v>-14127.29797</v>
      </c>
      <c r="AF80" s="38">
        <f>VLOOKUP($C80,Segment!$P$306:$U$377,2,0)/1000</f>
        <v>-12008.204139999996</v>
      </c>
      <c r="AG80" s="38">
        <f>VLOOKUP($C80,Segment!$AD$306:$AI$377,2,0)/1000</f>
        <v>-28992.583449999998</v>
      </c>
      <c r="AH80" s="38">
        <f>VLOOKUP($C80,Segment!$AK$306:$AP$377,2,0)/1000</f>
        <v>-51643.104479999973</v>
      </c>
      <c r="AI80" s="38">
        <f>VLOOKUP($C80,Segment!$I$383:$N$454,2,0)/1000</f>
        <v>-76769.622410000011</v>
      </c>
      <c r="AJ80" s="38">
        <f>VLOOKUP($C80,Segment!$P$383:$U$454,2,0)/1000</f>
        <v>-47019.690219999968</v>
      </c>
      <c r="AK80" s="38">
        <f>VLOOKUP($C80,Segment!$AD$383:$AI$454,2,0)/1000</f>
        <v>-54364.720930000083</v>
      </c>
      <c r="AL80" s="38">
        <f>VLOOKUP($C80,Segment!$AK$383:$AP$454,2,0)/1000</f>
        <v>-29189.272229999857</v>
      </c>
      <c r="AM80" s="38">
        <f>VLOOKUP($C80,Segment!$I$460:$N$531,2,0)/1000</f>
        <v>-41602.798909999998</v>
      </c>
      <c r="AN80" s="38">
        <f>VLOOKUP($C80,Segment!$P$460:$U$531,2,0)/1000</f>
        <v>-25501.418230000003</v>
      </c>
      <c r="AO80" s="38">
        <f>VLOOKUP($C80,Segment!$AD$460:$AI$531,2,0)/1000</f>
        <v>-16261.414059999988</v>
      </c>
      <c r="AP80" s="38">
        <f>VLOOKUP($C80,Segment!$AK$460:$AP$531,2,0)/1000</f>
        <v>-37090.444390000033</v>
      </c>
      <c r="AQ80" s="132">
        <f t="shared" si="228"/>
        <v>0.27068753539800805</v>
      </c>
      <c r="AS80" s="38"/>
      <c r="AT80" s="38">
        <f>VLOOKUP($C80,Segment!$AK$152:$AP$223,3,0)/1000</f>
        <v>529.80990031429997</v>
      </c>
      <c r="AU80" s="38">
        <f>VLOOKUP($C80,Segment!$I$229:$N$300,3,0)/1000</f>
        <v>-2726.1930000000002</v>
      </c>
      <c r="AV80" s="38">
        <f>VLOOKUP($C80,Segment!$P$229:$U$300,3,0)/1000</f>
        <v>474.57900000000001</v>
      </c>
      <c r="AW80" s="38">
        <f>VLOOKUP($C80,Segment!$AD$229:$AI$300,3,0)/1000</f>
        <v>1890.5242035118999</v>
      </c>
      <c r="AX80" s="38">
        <f>VLOOKUP($C80,Segment!$AK$229:$AP$300,3,0)/1000</f>
        <v>-2186.0072035119001</v>
      </c>
      <c r="AY80" s="38">
        <f>VLOOKUP($C80,Segment!$I$306:$N$377,3,0)/1000</f>
        <v>371.07499141299996</v>
      </c>
      <c r="AZ80" s="38">
        <f>VLOOKUP($C80,Segment!$P$306:$U$377,3,0)/1000</f>
        <v>-1015.4278935212</v>
      </c>
      <c r="BA80" s="38">
        <f>VLOOKUP($C80,Segment!$AD$306:$AI$377,3,0)/1000</f>
        <v>150.55574925960008</v>
      </c>
      <c r="BB80" s="38">
        <f>VLOOKUP($C80,Segment!$AK$306:$AP$377,3,0)/1000</f>
        <v>-801.72002919579984</v>
      </c>
      <c r="BC80" s="38">
        <f>VLOOKUP($C80,Segment!$I$383:$N$454,3,0)/1000</f>
        <v>-2993.6902103815</v>
      </c>
      <c r="BD80" s="38">
        <f>VLOOKUP($C80,Segment!$P$383:$U$454,3,0)/1000</f>
        <v>-2293.8410910221996</v>
      </c>
      <c r="BE80" s="38">
        <f>VLOOKUP($C80,Segment!$AD$383:$AI$454,3,0)/1000</f>
        <v>-6434.5039235757013</v>
      </c>
      <c r="BF80" s="38">
        <f>VLOOKUP($C80,Segment!$AK$383:$AP$454,3,0)/1000</f>
        <v>5937.4450180327003</v>
      </c>
      <c r="BG80" s="38">
        <f>VLOOKUP($C80,Segment!$I$460:$N$531,3,0)/1000</f>
        <v>-2389.9393237299</v>
      </c>
      <c r="BH80" s="38">
        <f>VLOOKUP($C80,Segment!$P$460:$U$531,3,0)/1000</f>
        <v>2717.0721494138002</v>
      </c>
      <c r="BI80" s="38">
        <f>VLOOKUP($C80,Segment!$AD$460:$AI$531,3,0)/1000</f>
        <v>-163.45803005450009</v>
      </c>
      <c r="BJ80" s="38">
        <f>VLOOKUP($C80,Segment!$AK$460:$AP$531,3,0)/1000</f>
        <v>3582.1910317719003</v>
      </c>
      <c r="BL80" s="38"/>
      <c r="BM80" s="38">
        <f>VLOOKUP($C80,Segment!$AK$152:$AP$223,4,0)/1000</f>
        <v>2554.4</v>
      </c>
      <c r="BN80" s="38">
        <f>VLOOKUP($C80,Segment!$I$229:$N$300,4,0)/1000</f>
        <v>-2278.2080000000001</v>
      </c>
      <c r="BO80" s="38">
        <f>VLOOKUP($C80,Segment!$P$229:$U$300,4,0)/1000</f>
        <v>671.37924000000021</v>
      </c>
      <c r="BP80" s="38">
        <f>VLOOKUP($C80,Segment!$AD$229:$AI$300,4,0)/1000</f>
        <v>-455.60300000000001</v>
      </c>
      <c r="BQ80" s="38">
        <f>VLOOKUP($C80,Segment!$AK$229:$AP$300,4,0)/1000</f>
        <v>-733.73215000000039</v>
      </c>
      <c r="BR80" s="38">
        <f>VLOOKUP($C80,Segment!$I$306:$N$377,4,0)/1000</f>
        <v>378.37317999999999</v>
      </c>
      <c r="BS80" s="38">
        <f>VLOOKUP($C80,Segment!$P$306:$U$377,4,0)/1000</f>
        <v>-243.44994999999997</v>
      </c>
      <c r="BT80" s="38">
        <f>VLOOKUP($C80,Segment!$AD$306:$AI$377,4,0)/1000</f>
        <v>197.10357999999994</v>
      </c>
      <c r="BU80" s="38">
        <f>VLOOKUP($C80,Segment!$AK$306:$AP$377,4,0)/1000</f>
        <v>428.10668000000004</v>
      </c>
      <c r="BV80" s="38">
        <f>VLOOKUP($C80,Segment!$I$383:$N$454,4,0)/1000</f>
        <v>120.100342</v>
      </c>
      <c r="BW80" s="38">
        <f>VLOOKUP($C80,Segment!$P$383:$U$454,4,0)/1000</f>
        <v>1.9176430000000109</v>
      </c>
      <c r="BX80" s="38">
        <f>VLOOKUP($C80,Segment!$AD$383:$AI$454,4,0)/1000</f>
        <v>507.83107999999999</v>
      </c>
      <c r="BY80" s="38">
        <f>VLOOKUP($C80,Segment!$AK$383:$AP$454,4,0)/1000</f>
        <v>-2660.5907000000002</v>
      </c>
      <c r="BZ80" s="38">
        <f>VLOOKUP($C80,Segment!$I$460:$N$531,4,0)/1000</f>
        <v>1093.5258200000001</v>
      </c>
      <c r="CA80" s="38">
        <f>VLOOKUP($C80,Segment!$P$460:$U$531,4,0)/1000</f>
        <v>-896.28525999999999</v>
      </c>
      <c r="CB80" s="38">
        <f>VLOOKUP($C80,Segment!$AD$460:$AI$531,4,0)/1000</f>
        <v>1780.1208099999999</v>
      </c>
      <c r="CC80" s="38">
        <f>VLOOKUP($C80,Segment!$AK$460:$AP$531,4,0)/1000</f>
        <v>1509.1503099999998</v>
      </c>
      <c r="CE80" s="38"/>
      <c r="CF80" s="38">
        <f t="shared" si="229"/>
        <v>3084.2099003143003</v>
      </c>
      <c r="CG80" s="38">
        <f t="shared" si="229"/>
        <v>-5004.4009999999998</v>
      </c>
      <c r="CH80" s="38">
        <f t="shared" si="229"/>
        <v>1145.9582400000002</v>
      </c>
      <c r="CI80" s="38">
        <f t="shared" si="229"/>
        <v>1434.9212035118999</v>
      </c>
      <c r="CJ80" s="38">
        <f t="shared" si="229"/>
        <v>-2919.7393535119004</v>
      </c>
      <c r="CK80" s="38">
        <f t="shared" si="229"/>
        <v>749.44817141299995</v>
      </c>
      <c r="CL80" s="38">
        <f t="shared" si="229"/>
        <v>-1258.8778435212</v>
      </c>
      <c r="CM80" s="38">
        <f t="shared" si="229"/>
        <v>347.65932925959999</v>
      </c>
      <c r="CN80" s="38">
        <f t="shared" si="229"/>
        <v>-373.6133491957998</v>
      </c>
      <c r="CO80" s="38">
        <f t="shared" si="229"/>
        <v>-2873.5898683814999</v>
      </c>
      <c r="CP80" s="38">
        <f t="shared" si="230"/>
        <v>-2291.9234480221994</v>
      </c>
      <c r="CQ80" s="38">
        <f t="shared" si="230"/>
        <v>-5926.6728435757013</v>
      </c>
      <c r="CR80" s="38">
        <f t="shared" si="230"/>
        <v>3276.8543180327001</v>
      </c>
      <c r="CS80" s="38">
        <f t="shared" si="230"/>
        <v>-1296.4135037299</v>
      </c>
      <c r="CT80" s="38">
        <f t="shared" si="230"/>
        <v>1820.7868894138001</v>
      </c>
      <c r="CU80" s="38">
        <f t="shared" si="230"/>
        <v>1616.6627799454998</v>
      </c>
      <c r="CV80" s="38">
        <f t="shared" si="230"/>
        <v>5091.3413417719003</v>
      </c>
      <c r="CY80" s="38"/>
      <c r="CZ80" s="38">
        <f>VLOOKUP($C80,Segment!$AK$152:$AP$223,5,0)/1000</f>
        <v>0</v>
      </c>
      <c r="DA80" s="38">
        <f>VLOOKUP($C80,Segment!$I$229:$N$300,5,0)/1000</f>
        <v>0</v>
      </c>
      <c r="DB80" s="38">
        <f>VLOOKUP($C80,Segment!$P$229:$U$300,5,0)/1000</f>
        <v>0</v>
      </c>
      <c r="DC80" s="38">
        <f>VLOOKUP($C80,Segment!$AD$229:$AI$300,5,0)/1000</f>
        <v>0</v>
      </c>
      <c r="DD80" s="38">
        <f>VLOOKUP($C80,Segment!$AK$229:$AP$300,5,0)/1000</f>
        <v>-0.64867000000000008</v>
      </c>
      <c r="DE80" s="38">
        <f>VLOOKUP($C80,Segment!$I$306:$N$377,5,0)/1000</f>
        <v>-29.266560000000002</v>
      </c>
      <c r="DF80" s="38">
        <f>VLOOKUP($C80,Segment!$P$306:$U$377,5,0)/1000</f>
        <v>-2.0327099999999989</v>
      </c>
      <c r="DG80" s="38">
        <f>VLOOKUP($C80,Segment!$AD$306:$AI$377,5,0)/1000</f>
        <v>-10.346939999999998</v>
      </c>
      <c r="DH80" s="38">
        <f>VLOOKUP($C80,Segment!$AK$306:$AP$377,5,0)/1000</f>
        <v>6.926370000000003</v>
      </c>
      <c r="DI80" s="38">
        <f>VLOOKUP($C80,Segment!$I$383:$N$454,5,0)/1000</f>
        <v>-7.5509499999999994</v>
      </c>
      <c r="DJ80" s="38">
        <f>VLOOKUP($C80,Segment!$P$383:$U$454,5,0)/1000</f>
        <v>-16.614159999999998</v>
      </c>
      <c r="DK80" s="38">
        <f>VLOOKUP($C80,Segment!$AD$383:$AI$454,5,0)/1000</f>
        <v>8.73</v>
      </c>
      <c r="DL80" s="38">
        <f>VLOOKUP($C80,Segment!$AK$383:$AP$454,5,0)/1000</f>
        <v>50.803620000000002</v>
      </c>
      <c r="DM80" s="38">
        <f>VLOOKUP($C80,Segment!$I$460:$N$531,5,0)/1000</f>
        <v>-55.84619</v>
      </c>
      <c r="DN80" s="38">
        <f>VLOOKUP($C80,Segment!$P$460:$U$531,5,0)/1000</f>
        <v>0</v>
      </c>
      <c r="DO80" s="38">
        <f>VLOOKUP($C80,Segment!$AD$460:$AI$531,5,0)/1000</f>
        <v>0</v>
      </c>
      <c r="DP80" s="38">
        <f>VLOOKUP($C80,Segment!$AK$460:$AP$531,5,0)/1000</f>
        <v>0</v>
      </c>
    </row>
    <row r="81" spans="2:120" x14ac:dyDescent="0.3">
      <c r="C81" s="43" t="s">
        <v>11</v>
      </c>
      <c r="D81" s="111"/>
      <c r="E81" s="44"/>
      <c r="F81" s="44">
        <f t="shared" ref="F81:Q81" si="231">F71+F72+F73+F75+F76+F77+F78+F79+F80+F70</f>
        <v>-96749.823059765477</v>
      </c>
      <c r="G81" s="44">
        <f t="shared" si="231"/>
        <v>-128599.91085000001</v>
      </c>
      <c r="H81" s="44">
        <f t="shared" si="231"/>
        <v>-131646.05616100004</v>
      </c>
      <c r="I81" s="44">
        <f t="shared" si="231"/>
        <v>-156287.87333848808</v>
      </c>
      <c r="J81" s="44">
        <f t="shared" si="231"/>
        <v>-149587.66411951193</v>
      </c>
      <c r="K81" s="44">
        <f t="shared" si="231"/>
        <v>-198338.06231858698</v>
      </c>
      <c r="L81" s="44">
        <f t="shared" si="231"/>
        <v>-207721.2719135212</v>
      </c>
      <c r="M81" s="44">
        <f t="shared" si="231"/>
        <v>-227705.28167074046</v>
      </c>
      <c r="N81" s="44">
        <f t="shared" si="231"/>
        <v>-261888.69833919578</v>
      </c>
      <c r="O81" s="44">
        <f t="shared" si="231"/>
        <v>-333707.27927838161</v>
      </c>
      <c r="P81" s="44">
        <f t="shared" si="231"/>
        <v>-296172.81550902221</v>
      </c>
      <c r="Q81" s="44">
        <f t="shared" si="231"/>
        <v>-306518.50742457563</v>
      </c>
      <c r="R81" s="44">
        <f>R71+R72+R73+R75+R76+R77+R78+R79+R80+R70</f>
        <v>-129993.29844196714</v>
      </c>
      <c r="S81" s="44">
        <f>S71+S72+S73+S75+S76+S77+S78+S79+S80+S70</f>
        <v>-350151.80273372988</v>
      </c>
      <c r="T81" s="44">
        <f>T71+T72+T73+T75+T76+T77+T78+T79+T80+T70</f>
        <v>-344971.54917058651</v>
      </c>
      <c r="U81" s="44">
        <f>U71+U72+U73+U75+U76+U77+U78+U79+U80+U70</f>
        <v>-358279.60563746985</v>
      </c>
      <c r="V81" s="44">
        <f>V71+V72+V73+V75+V76+V77+V78+V79+V80+V70</f>
        <v>-410980.36103764066</v>
      </c>
      <c r="W81" s="170">
        <f t="shared" si="215"/>
        <v>2.1615503719302458</v>
      </c>
      <c r="X81" s="132"/>
      <c r="Y81" s="44"/>
      <c r="Z81" s="44">
        <f t="shared" ref="Z81:AL81" si="232">Z71+Z72+Z73+Z75+Z76+Z77+Z78+Z79+Z80+Z70</f>
        <v>-84412.343960079772</v>
      </c>
      <c r="AA81" s="44">
        <f t="shared" si="232"/>
        <v>-99979.903850000002</v>
      </c>
      <c r="AB81" s="44">
        <f t="shared" si="232"/>
        <v>-115677.96254000004</v>
      </c>
      <c r="AC81" s="44">
        <f t="shared" si="232"/>
        <v>-139629.42030999999</v>
      </c>
      <c r="AD81" s="44">
        <f t="shared" si="232"/>
        <v>-113389.20346</v>
      </c>
      <c r="AE81" s="44">
        <f t="shared" si="232"/>
        <v>-163040.22021</v>
      </c>
      <c r="AF81" s="44">
        <f t="shared" si="232"/>
        <v>-170266.97083000001</v>
      </c>
      <c r="AG81" s="44">
        <f t="shared" si="232"/>
        <v>-195426.26918000009</v>
      </c>
      <c r="AH81" s="44">
        <f t="shared" si="232"/>
        <v>-224290.15768999996</v>
      </c>
      <c r="AI81" s="44">
        <f t="shared" si="232"/>
        <v>-280391.63088000001</v>
      </c>
      <c r="AJ81" s="44">
        <f t="shared" si="232"/>
        <v>-240712.97924999997</v>
      </c>
      <c r="AK81" s="44">
        <f t="shared" si="232"/>
        <v>-250433.36446000001</v>
      </c>
      <c r="AL81" s="44">
        <f t="shared" si="232"/>
        <v>-78961.933209999785</v>
      </c>
      <c r="AM81" s="44">
        <f>AM71+AM72+AM73+AM75+AM76+AM77+AM78+AM79+AM80+AM70</f>
        <v>-277740.45110999991</v>
      </c>
      <c r="AN81" s="44">
        <f>AN71+AN72+AN73+AN75+AN76+AN77+AN78+AN79+AN80+AN70</f>
        <v>-282526.48980000027</v>
      </c>
      <c r="AO81" s="44">
        <f>AO71+AO72+AO73+AO75+AO76+AO77+AO78+AO79+AO80+AO70</f>
        <v>-295007.95573741518</v>
      </c>
      <c r="AP81" s="44">
        <f>AP71+AP72+AP73+AP75+AP76+AP77+AP78+AP79+AP80+AP70</f>
        <v>-342342.75461103517</v>
      </c>
      <c r="AQ81" s="170">
        <f>AP81/AL81-1</f>
        <v>3.3355417059074828</v>
      </c>
      <c r="AR81" s="44"/>
      <c r="AS81" s="44"/>
      <c r="AT81" s="44">
        <f t="shared" ref="AT81:BJ81" si="233">AT71+AT72+AT73+AT75+AT76+AT77+AT78+AT79+AT80+AT70</f>
        <v>-12212.183099685701</v>
      </c>
      <c r="AU81" s="44">
        <f t="shared" si="233"/>
        <v>-23109.579999999998</v>
      </c>
      <c r="AV81" s="44">
        <f t="shared" si="233"/>
        <v>-13699.918</v>
      </c>
      <c r="AW81" s="44">
        <f t="shared" si="233"/>
        <v>-13156.6567964881</v>
      </c>
      <c r="AX81" s="44">
        <f t="shared" si="233"/>
        <v>-18373.169203511901</v>
      </c>
      <c r="AY81" s="44">
        <f t="shared" si="233"/>
        <v>-24491.589008587001</v>
      </c>
      <c r="AZ81" s="44">
        <f t="shared" si="233"/>
        <v>-26677.445893521199</v>
      </c>
      <c r="BA81" s="44">
        <f t="shared" si="233"/>
        <v>-21913.534250740398</v>
      </c>
      <c r="BB81" s="44">
        <f t="shared" si="233"/>
        <v>-25180.8840291958</v>
      </c>
      <c r="BC81" s="44">
        <f t="shared" si="233"/>
        <v>-35607.094210381503</v>
      </c>
      <c r="BD81" s="44">
        <f t="shared" si="233"/>
        <v>-40078.816251022203</v>
      </c>
      <c r="BE81" s="44">
        <f t="shared" si="233"/>
        <v>-41793.281043575691</v>
      </c>
      <c r="BF81" s="44">
        <f t="shared" si="233"/>
        <v>-34269.841901967302</v>
      </c>
      <c r="BG81" s="44">
        <f t="shared" si="233"/>
        <v>-52448.891763729902</v>
      </c>
      <c r="BH81" s="44">
        <f t="shared" si="233"/>
        <v>-45246.567270586209</v>
      </c>
      <c r="BI81" s="44">
        <f t="shared" si="233"/>
        <v>-48582.960410054497</v>
      </c>
      <c r="BJ81" s="44">
        <f t="shared" si="233"/>
        <v>-54634.602768228091</v>
      </c>
      <c r="BK81" s="44"/>
      <c r="BL81" s="44"/>
      <c r="BM81" s="44">
        <f t="shared" ref="BM81:CC81" si="234">BM71+BM72+BM73+BM75+BM76+BM77+BM78+BM79+BM80+BM70</f>
        <v>-125.29599999999982</v>
      </c>
      <c r="BN81" s="44">
        <f t="shared" si="234"/>
        <v>-5510.4269999999997</v>
      </c>
      <c r="BO81" s="44">
        <f t="shared" si="234"/>
        <v>-2268.1756209999994</v>
      </c>
      <c r="BP81" s="44">
        <f t="shared" si="234"/>
        <v>-3501.7962320000001</v>
      </c>
      <c r="BQ81" s="44">
        <f t="shared" si="234"/>
        <v>-4041.5954160000015</v>
      </c>
      <c r="BR81" s="44">
        <f t="shared" si="234"/>
        <v>-3794.3041899999994</v>
      </c>
      <c r="BS81" s="44">
        <f t="shared" si="234"/>
        <v>-4790.9684499999994</v>
      </c>
      <c r="BT81" s="44">
        <f t="shared" si="234"/>
        <v>-4127.9533600000013</v>
      </c>
      <c r="BU81" s="44">
        <f t="shared" si="234"/>
        <v>-4006.9923899999967</v>
      </c>
      <c r="BV81" s="44">
        <f t="shared" si="234"/>
        <v>-7547.2440480000005</v>
      </c>
      <c r="BW81" s="44">
        <f t="shared" si="234"/>
        <v>-7693.8000480000019</v>
      </c>
      <c r="BX81" s="44">
        <f t="shared" si="234"/>
        <v>-6657.9217009999966</v>
      </c>
      <c r="BY81" s="44">
        <f t="shared" si="234"/>
        <v>-10194.248390000002</v>
      </c>
      <c r="BZ81" s="44">
        <f t="shared" si="234"/>
        <v>-8994.7466400000012</v>
      </c>
      <c r="CA81" s="44">
        <f t="shared" si="234"/>
        <v>-9952.5138200000038</v>
      </c>
      <c r="CB81" s="44">
        <f t="shared" si="234"/>
        <v>-8005.1616999999987</v>
      </c>
      <c r="CC81" s="44">
        <f t="shared" si="234"/>
        <v>-6114.8889100000006</v>
      </c>
      <c r="CD81" s="44"/>
      <c r="CE81" s="44"/>
      <c r="CF81" s="44">
        <f t="shared" ref="CF81:CV81" si="235">CF71+CF72+CF73+CF75+CF76+CF77+CF78+CF79+CF80+CF70</f>
        <v>-12337.479099685701</v>
      </c>
      <c r="CG81" s="44">
        <f t="shared" si="235"/>
        <v>-28620.007000000005</v>
      </c>
      <c r="CH81" s="44">
        <f t="shared" si="235"/>
        <v>-15968.093621</v>
      </c>
      <c r="CI81" s="44">
        <f t="shared" si="235"/>
        <v>-16658.453028488097</v>
      </c>
      <c r="CJ81" s="44">
        <f t="shared" si="235"/>
        <v>-22414.764619511905</v>
      </c>
      <c r="CK81" s="44">
        <f t="shared" si="235"/>
        <v>-28285.893198586997</v>
      </c>
      <c r="CL81" s="44">
        <f t="shared" si="235"/>
        <v>-31468.414343521203</v>
      </c>
      <c r="CM81" s="44">
        <f t="shared" si="235"/>
        <v>-26041.487610740398</v>
      </c>
      <c r="CN81" s="44">
        <f t="shared" si="235"/>
        <v>-29187.8764191958</v>
      </c>
      <c r="CO81" s="44">
        <f t="shared" si="235"/>
        <v>-43154.338258381511</v>
      </c>
      <c r="CP81" s="44">
        <f t="shared" si="235"/>
        <v>-47772.6162990222</v>
      </c>
      <c r="CQ81" s="44">
        <f t="shared" si="235"/>
        <v>-48451.20274457569</v>
      </c>
      <c r="CR81" s="44">
        <f t="shared" si="235"/>
        <v>-44464.09029196731</v>
      </c>
      <c r="CS81" s="44">
        <f t="shared" si="235"/>
        <v>-61443.638403729899</v>
      </c>
      <c r="CT81" s="44">
        <f t="shared" si="235"/>
        <v>-55199.081090586202</v>
      </c>
      <c r="CU81" s="44">
        <f t="shared" si="235"/>
        <v>-56588.122110054501</v>
      </c>
      <c r="CV81" s="44">
        <f t="shared" si="235"/>
        <v>-60749.491678228092</v>
      </c>
      <c r="CW81" s="170">
        <f>CV81/CR81-1</f>
        <v>0.3662596328705916</v>
      </c>
      <c r="CX81" s="44"/>
      <c r="CY81" s="44"/>
      <c r="CZ81" s="44">
        <f t="shared" ref="CZ81:DP81" si="236">CZ71+CZ72+CZ73+CZ75+CZ76+CZ77+CZ78+CZ79+CZ80+CZ70</f>
        <v>0</v>
      </c>
      <c r="DA81" s="44">
        <f t="shared" si="236"/>
        <v>0</v>
      </c>
      <c r="DB81" s="44">
        <f t="shared" si="236"/>
        <v>0</v>
      </c>
      <c r="DC81" s="44">
        <f t="shared" si="236"/>
        <v>0</v>
      </c>
      <c r="DD81" s="44">
        <f t="shared" si="236"/>
        <v>-13783.696040000003</v>
      </c>
      <c r="DE81" s="44">
        <f t="shared" si="236"/>
        <v>-7011.9489100000001</v>
      </c>
      <c r="DF81" s="44">
        <f t="shared" si="236"/>
        <v>-5985.8867400000017</v>
      </c>
      <c r="DG81" s="44">
        <f t="shared" si="236"/>
        <v>-6237.5248800000018</v>
      </c>
      <c r="DH81" s="44">
        <f t="shared" si="236"/>
        <v>-8410.6642299999967</v>
      </c>
      <c r="DI81" s="44">
        <f t="shared" si="236"/>
        <v>-10161.310140000001</v>
      </c>
      <c r="DJ81" s="44">
        <f t="shared" si="236"/>
        <v>-7687.2199600000013</v>
      </c>
      <c r="DK81" s="44">
        <f t="shared" si="236"/>
        <v>-7633.9402199999977</v>
      </c>
      <c r="DL81" s="44">
        <f t="shared" si="236"/>
        <v>-6567.2749400000002</v>
      </c>
      <c r="DM81" s="44">
        <f t="shared" si="236"/>
        <v>-10967.71322</v>
      </c>
      <c r="DN81" s="44">
        <f t="shared" si="236"/>
        <v>-7245.978280000003</v>
      </c>
      <c r="DO81" s="44">
        <f t="shared" si="236"/>
        <v>-6683.5277899999983</v>
      </c>
      <c r="DP81" s="44">
        <f t="shared" si="236"/>
        <v>-7888.1147483774157</v>
      </c>
    </row>
    <row r="82" spans="2:120" s="45" customFormat="1" x14ac:dyDescent="0.3">
      <c r="C82" s="88" t="s">
        <v>43</v>
      </c>
      <c r="D82" s="117"/>
      <c r="E82" s="89"/>
      <c r="F82" s="89">
        <f t="shared" ref="F82:Q82" si="237">F35+F62+F81+F67</f>
        <v>226729.03761660616</v>
      </c>
      <c r="G82" s="89">
        <f t="shared" si="237"/>
        <v>153884.76390629995</v>
      </c>
      <c r="H82" s="89">
        <f t="shared" si="237"/>
        <v>152047.06643771974</v>
      </c>
      <c r="I82" s="89">
        <f t="shared" si="237"/>
        <v>163799.92454249418</v>
      </c>
      <c r="J82" s="89">
        <f t="shared" si="237"/>
        <v>192357.49620294609</v>
      </c>
      <c r="K82" s="89">
        <f t="shared" si="237"/>
        <v>220549.03270785982</v>
      </c>
      <c r="L82" s="89">
        <f t="shared" si="237"/>
        <v>160567.46286534105</v>
      </c>
      <c r="M82" s="89">
        <f t="shared" si="237"/>
        <v>122842.9277673921</v>
      </c>
      <c r="N82" s="89">
        <f t="shared" si="237"/>
        <v>243158.15889445791</v>
      </c>
      <c r="O82" s="89">
        <f t="shared" si="237"/>
        <v>214359.03445771537</v>
      </c>
      <c r="P82" s="89">
        <f t="shared" si="237"/>
        <v>247504.23327832465</v>
      </c>
      <c r="Q82" s="89">
        <f t="shared" si="237"/>
        <v>202129.24094868082</v>
      </c>
      <c r="R82" s="89">
        <f>R35+R62+R81+R67</f>
        <v>353449.486677129</v>
      </c>
      <c r="S82" s="89">
        <f>S35+S62+S81+S67</f>
        <v>92695.059102268817</v>
      </c>
      <c r="T82" s="89">
        <f>T35+T62+T81+T67</f>
        <v>216856.03192242602</v>
      </c>
      <c r="U82" s="89">
        <f>U35+U62+U81+U67</f>
        <v>333334.26246335893</v>
      </c>
      <c r="V82" s="89">
        <f>V35+V62+V81+V67</f>
        <v>356104.49687550904</v>
      </c>
      <c r="W82" s="177">
        <f t="shared" si="215"/>
        <v>7.5117104380049149E-3</v>
      </c>
      <c r="X82" s="132"/>
      <c r="Y82" s="89"/>
      <c r="Z82" s="89">
        <f t="shared" ref="Z82:AK82" si="238">Z35+Z62+Z81+Z67</f>
        <v>226073.82571629187</v>
      </c>
      <c r="AA82" s="89">
        <f t="shared" si="238"/>
        <v>135611.24790629998</v>
      </c>
      <c r="AB82" s="89">
        <f t="shared" si="238"/>
        <v>137849.07948651977</v>
      </c>
      <c r="AC82" s="89">
        <f t="shared" si="238"/>
        <v>148231.6258671823</v>
      </c>
      <c r="AD82" s="89">
        <f t="shared" si="238"/>
        <v>198068.56953245803</v>
      </c>
      <c r="AE82" s="89">
        <f t="shared" si="238"/>
        <v>195723.41953544004</v>
      </c>
      <c r="AF82" s="89">
        <f t="shared" si="238"/>
        <v>146957.21929241993</v>
      </c>
      <c r="AG82" s="89">
        <f t="shared" si="238"/>
        <v>102205.73783042414</v>
      </c>
      <c r="AH82" s="89">
        <f t="shared" si="238"/>
        <v>239409.66060145298</v>
      </c>
      <c r="AI82" s="89">
        <f t="shared" si="238"/>
        <v>184183.57654031616</v>
      </c>
      <c r="AJ82" s="89">
        <f t="shared" si="238"/>
        <v>228278.79741940554</v>
      </c>
      <c r="AK82" s="89">
        <f t="shared" si="238"/>
        <v>174994.35445914761</v>
      </c>
      <c r="AL82" s="89">
        <f>AL35+AL62+AL81+AL67</f>
        <v>292071.15368998575</v>
      </c>
      <c r="AM82" s="89">
        <f>AM35+AM62+AM81+AM67</f>
        <v>43841.738465587623</v>
      </c>
      <c r="AN82" s="89">
        <f>AN35+AN62+AN81+AN67</f>
        <v>138244.0808607185</v>
      </c>
      <c r="AO82" s="89">
        <f>AO35+AO62+AO81+AO67</f>
        <v>290456.17455596151</v>
      </c>
      <c r="AP82" s="89">
        <f>AP35+AP62+AP81+AP67</f>
        <v>307837.44240828406</v>
      </c>
      <c r="AQ82" s="177">
        <f>AP82/AL82-1</f>
        <v>5.3980985520511782E-2</v>
      </c>
      <c r="AR82" s="90"/>
      <c r="AS82" s="89"/>
      <c r="AT82" s="89">
        <f t="shared" ref="AT82:BE82" si="239">AT35+AT62+AT81+AT67</f>
        <v>-6448.6340996857189</v>
      </c>
      <c r="AU82" s="89">
        <f t="shared" si="239"/>
        <v>15409.806000000021</v>
      </c>
      <c r="AV82" s="89">
        <f t="shared" si="239"/>
        <v>8585.8789999999881</v>
      </c>
      <c r="AW82" s="89">
        <f t="shared" si="239"/>
        <v>6195.5382035118992</v>
      </c>
      <c r="AX82" s="89">
        <f t="shared" si="239"/>
        <v>761.67579648808351</v>
      </c>
      <c r="AY82" s="89">
        <f t="shared" si="239"/>
        <v>23861.653991413001</v>
      </c>
      <c r="AZ82" s="89">
        <f t="shared" si="239"/>
        <v>13988.531106478793</v>
      </c>
      <c r="BA82" s="89">
        <f t="shared" si="239"/>
        <v>19916.825749259588</v>
      </c>
      <c r="BB82" s="89">
        <f t="shared" si="239"/>
        <v>8428.0909708041945</v>
      </c>
      <c r="BC82" s="89">
        <f t="shared" si="239"/>
        <v>38727.198789618451</v>
      </c>
      <c r="BD82" s="89">
        <f t="shared" si="239"/>
        <v>29042.999748977811</v>
      </c>
      <c r="BE82" s="89">
        <f t="shared" si="239"/>
        <v>30409.551956424333</v>
      </c>
      <c r="BF82" s="89">
        <f>BF35+BF62+BF81+BF67</f>
        <v>36813.524098032714</v>
      </c>
      <c r="BG82" s="89">
        <f>BG35+BG62+BG81+BG67</f>
        <v>50701.247236270072</v>
      </c>
      <c r="BH82" s="89">
        <f>BH35+BH62+BH81+BH67</f>
        <v>78066.865729413796</v>
      </c>
      <c r="BI82" s="89">
        <f>BI35+BI62+BI81+BI67</f>
        <v>31462.314589945545</v>
      </c>
      <c r="BJ82" s="89">
        <f>BJ35+BJ62+BJ81+BJ67</f>
        <v>45093.879231771898</v>
      </c>
      <c r="BK82" s="90"/>
      <c r="BL82" s="89"/>
      <c r="BM82" s="89">
        <f t="shared" ref="BM82:BX82" si="240">BM35+BM62+BM81+BM67</f>
        <v>7103.8459999999995</v>
      </c>
      <c r="BN82" s="89">
        <f t="shared" si="240"/>
        <v>2863.7100000000009</v>
      </c>
      <c r="BO82" s="89">
        <f t="shared" si="240"/>
        <v>5739.5512550000021</v>
      </c>
      <c r="BP82" s="89">
        <f t="shared" si="240"/>
        <v>9245.3171679999941</v>
      </c>
      <c r="BQ82" s="89">
        <f t="shared" si="240"/>
        <v>5912.4854439999945</v>
      </c>
      <c r="BR82" s="89">
        <f t="shared" si="240"/>
        <v>5553.7012100000011</v>
      </c>
      <c r="BS82" s="89">
        <f t="shared" si="240"/>
        <v>2859.1697700000059</v>
      </c>
      <c r="BT82" s="89">
        <f t="shared" si="240"/>
        <v>4362.9289099999987</v>
      </c>
      <c r="BU82" s="89">
        <f t="shared" si="240"/>
        <v>3695.145690000003</v>
      </c>
      <c r="BV82" s="89">
        <f t="shared" si="240"/>
        <v>320.24478300000283</v>
      </c>
      <c r="BW82" s="89">
        <f t="shared" si="240"/>
        <v>-3273.7668060000124</v>
      </c>
      <c r="BX82" s="89">
        <f t="shared" si="240"/>
        <v>4614.7817390000191</v>
      </c>
      <c r="BY82" s="89">
        <f>BY35+BY62+BY81+BY67</f>
        <v>29204.059119999998</v>
      </c>
      <c r="BZ82" s="89">
        <f>BZ35+BZ62+BZ81+BZ67</f>
        <v>8473.8003699999899</v>
      </c>
      <c r="CA82" s="89">
        <f>CA35+CA62+CA81+CA67</f>
        <v>7945.4360799999922</v>
      </c>
      <c r="CB82" s="89">
        <f>CB35+CB62+CB81+CB67</f>
        <v>14149.16224</v>
      </c>
      <c r="CC82" s="89">
        <f>CC35+CC62+CC81+CC67</f>
        <v>8695.0000800000234</v>
      </c>
      <c r="CD82" s="90"/>
      <c r="CE82" s="89"/>
      <c r="CF82" s="89">
        <f t="shared" ref="CF82:CQ82" si="241">CF35+CF62+CF81+CF67</f>
        <v>655.21190031427977</v>
      </c>
      <c r="CG82" s="89">
        <f t="shared" si="241"/>
        <v>18273.516000000018</v>
      </c>
      <c r="CH82" s="89">
        <f t="shared" si="241"/>
        <v>14325.430254999992</v>
      </c>
      <c r="CI82" s="89">
        <f t="shared" si="241"/>
        <v>15440.855371511898</v>
      </c>
      <c r="CJ82" s="89">
        <f t="shared" si="241"/>
        <v>6674.1612404880816</v>
      </c>
      <c r="CK82" s="89">
        <f t="shared" si="241"/>
        <v>29415.355201413007</v>
      </c>
      <c r="CL82" s="89">
        <f t="shared" si="241"/>
        <v>16847.700876478804</v>
      </c>
      <c r="CM82" s="89">
        <f t="shared" si="241"/>
        <v>24279.754659259597</v>
      </c>
      <c r="CN82" s="89">
        <f t="shared" si="241"/>
        <v>12123.236660804192</v>
      </c>
      <c r="CO82" s="89">
        <f t="shared" si="241"/>
        <v>39047.443572618453</v>
      </c>
      <c r="CP82" s="89">
        <f t="shared" si="241"/>
        <v>25769.232942977789</v>
      </c>
      <c r="CQ82" s="89">
        <f t="shared" si="241"/>
        <v>35024.333695424342</v>
      </c>
      <c r="CR82" s="89">
        <f>CR35+CR62+CR81+CR67</f>
        <v>66017.583218032712</v>
      </c>
      <c r="CS82" s="89">
        <f>CS35+CS62+CS81+CS67</f>
        <v>59175.047606270084</v>
      </c>
      <c r="CT82" s="89">
        <f>CT35+CT62+CT81+CT67</f>
        <v>86012.301809413781</v>
      </c>
      <c r="CU82" s="89">
        <f>CU35+CU62+CU81+CU67</f>
        <v>45611.476829945532</v>
      </c>
      <c r="CV82" s="89">
        <f>CV35+CV62+CV81+CV67</f>
        <v>53788.879311771932</v>
      </c>
      <c r="CW82" s="177">
        <f>CV82/CR82-1</f>
        <v>-0.18523404387394338</v>
      </c>
      <c r="CX82" s="90"/>
      <c r="CY82" s="89"/>
      <c r="CZ82" s="89">
        <f t="shared" ref="CZ82:DK82" si="242">CZ35+CZ62+CZ81+CZ67</f>
        <v>0</v>
      </c>
      <c r="DA82" s="89">
        <f t="shared" si="242"/>
        <v>0</v>
      </c>
      <c r="DB82" s="89">
        <f t="shared" si="242"/>
        <v>-127.44330380000001</v>
      </c>
      <c r="DC82" s="89">
        <f t="shared" si="242"/>
        <v>127.44330380000001</v>
      </c>
      <c r="DD82" s="89">
        <f t="shared" si="242"/>
        <v>-12385.234570000002</v>
      </c>
      <c r="DE82" s="89">
        <f t="shared" si="242"/>
        <v>-4589.7420289931897</v>
      </c>
      <c r="DF82" s="89">
        <f t="shared" si="242"/>
        <v>-3237.4573035577878</v>
      </c>
      <c r="DG82" s="89">
        <f t="shared" si="242"/>
        <v>-3642.5647222917273</v>
      </c>
      <c r="DH82" s="89">
        <f t="shared" si="242"/>
        <v>-8374.7383677992693</v>
      </c>
      <c r="DI82" s="89">
        <f t="shared" si="242"/>
        <v>-8871.985655219285</v>
      </c>
      <c r="DJ82" s="89">
        <f t="shared" si="242"/>
        <v>-6543.797084058685</v>
      </c>
      <c r="DK82" s="89">
        <f t="shared" si="242"/>
        <v>-7889.4472058912434</v>
      </c>
      <c r="DL82" s="89">
        <f>DL35+DL62+DL81+DL67</f>
        <v>-4639.2502308895291</v>
      </c>
      <c r="DM82" s="89">
        <f>DM35+DM62+DM81+DM67</f>
        <v>-10321.726969588719</v>
      </c>
      <c r="DN82" s="89">
        <f>DN35+DN62+DN81+DN67</f>
        <v>-7400.3507477062558</v>
      </c>
      <c r="DO82" s="89">
        <f>DO35+DO62+DO81+DO67</f>
        <v>-2733.3889225477005</v>
      </c>
      <c r="DP82" s="89">
        <f>DP35+DP62+DP81+DP67</f>
        <v>-5521.8248445470199</v>
      </c>
    </row>
    <row r="83" spans="2:120" x14ac:dyDescent="0.3">
      <c r="C83" s="36" t="s">
        <v>6</v>
      </c>
      <c r="D83" s="110">
        <v>23</v>
      </c>
      <c r="E83" s="42"/>
      <c r="F83" s="38">
        <f>VLOOKUP($C83,Segment!$AK$152:$AP$223,6,0)/1000</f>
        <v>-61560.086775714291</v>
      </c>
      <c r="G83" s="38">
        <f>VLOOKUP($C83,Segment!$I$229:$N$300,6,0)/1000</f>
        <v>-39108.584999999999</v>
      </c>
      <c r="H83" s="38">
        <f>VLOOKUP($C83,Segment!$P$229:$U$300,6,0)/1000</f>
        <v>-39067.707510000007</v>
      </c>
      <c r="I83" s="38">
        <f>VLOOKUP($C83,Segment!$AD$229:$AI$300,6,0)/1000</f>
        <v>-49631.793726999982</v>
      </c>
      <c r="J83" s="38">
        <f>VLOOKUP($C83,Segment!$AK$229:$AP$300,6,0)/1000</f>
        <v>-56220.592079999959</v>
      </c>
      <c r="K83" s="38">
        <f>VLOOKUP($C83,Segment!$I$306:$N$377,6,0)/1000</f>
        <v>-60138.553410000008</v>
      </c>
      <c r="L83" s="38">
        <f>VLOOKUP($C83,Segment!$P$306:$U$377,6,0)/1000</f>
        <v>-52428.148979999998</v>
      </c>
      <c r="M83" s="38">
        <f>VLOOKUP($C83,Segment!$AD$306:$AI$377,6,0)/1000</f>
        <v>-40846.149260000013</v>
      </c>
      <c r="N83" s="38">
        <f>VLOOKUP($C83,Segment!$AK$306:$AP$377,6,0)/1000</f>
        <v>-64921.786379999961</v>
      </c>
      <c r="O83" s="203">
        <f>VLOOKUP($C83,Segment!$I$383:$N$454,6,0)/1000</f>
        <v>-70015.862030000004</v>
      </c>
      <c r="P83" s="203">
        <f>VLOOKUP($C83,Segment!$P$383:$U$454,6,0)/1000</f>
        <v>-69538.803470000013</v>
      </c>
      <c r="Q83" s="203">
        <f>VLOOKUP($C83,Segment!$AD$383:$AI$454,6,0)/1000</f>
        <v>-61129.139720000021</v>
      </c>
      <c r="R83" s="203">
        <f>VLOOKUP($C83,Segment!$AK$383:$AP$454,6,0)/1000</f>
        <v>-88689.863650000014</v>
      </c>
      <c r="S83" s="203">
        <f>VLOOKUP($C83,Segment!$I$460:$N$531,6,0)/1000</f>
        <v>-36085.541210000003</v>
      </c>
      <c r="T83" s="203">
        <f>VLOOKUP($C83,Segment!$P$460:$U$531,6,0)/1000</f>
        <v>-54880.666930000007</v>
      </c>
      <c r="U83" s="203">
        <f>VLOOKUP($C83,Segment!$AD$460:$AI$531,6,0)/1000</f>
        <v>-97865.767369999987</v>
      </c>
      <c r="V83" s="203">
        <f>VLOOKUP($C83,Segment!$AK$460:$AP$531,6,0)/1000</f>
        <v>-80202.71044000001</v>
      </c>
      <c r="W83" s="132">
        <f t="shared" si="215"/>
        <v>-9.5694737377127526E-2</v>
      </c>
      <c r="Y83" s="38"/>
      <c r="Z83" s="38">
        <f>VLOOKUP($C83,Segment!$AK$152:$AP$223,2,0)/1000</f>
        <v>-58795.808775714293</v>
      </c>
      <c r="AA83" s="38">
        <f>VLOOKUP($C83,Segment!$I$229:$N$300,2,0)/1000</f>
        <v>-37149.423000000003</v>
      </c>
      <c r="AB83" s="38">
        <f>VLOOKUP($C83,Segment!$P$229:$U$300,2,0)/1000</f>
        <v>-37180.143760000006</v>
      </c>
      <c r="AC83" s="38">
        <f>VLOOKUP($C83,Segment!$AD$229:$AI$300,2,0)/1000</f>
        <v>-45885.186139999983</v>
      </c>
      <c r="AD83" s="38">
        <f>VLOOKUP($C83,Segment!$AK$229:$AP$300,2,0)/1000</f>
        <v>-52390.381219999952</v>
      </c>
      <c r="AE83" s="38">
        <f>VLOOKUP($C83,Segment!$I$306:$N$377,2,0)/1000</f>
        <v>-53075.267620000013</v>
      </c>
      <c r="AF83" s="38">
        <f>VLOOKUP($C83,Segment!$P$306:$U$377,2,0)/1000</f>
        <v>-47403.481949999994</v>
      </c>
      <c r="AG83" s="38">
        <f>VLOOKUP($C83,Segment!$AD$306:$AI$377,2,0)/1000</f>
        <v>-36373.440190000016</v>
      </c>
      <c r="AH83" s="38">
        <f>VLOOKUP($C83,Segment!$AK$306:$AP$377,2,0)/1000</f>
        <v>-60024.92858999996</v>
      </c>
      <c r="AI83" s="38">
        <f>VLOOKUP($C83,Segment!$I$383:$N$454,2,0)/1000</f>
        <v>-60838.738399999987</v>
      </c>
      <c r="AJ83" s="38">
        <f>VLOOKUP($C83,Segment!$P$383:$U$454,2,0)/1000</f>
        <v>-60342.029160000027</v>
      </c>
      <c r="AK83" s="38">
        <f>VLOOKUP($C83,Segment!$AD$383:$AI$454,2,0)/1000</f>
        <v>-50455.607020000025</v>
      </c>
      <c r="AL83" s="38">
        <f>VLOOKUP($C83,Segment!$AK$383:$AP$454,2,0)/1000</f>
        <v>-70078.286970000016</v>
      </c>
      <c r="AM83" s="38">
        <f>VLOOKUP($C83,Segment!$I$460:$N$531,2,0)/1000</f>
        <v>-20985.703220000003</v>
      </c>
      <c r="AN83" s="38">
        <f>VLOOKUP($C83,Segment!$P$460:$U$531,2,0)/1000</f>
        <v>-44767.532770000013</v>
      </c>
      <c r="AO83" s="38">
        <f>VLOOKUP($C83,Segment!$AD$460:$AI$531,2,0)/1000</f>
        <v>-80194.309849999991</v>
      </c>
      <c r="AP83" s="38">
        <f>VLOOKUP($C83,Segment!$AK$460:$AP$531,2,0)/1000</f>
        <v>-64838.959699999956</v>
      </c>
      <c r="AQ83" s="132">
        <f>AP83/AL83-1</f>
        <v>-7.4763917563267168E-2</v>
      </c>
      <c r="AS83" s="38"/>
      <c r="AT83" s="38">
        <f>VLOOKUP($C83,Segment!$AK$152:$AP$223,3,0)/1000</f>
        <v>-1713.9090000000001</v>
      </c>
      <c r="AU83" s="38">
        <f>VLOOKUP($C83,Segment!$I$229:$N$300,3,0)/1000</f>
        <v>-1894.7529999999999</v>
      </c>
      <c r="AV83" s="38">
        <f>VLOOKUP($C83,Segment!$P$229:$U$300,3,0)/1000</f>
        <v>-1668.585</v>
      </c>
      <c r="AW83" s="38">
        <f>VLOOKUP($C83,Segment!$AD$229:$AI$300,3,0)/1000</f>
        <v>-2231.2750000000001</v>
      </c>
      <c r="AX83" s="38">
        <f>VLOOKUP($C83,Segment!$AK$229:$AP$300,3,0)/1000</f>
        <v>-2404.8870000000002</v>
      </c>
      <c r="AY83" s="38">
        <f>VLOOKUP($C83,Segment!$I$306:$N$377,3,0)/1000</f>
        <v>-5246.7160000000003</v>
      </c>
      <c r="AZ83" s="38">
        <f>VLOOKUP($C83,Segment!$P$306:$U$377,3,0)/1000</f>
        <v>-3870.665</v>
      </c>
      <c r="BA83" s="38">
        <f>VLOOKUP($C83,Segment!$AD$306:$AI$377,3,0)/1000</f>
        <v>-3026.47</v>
      </c>
      <c r="BB83" s="38">
        <f>VLOOKUP($C83,Segment!$AK$306:$AP$377,3,0)/1000</f>
        <v>-3363.4549999999999</v>
      </c>
      <c r="BC83" s="38">
        <f>VLOOKUP($C83,Segment!$I$383:$N$454,3,0)/1000</f>
        <v>-8294.5509999999995</v>
      </c>
      <c r="BD83" s="38">
        <f>VLOOKUP($C83,Segment!$P$383:$U$454,3,0)/1000</f>
        <v>-8392.6119999999992</v>
      </c>
      <c r="BE83" s="38">
        <f>VLOOKUP($C83,Segment!$AD$383:$AI$454,3,0)/1000</f>
        <v>-9730.7240000000002</v>
      </c>
      <c r="BF83" s="38">
        <f>VLOOKUP($C83,Segment!$AK$383:$AP$454,3,0)/1000</f>
        <v>-10691.159</v>
      </c>
      <c r="BG83" s="38">
        <f>VLOOKUP($C83,Segment!$I$460:$N$531,3,0)/1000</f>
        <v>-12752.815000000001</v>
      </c>
      <c r="BH83" s="38">
        <f>VLOOKUP($C83,Segment!$P$460:$U$531,3,0)/1000</f>
        <v>-7894.2420000000002</v>
      </c>
      <c r="BI83" s="38">
        <f>VLOOKUP($C83,Segment!$AD$460:$AI$531,3,0)/1000</f>
        <v>-13652.164000000001</v>
      </c>
      <c r="BJ83" s="38">
        <f>VLOOKUP($C83,Segment!$AK$460:$AP$531,3,0)/1000</f>
        <v>-12559.933999999999</v>
      </c>
      <c r="BL83" s="38"/>
      <c r="BM83" s="38">
        <f>VLOOKUP($C83,Segment!$AK$152:$AP$223,4,0)/1000</f>
        <v>-1050.3689999999999</v>
      </c>
      <c r="BN83" s="38">
        <f>VLOOKUP($C83,Segment!$I$229:$N$300,4,0)/1000</f>
        <v>-64.409000000000006</v>
      </c>
      <c r="BO83" s="38">
        <f>VLOOKUP($C83,Segment!$P$229:$U$300,4,0)/1000</f>
        <v>-218.97874999999999</v>
      </c>
      <c r="BP83" s="38">
        <f>VLOOKUP($C83,Segment!$AD$229:$AI$300,4,0)/1000</f>
        <v>-1515.3325869999999</v>
      </c>
      <c r="BQ83" s="38">
        <f>VLOOKUP($C83,Segment!$AK$229:$AP$300,4,0)/1000</f>
        <v>-1178.9932699999999</v>
      </c>
      <c r="BR83" s="38">
        <f>VLOOKUP($C83,Segment!$I$306:$N$377,4,0)/1000</f>
        <v>-1082.4367299999999</v>
      </c>
      <c r="BS83" s="38">
        <f>VLOOKUP($C83,Segment!$P$306:$U$377,4,0)/1000</f>
        <v>-507.04409999999984</v>
      </c>
      <c r="BT83" s="38">
        <f>VLOOKUP($C83,Segment!$AD$306:$AI$377,4,0)/1000</f>
        <v>-760.48394999999994</v>
      </c>
      <c r="BU83" s="38">
        <f>VLOOKUP($C83,Segment!$AK$306:$AP$377,4,0)/1000</f>
        <v>-339.59149000000025</v>
      </c>
      <c r="BV83" s="38">
        <f>VLOOKUP($C83,Segment!$I$383:$N$454,4,0)/1000</f>
        <v>-3.5365399999999991</v>
      </c>
      <c r="BW83" s="38">
        <f>VLOOKUP($C83,Segment!$P$383:$U$454,4,0)/1000</f>
        <v>-11.115100000000002</v>
      </c>
      <c r="BX83" s="38">
        <f>VLOOKUP($C83,Segment!$AD$383:$AI$454,4,0)/1000</f>
        <v>-114.61648000000002</v>
      </c>
      <c r="BY83" s="38">
        <f>VLOOKUP($C83,Segment!$AK$383:$AP$454,4,0)/1000</f>
        <v>-7094.4931500000002</v>
      </c>
      <c r="BZ83" s="38">
        <f>VLOOKUP($C83,Segment!$I$460:$N$531,4,0)/1000</f>
        <v>-1938.0113200000001</v>
      </c>
      <c r="CA83" s="38">
        <f>VLOOKUP($C83,Segment!$P$460:$U$531,4,0)/1000</f>
        <v>-1837.0110899999995</v>
      </c>
      <c r="CB83" s="38">
        <f>VLOOKUP($C83,Segment!$AD$460:$AI$531,4,0)/1000</f>
        <v>-2785.8861600000005</v>
      </c>
      <c r="CC83" s="38">
        <f>VLOOKUP($C83,Segment!$AK$460:$AP$531,4,0)/1000</f>
        <v>-1471.7780799999996</v>
      </c>
      <c r="CE83" s="38"/>
      <c r="CF83" s="38">
        <f t="shared" ref="CF83:CV83" si="243">AT83+BM83</f>
        <v>-2764.2780000000002</v>
      </c>
      <c r="CG83" s="38">
        <f t="shared" si="243"/>
        <v>-1959.162</v>
      </c>
      <c r="CH83" s="38">
        <f t="shared" si="243"/>
        <v>-1887.56375</v>
      </c>
      <c r="CI83" s="38">
        <f t="shared" si="243"/>
        <v>-3746.607587</v>
      </c>
      <c r="CJ83" s="38">
        <f t="shared" si="243"/>
        <v>-3583.8802700000001</v>
      </c>
      <c r="CK83" s="38">
        <f t="shared" si="243"/>
        <v>-6329.1527299999998</v>
      </c>
      <c r="CL83" s="38">
        <f t="shared" si="243"/>
        <v>-4377.7091</v>
      </c>
      <c r="CM83" s="38">
        <f t="shared" si="243"/>
        <v>-3786.9539499999996</v>
      </c>
      <c r="CN83" s="38">
        <f t="shared" si="243"/>
        <v>-3703.0464900000002</v>
      </c>
      <c r="CO83" s="38">
        <f t="shared" si="243"/>
        <v>-8298.0875399999986</v>
      </c>
      <c r="CP83" s="38">
        <f t="shared" si="243"/>
        <v>-8403.7271000000001</v>
      </c>
      <c r="CQ83" s="38">
        <f t="shared" si="243"/>
        <v>-9845.3404800000008</v>
      </c>
      <c r="CR83" s="38">
        <f t="shared" si="243"/>
        <v>-17785.652150000002</v>
      </c>
      <c r="CS83" s="38">
        <f t="shared" si="243"/>
        <v>-14690.82632</v>
      </c>
      <c r="CT83" s="38">
        <f t="shared" si="243"/>
        <v>-9731.2530900000002</v>
      </c>
      <c r="CU83" s="38">
        <f t="shared" si="243"/>
        <v>-16438.050160000003</v>
      </c>
      <c r="CV83" s="38">
        <f t="shared" si="243"/>
        <v>-14031.712079999999</v>
      </c>
      <c r="CY83" s="38"/>
      <c r="CZ83" s="38">
        <f>VLOOKUP($C83,Segment!$AK$152:$AP$223,5,0)/1000</f>
        <v>0</v>
      </c>
      <c r="DA83" s="38">
        <f>VLOOKUP($C83,Segment!$I$229:$N$300,5,0)/1000</f>
        <v>0</v>
      </c>
      <c r="DB83" s="38">
        <f>VLOOKUP($C83,Segment!$P$229:$U$300,5,0)/1000</f>
        <v>0</v>
      </c>
      <c r="DC83" s="38">
        <f>VLOOKUP($C83,Segment!$AD$229:$AI$300,5,0)/1000</f>
        <v>0</v>
      </c>
      <c r="DD83" s="38">
        <f>VLOOKUP($C83,Segment!$AK$229:$AP$300,5,0)/1000</f>
        <v>-246.33059</v>
      </c>
      <c r="DE83" s="38">
        <f>VLOOKUP($C83,Segment!$I$306:$N$377,5,0)/1000</f>
        <v>-734.13305999999989</v>
      </c>
      <c r="DF83" s="38">
        <f>VLOOKUP($C83,Segment!$P$306:$U$377,5,0)/1000</f>
        <v>-646.95793000000026</v>
      </c>
      <c r="DG83" s="38">
        <f>VLOOKUP($C83,Segment!$AD$306:$AI$377,5,0)/1000</f>
        <v>-685.75511999999992</v>
      </c>
      <c r="DH83" s="38">
        <f>VLOOKUP($C83,Segment!$AK$306:$AP$377,5,0)/1000</f>
        <v>-1193.8112999999998</v>
      </c>
      <c r="DI83" s="38">
        <f>VLOOKUP($C83,Segment!$I$383:$N$454,5,0)/1000</f>
        <v>-879.03608999999994</v>
      </c>
      <c r="DJ83" s="38">
        <f>VLOOKUP($C83,Segment!$P$383:$U$454,5,0)/1000</f>
        <v>-793.04721000000006</v>
      </c>
      <c r="DK83" s="38">
        <f>VLOOKUP($C83,Segment!$AD$383:$AI$454,5,0)/1000</f>
        <v>-828.19222000000002</v>
      </c>
      <c r="DL83" s="38">
        <f>VLOOKUP($C83,Segment!$AK$383:$AP$454,5,0)/1000</f>
        <v>-825.92453</v>
      </c>
      <c r="DM83" s="38">
        <f>VLOOKUP($C83,Segment!$I$460:$N$531,5,0)/1000</f>
        <v>-409.01167000000004</v>
      </c>
      <c r="DN83" s="38">
        <f>VLOOKUP($C83,Segment!$P$460:$U$531,5,0)/1000</f>
        <v>-381.88106999999997</v>
      </c>
      <c r="DO83" s="38">
        <f>VLOOKUP($C83,Segment!$AD$460:$AI$531,5,0)/1000</f>
        <v>-1233.4073600000002</v>
      </c>
      <c r="DP83" s="38">
        <f>VLOOKUP($C83,Segment!$AK$460:$AP$531,5,0)/1000</f>
        <v>-1332.0386599999995</v>
      </c>
    </row>
    <row r="84" spans="2:120" x14ac:dyDescent="0.3">
      <c r="C84" s="39" t="s">
        <v>65</v>
      </c>
      <c r="D84" s="109"/>
      <c r="E84" s="40"/>
      <c r="F84" s="40">
        <f t="shared" ref="F84:M84" si="244">-F83/F82</f>
        <v>0.27151390674453907</v>
      </c>
      <c r="G84" s="40">
        <f t="shared" si="244"/>
        <v>0.25414202164818034</v>
      </c>
      <c r="H84" s="40">
        <f t="shared" si="244"/>
        <v>0.25694482915921696</v>
      </c>
      <c r="I84" s="40">
        <f t="shared" si="244"/>
        <v>0.3030025432894759</v>
      </c>
      <c r="J84" s="40">
        <f t="shared" si="244"/>
        <v>0.29227138629775379</v>
      </c>
      <c r="K84" s="40">
        <f t="shared" si="244"/>
        <v>0.27267656843301502</v>
      </c>
      <c r="L84" s="40">
        <f t="shared" si="244"/>
        <v>0.326517888770333</v>
      </c>
      <c r="M84" s="40">
        <f t="shared" si="244"/>
        <v>0.33250712924511044</v>
      </c>
      <c r="N84" s="40">
        <f t="shared" ref="N84:V84" si="245">-N83/N82</f>
        <v>0.26699406951908644</v>
      </c>
      <c r="O84" s="40">
        <f t="shared" si="245"/>
        <v>0.32662892985651781</v>
      </c>
      <c r="P84" s="40">
        <f t="shared" si="245"/>
        <v>0.28096005692073112</v>
      </c>
      <c r="Q84" s="40">
        <f t="shared" si="245"/>
        <v>0.30242600938436354</v>
      </c>
      <c r="R84" s="40">
        <f t="shared" si="245"/>
        <v>0.25092655950301868</v>
      </c>
      <c r="S84" s="40">
        <f t="shared" si="245"/>
        <v>0.38929303847994168</v>
      </c>
      <c r="T84" s="40">
        <f t="shared" si="245"/>
        <v>0.25307420062740971</v>
      </c>
      <c r="U84" s="40">
        <f t="shared" si="245"/>
        <v>0.29359648374207459</v>
      </c>
      <c r="V84" s="40">
        <f t="shared" si="245"/>
        <v>0.22522240281632322</v>
      </c>
      <c r="W84" s="169"/>
      <c r="Y84" s="40"/>
      <c r="Z84" s="40">
        <f t="shared" ref="Z84:AG84" si="246">-Z83/Z82</f>
        <v>0.26007348966394389</v>
      </c>
      <c r="AA84" s="40">
        <f t="shared" si="246"/>
        <v>0.2739405733193182</v>
      </c>
      <c r="AB84" s="40">
        <f t="shared" si="246"/>
        <v>0.26971630059840801</v>
      </c>
      <c r="AC84" s="40">
        <f t="shared" si="246"/>
        <v>0.30955058255323853</v>
      </c>
      <c r="AD84" s="40">
        <f t="shared" si="246"/>
        <v>0.26450628357476275</v>
      </c>
      <c r="AE84" s="40">
        <f t="shared" si="246"/>
        <v>0.27117484328639357</v>
      </c>
      <c r="AF84" s="40">
        <f t="shared" si="246"/>
        <v>0.32256654132571133</v>
      </c>
      <c r="AG84" s="40">
        <f t="shared" si="246"/>
        <v>0.35588452235773138</v>
      </c>
      <c r="AH84" s="40">
        <f t="shared" ref="AH84:AP84" si="247">-AH83/AH82</f>
        <v>0.25072057843949708</v>
      </c>
      <c r="AI84" s="40">
        <f t="shared" si="247"/>
        <v>0.33031576182191752</v>
      </c>
      <c r="AJ84" s="40">
        <f t="shared" si="247"/>
        <v>0.26433479518089692</v>
      </c>
      <c r="AK84" s="40">
        <f t="shared" si="247"/>
        <v>0.28832705589813112</v>
      </c>
      <c r="AL84" s="40">
        <f t="shared" si="247"/>
        <v>0.23993566665054328</v>
      </c>
      <c r="AM84" s="40">
        <f t="shared" si="247"/>
        <v>0.47866950432342364</v>
      </c>
      <c r="AN84" s="40">
        <f t="shared" si="247"/>
        <v>0.32382965325729562</v>
      </c>
      <c r="AO84" s="40">
        <f t="shared" si="247"/>
        <v>0.27609779675917734</v>
      </c>
      <c r="AP84" s="40">
        <f t="shared" si="247"/>
        <v>0.210627268706333</v>
      </c>
      <c r="AQ84" s="169"/>
      <c r="AS84" s="40"/>
      <c r="AT84" s="40">
        <f t="shared" ref="AT84:BA84" si="248">-AT83/AT82</f>
        <v>-0.26577860885044313</v>
      </c>
      <c r="AU84" s="40">
        <f t="shared" si="248"/>
        <v>0.12295761543007079</v>
      </c>
      <c r="AV84" s="40">
        <f t="shared" si="248"/>
        <v>0.19434061439719827</v>
      </c>
      <c r="AW84" s="40">
        <f t="shared" si="248"/>
        <v>0.36014223893175523</v>
      </c>
      <c r="AX84" s="40">
        <f t="shared" si="248"/>
        <v>3.1573630291108046</v>
      </c>
      <c r="AY84" s="40">
        <f t="shared" si="248"/>
        <v>0.21988065043136218</v>
      </c>
      <c r="AZ84" s="40">
        <f t="shared" si="248"/>
        <v>0.27670274816826906</v>
      </c>
      <c r="BA84" s="40">
        <f t="shared" si="248"/>
        <v>0.15195543898919281</v>
      </c>
      <c r="BB84" s="40">
        <f t="shared" ref="BB84:BJ84" si="249">-BB83/BB82</f>
        <v>0.39907673180692599</v>
      </c>
      <c r="BC84" s="40">
        <f t="shared" si="249"/>
        <v>0.21417895585630398</v>
      </c>
      <c r="BD84" s="40">
        <f t="shared" si="249"/>
        <v>0.28897194065827803</v>
      </c>
      <c r="BE84" s="40">
        <f t="shared" si="249"/>
        <v>0.319989061790313</v>
      </c>
      <c r="BF84" s="40">
        <f t="shared" si="249"/>
        <v>0.29041389711916571</v>
      </c>
      <c r="BG84" s="40">
        <f t="shared" si="249"/>
        <v>0.25152862493838296</v>
      </c>
      <c r="BH84" s="40">
        <f t="shared" si="249"/>
        <v>0.10112154402819366</v>
      </c>
      <c r="BI84" s="40">
        <f t="shared" si="249"/>
        <v>0.43392115862838782</v>
      </c>
      <c r="BJ84" s="40">
        <f t="shared" si="249"/>
        <v>0.27852857669318937</v>
      </c>
      <c r="BL84" s="40"/>
      <c r="BM84" s="40">
        <f t="shared" ref="BM84:BT84" si="250">-BM83/BM82</f>
        <v>0.14785920190274396</v>
      </c>
      <c r="BN84" s="40">
        <f t="shared" si="250"/>
        <v>2.2491453394373029E-2</v>
      </c>
      <c r="BO84" s="40">
        <f t="shared" si="250"/>
        <v>3.8152590728976754E-2</v>
      </c>
      <c r="BP84" s="40">
        <f t="shared" si="250"/>
        <v>0.16390271523024519</v>
      </c>
      <c r="BQ84" s="40">
        <f t="shared" si="250"/>
        <v>0.19940738648184672</v>
      </c>
      <c r="BR84" s="40">
        <f t="shared" si="250"/>
        <v>0.19490366677468407</v>
      </c>
      <c r="BS84" s="40">
        <f t="shared" si="250"/>
        <v>0.17733962681061741</v>
      </c>
      <c r="BT84" s="40">
        <f t="shared" si="250"/>
        <v>0.17430583117156501</v>
      </c>
      <c r="BU84" s="40">
        <f t="shared" ref="BU84:CC84" si="251">-BU83/BU82</f>
        <v>9.1902057047174232E-2</v>
      </c>
      <c r="BV84" s="40">
        <f t="shared" si="251"/>
        <v>1.1043240008065855E-2</v>
      </c>
      <c r="BW84" s="40">
        <f t="shared" si="251"/>
        <v>-3.3952021199643015E-3</v>
      </c>
      <c r="BX84" s="40">
        <f t="shared" si="251"/>
        <v>2.4836814931324655E-2</v>
      </c>
      <c r="BY84" s="40">
        <f t="shared" si="251"/>
        <v>0.24292832447875146</v>
      </c>
      <c r="BZ84" s="40">
        <f t="shared" si="251"/>
        <v>0.22870627526949899</v>
      </c>
      <c r="CA84" s="40">
        <f t="shared" si="251"/>
        <v>0.23120330608713441</v>
      </c>
      <c r="CB84" s="40">
        <f t="shared" si="251"/>
        <v>0.19689407137648318</v>
      </c>
      <c r="CC84" s="40">
        <f t="shared" si="251"/>
        <v>0.16926717268069255</v>
      </c>
      <c r="CE84" s="40"/>
      <c r="CF84" s="40">
        <f t="shared" ref="CF84:CM84" si="252">-CF83/CF82</f>
        <v>4.2189068890141996</v>
      </c>
      <c r="CG84" s="40">
        <f t="shared" si="252"/>
        <v>0.10721319312605183</v>
      </c>
      <c r="CH84" s="40">
        <f t="shared" si="252"/>
        <v>0.13176314542742515</v>
      </c>
      <c r="CI84" s="40">
        <f t="shared" si="252"/>
        <v>0.24264248947713246</v>
      </c>
      <c r="CJ84" s="40">
        <f t="shared" si="252"/>
        <v>0.53697837688708749</v>
      </c>
      <c r="CK84" s="40">
        <f t="shared" si="252"/>
        <v>0.21516492616400465</v>
      </c>
      <c r="CL84" s="40">
        <f t="shared" si="252"/>
        <v>0.25984014864080068</v>
      </c>
      <c r="CM84" s="40">
        <f t="shared" si="252"/>
        <v>0.15597167282560512</v>
      </c>
      <c r="CN84" s="40">
        <f t="shared" ref="CN84:CV84" si="253">-CN83/CN82</f>
        <v>0.30545031773341291</v>
      </c>
      <c r="CO84" s="40">
        <f t="shared" si="253"/>
        <v>0.21251295298161163</v>
      </c>
      <c r="CP84" s="40">
        <f t="shared" si="253"/>
        <v>0.32611475547587249</v>
      </c>
      <c r="CQ84" s="40">
        <f t="shared" si="253"/>
        <v>0.28110000794351209</v>
      </c>
      <c r="CR84" s="40">
        <f t="shared" si="253"/>
        <v>0.26940780445203949</v>
      </c>
      <c r="CS84" s="40">
        <f t="shared" si="253"/>
        <v>0.24826049009284423</v>
      </c>
      <c r="CT84" s="40">
        <f t="shared" si="253"/>
        <v>0.11313792196333182</v>
      </c>
      <c r="CU84" s="40">
        <f t="shared" si="253"/>
        <v>0.36039285071356969</v>
      </c>
      <c r="CV84" s="40">
        <f t="shared" si="253"/>
        <v>0.2608664143877989</v>
      </c>
      <c r="CW84" s="169"/>
      <c r="CY84" s="40"/>
      <c r="CZ84" s="40" t="e">
        <f t="shared" ref="CZ84:DG84" si="254">-CZ83/CZ82</f>
        <v>#DIV/0!</v>
      </c>
      <c r="DA84" s="40" t="e">
        <f t="shared" si="254"/>
        <v>#DIV/0!</v>
      </c>
      <c r="DB84" s="40">
        <f t="shared" si="254"/>
        <v>0</v>
      </c>
      <c r="DC84" s="40">
        <f t="shared" si="254"/>
        <v>0</v>
      </c>
      <c r="DD84" s="40">
        <f t="shared" si="254"/>
        <v>-1.98890532599739E-2</v>
      </c>
      <c r="DE84" s="40">
        <f t="shared" si="254"/>
        <v>-0.1599508328273169</v>
      </c>
      <c r="DF84" s="40">
        <f t="shared" si="254"/>
        <v>-0.19983520069562896</v>
      </c>
      <c r="DG84" s="40">
        <f t="shared" si="254"/>
        <v>-0.18826161572458089</v>
      </c>
      <c r="DH84" s="40">
        <f t="shared" ref="DH84:DP84" si="255">-DH83/DH82</f>
        <v>-0.14254908602162242</v>
      </c>
      <c r="DI84" s="40">
        <f t="shared" si="255"/>
        <v>-9.9079971965787994E-2</v>
      </c>
      <c r="DJ84" s="40">
        <f t="shared" si="255"/>
        <v>-0.12119067871648082</v>
      </c>
      <c r="DK84" s="40">
        <f t="shared" si="255"/>
        <v>-0.10497468306544577</v>
      </c>
      <c r="DL84" s="40">
        <f t="shared" si="255"/>
        <v>-0.17802974379367276</v>
      </c>
      <c r="DM84" s="40">
        <f t="shared" si="255"/>
        <v>-3.9626282617733065E-2</v>
      </c>
      <c r="DN84" s="40">
        <f t="shared" si="255"/>
        <v>-5.1603104098594824E-2</v>
      </c>
      <c r="DO84" s="40">
        <f t="shared" si="255"/>
        <v>-0.45123741807308648</v>
      </c>
      <c r="DP84" s="40">
        <f t="shared" si="255"/>
        <v>-0.24123160322903589</v>
      </c>
    </row>
    <row r="85" spans="2:120" s="45" customFormat="1" x14ac:dyDescent="0.3">
      <c r="C85" s="86" t="s">
        <v>7</v>
      </c>
      <c r="D85" s="118"/>
      <c r="E85" s="87"/>
      <c r="F85" s="87">
        <f t="shared" ref="F85:M85" si="256">SUM(F82:F83)</f>
        <v>165168.95084089186</v>
      </c>
      <c r="G85" s="87">
        <f t="shared" si="256"/>
        <v>114776.17890629996</v>
      </c>
      <c r="H85" s="87">
        <f t="shared" si="256"/>
        <v>112979.35892771973</v>
      </c>
      <c r="I85" s="87">
        <f t="shared" si="256"/>
        <v>114168.13081549419</v>
      </c>
      <c r="J85" s="87">
        <f t="shared" si="256"/>
        <v>136136.90412294614</v>
      </c>
      <c r="K85" s="87">
        <f t="shared" si="256"/>
        <v>160410.47929785983</v>
      </c>
      <c r="L85" s="87">
        <f t="shared" si="256"/>
        <v>108139.31388534105</v>
      </c>
      <c r="M85" s="87">
        <f t="shared" si="256"/>
        <v>81996.778507392097</v>
      </c>
      <c r="N85" s="87">
        <f t="shared" ref="N85:V85" si="257">SUM(N82:N83)</f>
        <v>178236.37251445797</v>
      </c>
      <c r="O85" s="87">
        <f t="shared" si="257"/>
        <v>144343.17242771538</v>
      </c>
      <c r="P85" s="87">
        <f t="shared" si="257"/>
        <v>177965.42980832464</v>
      </c>
      <c r="Q85" s="87">
        <f t="shared" si="257"/>
        <v>141000.10122868081</v>
      </c>
      <c r="R85" s="87">
        <f t="shared" si="257"/>
        <v>264759.62302712898</v>
      </c>
      <c r="S85" s="87">
        <f t="shared" si="257"/>
        <v>56609.517892268814</v>
      </c>
      <c r="T85" s="87">
        <f t="shared" si="257"/>
        <v>161975.36499242601</v>
      </c>
      <c r="U85" s="87">
        <f t="shared" si="257"/>
        <v>235468.49509335894</v>
      </c>
      <c r="V85" s="87">
        <f t="shared" si="257"/>
        <v>275901.78643550904</v>
      </c>
      <c r="W85" s="178">
        <f t="shared" si="215"/>
        <v>4.2084073398300559E-2</v>
      </c>
      <c r="Y85" s="87"/>
      <c r="Z85" s="87">
        <f t="shared" ref="Z85:AG85" si="258">SUM(Z82:Z83)</f>
        <v>167278.0169405776</v>
      </c>
      <c r="AA85" s="87">
        <f t="shared" si="258"/>
        <v>98461.824906299968</v>
      </c>
      <c r="AB85" s="87">
        <f t="shared" si="258"/>
        <v>100668.93572651976</v>
      </c>
      <c r="AC85" s="87">
        <f t="shared" si="258"/>
        <v>102346.43972718233</v>
      </c>
      <c r="AD85" s="87">
        <f t="shared" si="258"/>
        <v>145678.18831245808</v>
      </c>
      <c r="AE85" s="87">
        <f t="shared" si="258"/>
        <v>142648.15191544004</v>
      </c>
      <c r="AF85" s="87">
        <f t="shared" si="258"/>
        <v>99553.737342419947</v>
      </c>
      <c r="AG85" s="87">
        <f t="shared" si="258"/>
        <v>65832.297640424134</v>
      </c>
      <c r="AH85" s="87">
        <f t="shared" ref="AH85:AP85" si="259">SUM(AH82:AH83)</f>
        <v>179384.73201145302</v>
      </c>
      <c r="AI85" s="87">
        <f t="shared" si="259"/>
        <v>123344.83814031618</v>
      </c>
      <c r="AJ85" s="87">
        <f t="shared" si="259"/>
        <v>167936.76825940551</v>
      </c>
      <c r="AK85" s="87">
        <f t="shared" si="259"/>
        <v>124538.74743914758</v>
      </c>
      <c r="AL85" s="87">
        <f t="shared" si="259"/>
        <v>221992.86671998573</v>
      </c>
      <c r="AM85" s="87">
        <f t="shared" si="259"/>
        <v>22856.03524558762</v>
      </c>
      <c r="AN85" s="87">
        <f t="shared" si="259"/>
        <v>93476.548090718483</v>
      </c>
      <c r="AO85" s="87">
        <f t="shared" si="259"/>
        <v>210261.86470596152</v>
      </c>
      <c r="AP85" s="87">
        <f t="shared" si="259"/>
        <v>242998.48270828411</v>
      </c>
      <c r="AQ85" s="178">
        <f>AP85/AL85-1</f>
        <v>9.4622932253017655E-2</v>
      </c>
      <c r="AR85" s="49"/>
      <c r="AS85" s="87"/>
      <c r="AT85" s="87">
        <f t="shared" ref="AT85:BA85" si="260">SUM(AT82:AT83)</f>
        <v>-8162.5430996857194</v>
      </c>
      <c r="AU85" s="87">
        <f t="shared" si="260"/>
        <v>13515.05300000002</v>
      </c>
      <c r="AV85" s="87">
        <f t="shared" si="260"/>
        <v>6917.293999999988</v>
      </c>
      <c r="AW85" s="87">
        <f t="shared" si="260"/>
        <v>3964.2632035118991</v>
      </c>
      <c r="AX85" s="87">
        <f t="shared" si="260"/>
        <v>-1643.2112035119167</v>
      </c>
      <c r="AY85" s="87">
        <f t="shared" si="260"/>
        <v>18614.937991413</v>
      </c>
      <c r="AZ85" s="87">
        <f t="shared" si="260"/>
        <v>10117.866106478792</v>
      </c>
      <c r="BA85" s="87">
        <f t="shared" si="260"/>
        <v>16890.355749259586</v>
      </c>
      <c r="BB85" s="87">
        <f t="shared" ref="BB85:BJ85" si="261">SUM(BB82:BB83)</f>
        <v>5064.6359708041946</v>
      </c>
      <c r="BC85" s="87">
        <f t="shared" si="261"/>
        <v>30432.647789618451</v>
      </c>
      <c r="BD85" s="87">
        <f t="shared" si="261"/>
        <v>20650.38774897781</v>
      </c>
      <c r="BE85" s="87">
        <f t="shared" si="261"/>
        <v>20678.827956424335</v>
      </c>
      <c r="BF85" s="87">
        <f t="shared" si="261"/>
        <v>26122.365098032715</v>
      </c>
      <c r="BG85" s="87">
        <f t="shared" si="261"/>
        <v>37948.43223627007</v>
      </c>
      <c r="BH85" s="87">
        <f t="shared" si="261"/>
        <v>70172.623729413797</v>
      </c>
      <c r="BI85" s="87">
        <f t="shared" si="261"/>
        <v>17810.150589945544</v>
      </c>
      <c r="BJ85" s="87">
        <f t="shared" si="261"/>
        <v>32533.945231771897</v>
      </c>
      <c r="BK85" s="49"/>
      <c r="BL85" s="87"/>
      <c r="BM85" s="87">
        <f t="shared" ref="BM85:BT85" si="262">SUM(BM82:BM83)</f>
        <v>6053.4769999999999</v>
      </c>
      <c r="BN85" s="87">
        <f t="shared" si="262"/>
        <v>2799.3010000000008</v>
      </c>
      <c r="BO85" s="87">
        <f t="shared" si="262"/>
        <v>5520.5725050000019</v>
      </c>
      <c r="BP85" s="87">
        <f t="shared" si="262"/>
        <v>7729.9845809999943</v>
      </c>
      <c r="BQ85" s="87">
        <f t="shared" si="262"/>
        <v>4733.4921739999945</v>
      </c>
      <c r="BR85" s="87">
        <f t="shared" si="262"/>
        <v>4471.2644800000016</v>
      </c>
      <c r="BS85" s="87">
        <f t="shared" si="262"/>
        <v>2352.1256700000058</v>
      </c>
      <c r="BT85" s="87">
        <f t="shared" si="262"/>
        <v>3602.4449599999989</v>
      </c>
      <c r="BU85" s="87">
        <f t="shared" ref="BU85:CC85" si="263">SUM(BU82:BU83)</f>
        <v>3355.5542000000028</v>
      </c>
      <c r="BV85" s="87">
        <f t="shared" si="263"/>
        <v>316.70824300000282</v>
      </c>
      <c r="BW85" s="87">
        <f t="shared" si="263"/>
        <v>-3284.8819060000123</v>
      </c>
      <c r="BX85" s="87">
        <f t="shared" si="263"/>
        <v>4500.1652590000194</v>
      </c>
      <c r="BY85" s="87">
        <f t="shared" si="263"/>
        <v>22109.565969999996</v>
      </c>
      <c r="BZ85" s="87">
        <f t="shared" si="263"/>
        <v>6535.7890499999903</v>
      </c>
      <c r="CA85" s="87">
        <f t="shared" si="263"/>
        <v>6108.4249899999922</v>
      </c>
      <c r="CB85" s="87">
        <f t="shared" si="263"/>
        <v>11363.27608</v>
      </c>
      <c r="CC85" s="87">
        <f t="shared" si="263"/>
        <v>7223.2220000000234</v>
      </c>
      <c r="CD85" s="49"/>
      <c r="CE85" s="87"/>
      <c r="CF85" s="87">
        <f t="shared" ref="CF85:CM85" si="264">SUM(CF82:CF83)</f>
        <v>-2109.0660996857205</v>
      </c>
      <c r="CG85" s="87">
        <f t="shared" si="264"/>
        <v>16314.354000000018</v>
      </c>
      <c r="CH85" s="87">
        <f t="shared" si="264"/>
        <v>12437.866504999993</v>
      </c>
      <c r="CI85" s="87">
        <f t="shared" si="264"/>
        <v>11694.247784511897</v>
      </c>
      <c r="CJ85" s="87">
        <f t="shared" si="264"/>
        <v>3090.2809704880815</v>
      </c>
      <c r="CK85" s="87">
        <f t="shared" si="264"/>
        <v>23086.202471413009</v>
      </c>
      <c r="CL85" s="87">
        <f t="shared" si="264"/>
        <v>12469.991776478804</v>
      </c>
      <c r="CM85" s="87">
        <f t="shared" si="264"/>
        <v>20492.800709259598</v>
      </c>
      <c r="CN85" s="87">
        <f t="shared" ref="CN85:CV85" si="265">SUM(CN82:CN83)</f>
        <v>8420.1901708041914</v>
      </c>
      <c r="CO85" s="87">
        <f t="shared" si="265"/>
        <v>30749.356032618452</v>
      </c>
      <c r="CP85" s="87">
        <f t="shared" si="265"/>
        <v>17365.505842977789</v>
      </c>
      <c r="CQ85" s="87">
        <f t="shared" si="265"/>
        <v>25178.993215424343</v>
      </c>
      <c r="CR85" s="87">
        <f t="shared" si="265"/>
        <v>48231.931068032711</v>
      </c>
      <c r="CS85" s="87">
        <f t="shared" si="265"/>
        <v>44484.221286270084</v>
      </c>
      <c r="CT85" s="87">
        <f t="shared" si="265"/>
        <v>76281.048719413782</v>
      </c>
      <c r="CU85" s="87">
        <f t="shared" si="265"/>
        <v>29173.426669945529</v>
      </c>
      <c r="CV85" s="87">
        <f t="shared" si="265"/>
        <v>39757.167231771935</v>
      </c>
      <c r="CW85" s="178">
        <f>CV85/CR85-1</f>
        <v>-0.17570857414576346</v>
      </c>
      <c r="CX85" s="49"/>
      <c r="CY85" s="87"/>
      <c r="CZ85" s="87">
        <f t="shared" ref="CZ85:DG85" si="266">SUM(CZ82:CZ83)</f>
        <v>0</v>
      </c>
      <c r="DA85" s="87">
        <f t="shared" si="266"/>
        <v>0</v>
      </c>
      <c r="DB85" s="87">
        <f t="shared" si="266"/>
        <v>-127.44330380000001</v>
      </c>
      <c r="DC85" s="87">
        <f t="shared" si="266"/>
        <v>127.44330380000001</v>
      </c>
      <c r="DD85" s="87">
        <f t="shared" si="266"/>
        <v>-12631.565160000002</v>
      </c>
      <c r="DE85" s="87">
        <f t="shared" si="266"/>
        <v>-5323.8750889931898</v>
      </c>
      <c r="DF85" s="87">
        <f t="shared" si="266"/>
        <v>-3884.4152335577883</v>
      </c>
      <c r="DG85" s="87">
        <f t="shared" si="266"/>
        <v>-4328.3198422917276</v>
      </c>
      <c r="DH85" s="87">
        <f t="shared" ref="DH85:DP85" si="267">SUM(DH82:DH83)</f>
        <v>-9568.5496677992687</v>
      </c>
      <c r="DI85" s="87">
        <f t="shared" si="267"/>
        <v>-9751.0217452192846</v>
      </c>
      <c r="DJ85" s="87">
        <f t="shared" si="267"/>
        <v>-7336.8442940586847</v>
      </c>
      <c r="DK85" s="87">
        <f t="shared" si="267"/>
        <v>-8717.6394258912442</v>
      </c>
      <c r="DL85" s="87">
        <f t="shared" si="267"/>
        <v>-5465.1747608895294</v>
      </c>
      <c r="DM85" s="87">
        <f t="shared" si="267"/>
        <v>-10730.738639588719</v>
      </c>
      <c r="DN85" s="87">
        <f t="shared" si="267"/>
        <v>-7782.2318177062562</v>
      </c>
      <c r="DO85" s="87">
        <f t="shared" si="267"/>
        <v>-3966.7962825477007</v>
      </c>
      <c r="DP85" s="87">
        <f t="shared" si="267"/>
        <v>-6853.8635045470191</v>
      </c>
    </row>
    <row r="86" spans="2:120" x14ac:dyDescent="0.3">
      <c r="C86" s="36" t="s">
        <v>8</v>
      </c>
      <c r="E86" s="42"/>
      <c r="F86" s="38">
        <f>VLOOKUP($C86,Segment!$AK$152:$AP$223,6,0)/1000</f>
        <v>-6358.3398734885141</v>
      </c>
      <c r="G86" s="38">
        <f>VLOOKUP($C86,Segment!$I$229:$N$300,6,0)/1000</f>
        <v>-5485.7408670832219</v>
      </c>
      <c r="H86" s="38">
        <f>VLOOKUP($C86,Segment!$P$229:$U$300,6,0)/1000</f>
        <v>-3911.2114274809942</v>
      </c>
      <c r="I86" s="38">
        <f>VLOOKUP($C86,Segment!$AD$229:$AI$300,6,0)/1000</f>
        <v>-2189.4009522589809</v>
      </c>
      <c r="J86" s="38">
        <f>VLOOKUP($C86,Segment!$AK$229:$AP$300,6,0)/1000</f>
        <v>-1655.1883191522704</v>
      </c>
      <c r="K86" s="38">
        <f>VLOOKUP($C86,Segment!$I$306:$N$377,6,0)/1000</f>
        <v>-6865.0047593249192</v>
      </c>
      <c r="L86" s="38">
        <f>VLOOKUP($C86,Segment!$P$306:$U$377,6,0)/1000</f>
        <v>-3760.7746674449713</v>
      </c>
      <c r="M86" s="38">
        <f>VLOOKUP($C86,Segment!$AD$306:$AI$377,6,0)/1000</f>
        <v>-3743.3478659963966</v>
      </c>
      <c r="N86" s="38">
        <f>VLOOKUP($C86,Segment!$AK$306:$AP$377,6,0)/1000</f>
        <v>-3700.4546323240602</v>
      </c>
      <c r="O86" s="38">
        <f>VLOOKUP($C86,Segment!$I$383:$N$454,6,0)/1000</f>
        <v>-8431.4741824563007</v>
      </c>
      <c r="P86" s="38">
        <f>VLOOKUP($C86,Segment!$P$383:$U$454,6,0)/1000</f>
        <v>-6086.7756856667338</v>
      </c>
      <c r="Q86" s="38">
        <f>VLOOKUP($C86,Segment!$AD$383:$AI$454,6,0)/1000</f>
        <v>-10746.807153156777</v>
      </c>
      <c r="R86" s="38">
        <f>VLOOKUP($C86,Segment!$AK$383:$AP$454,6,0)/1000</f>
        <v>-10595.188635193825</v>
      </c>
      <c r="S86" s="38">
        <f>VLOOKUP($C86,Segment!$I$460:$N$531,6,0)/1000</f>
        <v>-11254.514184928241</v>
      </c>
      <c r="T86" s="38">
        <f>VLOOKUP($C86,Segment!$P$460:$U$531,6,0)/1000</f>
        <v>-19958.890306253481</v>
      </c>
      <c r="U86" s="38">
        <f>VLOOKUP($C86,Segment!$AD$460:$AI$531,6,0)/1000</f>
        <v>-12492.677670597983</v>
      </c>
      <c r="V86" s="38">
        <f>VLOOKUP($C86,Segment!$AK$460:$AP$531,6,0)/1000</f>
        <v>-28581.019376857184</v>
      </c>
      <c r="W86" s="132">
        <f t="shared" si="215"/>
        <v>1.6975470056210407</v>
      </c>
      <c r="Y86" s="38"/>
      <c r="Z86" s="38">
        <f>VLOOKUP($C86,Segment!$AK$152:$AP$223,2,0)/1000</f>
        <v>-6819.8073273885129</v>
      </c>
      <c r="AA86" s="38">
        <f>VLOOKUP($C86,Segment!$I$229:$N$300,2,0)/1000</f>
        <v>-2310.0053065832217</v>
      </c>
      <c r="AB86" s="38">
        <f>VLOOKUP($C86,Segment!$P$229:$U$300,2,0)/1000</f>
        <v>-1953.5288839809946</v>
      </c>
      <c r="AC86" s="38">
        <f>VLOOKUP($C86,Segment!$AD$229:$AI$300,2,0)/1000</f>
        <v>-107.31072315898258</v>
      </c>
      <c r="AD86" s="38">
        <f>VLOOKUP($C86,Segment!$AK$229:$AP$300,2,0)/1000</f>
        <v>-891.2479585602731</v>
      </c>
      <c r="AE86" s="38">
        <f>VLOOKUP($C86,Segment!$I$306:$N$377,2,0)/1000</f>
        <v>-2058.2943542609205</v>
      </c>
      <c r="AF86" s="38">
        <f>VLOOKUP($C86,Segment!$P$306:$U$377,2,0)/1000</f>
        <v>-2418.8985411129715</v>
      </c>
      <c r="AG86" s="38">
        <f>VLOOKUP($C86,Segment!$AD$306:$AI$377,2,0)/1000</f>
        <v>-36.546765992394647</v>
      </c>
      <c r="AH86" s="38">
        <f>VLOOKUP($C86,Segment!$AK$306:$AP$377,2,0)/1000</f>
        <v>-2596.0623111920618</v>
      </c>
      <c r="AI86" s="38">
        <f>VLOOKUP($C86,Segment!$I$383:$N$454,2,0)/1000</f>
        <v>-2391.1368732643014</v>
      </c>
      <c r="AJ86" s="38">
        <f>VLOOKUP($C86,Segment!$P$383:$U$454,2,0)/1000</f>
        <v>-2220.6382803867355</v>
      </c>
      <c r="AK86" s="38">
        <f>VLOOKUP($C86,Segment!$AD$383:$AI$454,2,0)/1000</f>
        <v>-6150.1766241967744</v>
      </c>
      <c r="AL86" s="38">
        <f>VLOOKUP($C86,Segment!$AK$383:$AP$454,2,0)/1000</f>
        <v>-2131.2649149218259</v>
      </c>
      <c r="AM86" s="38">
        <f>VLOOKUP($C86,Segment!$I$460:$N$531,2,0)/1000</f>
        <v>-2618.208730020242</v>
      </c>
      <c r="AN86" s="38">
        <f>VLOOKUP($C86,Segment!$P$460:$U$531,2,0)/1000</f>
        <v>-5145.4815799174812</v>
      </c>
      <c r="AO86" s="38">
        <f>VLOOKUP($C86,Segment!$AD$460:$AI$531,2,0)/1000</f>
        <v>-6301.3127848059885</v>
      </c>
      <c r="AP86" s="38">
        <f>VLOOKUP($C86,Segment!$AK$460:$AP$531,2,0)/1000</f>
        <v>-22347.276554393178</v>
      </c>
      <c r="AQ86" s="132">
        <f>AP86/AL86-1</f>
        <v>9.4854522766884042</v>
      </c>
      <c r="AS86" s="38"/>
      <c r="AT86" s="38">
        <f>VLOOKUP($C86,Segment!$AK$152:$AP$223,3,0)/1000</f>
        <v>1671.5628538999995</v>
      </c>
      <c r="AU86" s="38">
        <f>VLOOKUP($C86,Segment!$I$229:$N$300,3,0)/1000</f>
        <v>-2616.4753605000001</v>
      </c>
      <c r="AV86" s="38">
        <f>VLOOKUP($C86,Segment!$P$229:$U$300,3,0)/1000</f>
        <v>-854.16804249999996</v>
      </c>
      <c r="AW86" s="38">
        <f>VLOOKUP($C86,Segment!$AD$229:$AI$300,3,0)/1000</f>
        <v>-536.6933128999998</v>
      </c>
      <c r="AX86" s="38">
        <f>VLOOKUP($C86,Segment!$AK$229:$AP$300,3,0)/1000</f>
        <v>182.24484110000031</v>
      </c>
      <c r="AY86" s="38">
        <f>VLOOKUP($C86,Segment!$I$306:$N$377,3,0)/1000</f>
        <v>-3912.0015512999998</v>
      </c>
      <c r="AZ86" s="38">
        <f>VLOOKUP($C86,Segment!$P$306:$U$377,3,0)/1000</f>
        <v>-1004.4882526999996</v>
      </c>
      <c r="BA86" s="38">
        <f>VLOOKUP($C86,Segment!$AD$306:$AI$377,3,0)/1000</f>
        <v>-3069.7667512000007</v>
      </c>
      <c r="BB86" s="38">
        <f>VLOOKUP($C86,Segment!$AK$306:$AP$377,3,0)/1000</f>
        <v>-518.1002847999996</v>
      </c>
      <c r="BC86" s="38">
        <f>VLOOKUP($C86,Segment!$I$383:$N$454,3,0)/1000</f>
        <v>-6063.2081864000002</v>
      </c>
      <c r="BD86" s="38">
        <f>VLOOKUP($C86,Segment!$P$383:$U$454,3,0)/1000</f>
        <v>-4435.1550648000002</v>
      </c>
      <c r="BE86" s="38">
        <f>VLOOKUP($C86,Segment!$AD$383:$AI$454,3,0)/1000</f>
        <v>-3616.4726043999995</v>
      </c>
      <c r="BF86" s="38">
        <f>VLOOKUP($C86,Segment!$AK$383:$AP$454,3,0)/1000</f>
        <v>-3854.6189314000012</v>
      </c>
      <c r="BG86" s="38">
        <f>VLOOKUP($C86,Segment!$I$460:$N$531,3,0)/1000</f>
        <v>-7159.2730469000007</v>
      </c>
      <c r="BH86" s="38">
        <f>VLOOKUP($C86,Segment!$P$460:$U$531,3,0)/1000</f>
        <v>-13750.0066224</v>
      </c>
      <c r="BI86" s="38">
        <f>VLOOKUP($C86,Segment!$AD$460:$AI$531,3,0)/1000</f>
        <v>-3922.2559669999964</v>
      </c>
      <c r="BJ86" s="38">
        <f>VLOOKUP($C86,Segment!$AK$460:$AP$531,3,0)/1000</f>
        <v>-4875.6986574000011</v>
      </c>
      <c r="BL86" s="38"/>
      <c r="BM86" s="38">
        <f>VLOOKUP($C86,Segment!$AK$152:$AP$223,4,0)/1000</f>
        <v>-1210.0953999999999</v>
      </c>
      <c r="BN86" s="38">
        <f>VLOOKUP($C86,Segment!$I$229:$N$300,4,0)/1000</f>
        <v>-559.26019999999983</v>
      </c>
      <c r="BO86" s="38">
        <f>VLOOKUP($C86,Segment!$P$229:$U$300,4,0)/1000</f>
        <v>-1103.5145009999997</v>
      </c>
      <c r="BP86" s="38">
        <f>VLOOKUP($C86,Segment!$AD$229:$AI$300,4,0)/1000</f>
        <v>-1545.3969161999985</v>
      </c>
      <c r="BQ86" s="38">
        <f>VLOOKUP($C86,Segment!$AK$229:$AP$300,4,0)/1000</f>
        <v>-946.09843479999756</v>
      </c>
      <c r="BR86" s="38">
        <f>VLOOKUP($C86,Segment!$I$306:$N$377,4,0)/1000</f>
        <v>-893.65289599999983</v>
      </c>
      <c r="BS86" s="38">
        <f>VLOOKUP($C86,Segment!$P$306:$U$377,4,0)/1000</f>
        <v>-336.45522200000067</v>
      </c>
      <c r="BT86" s="38">
        <f>VLOOKUP($C86,Segment!$AD$306:$AI$377,4,0)/1000</f>
        <v>-636.05277400000114</v>
      </c>
      <c r="BU86" s="38">
        <f>VLOOKUP($C86,Segment!$AK$306:$AP$377,4,0)/1000</f>
        <v>-585.32517399999892</v>
      </c>
      <c r="BV86" s="38">
        <f>VLOOKUP($C86,Segment!$I$383:$N$454,4,0)/1000</f>
        <v>23.779001400000016</v>
      </c>
      <c r="BW86" s="38">
        <f>VLOOKUP($C86,Segment!$P$383:$U$454,4,0)/1000</f>
        <v>569.85573120000197</v>
      </c>
      <c r="BX86" s="38">
        <f>VLOOKUP($C86,Segment!$AD$383:$AI$454,4,0)/1000</f>
        <v>-979.29883580000421</v>
      </c>
      <c r="BY86" s="38">
        <f>VLOOKUP($C86,Segment!$AK$383:$AP$454,4,0)/1000</f>
        <v>-4608.3510339999984</v>
      </c>
      <c r="BZ86" s="38">
        <f>VLOOKUP($C86,Segment!$I$460:$N$531,4,0)/1000</f>
        <v>-1476.2814859999985</v>
      </c>
      <c r="CA86" s="38">
        <f>VLOOKUP($C86,Segment!$P$460:$U$531,4,0)/1000</f>
        <v>-1062.5165959999988</v>
      </c>
      <c r="CB86" s="38">
        <f>VLOOKUP($C86,Segment!$AD$460:$AI$531,4,0)/1000</f>
        <v>-2268.0609619999977</v>
      </c>
      <c r="CC86" s="38">
        <f>VLOOKUP($C86,Segment!$AK$460:$AP$531,4,0)/1000</f>
        <v>-1356.8712000000048</v>
      </c>
      <c r="CE86" s="38"/>
      <c r="CF86" s="38">
        <f t="shared" ref="CF86:CV86" si="268">AT86+BM86</f>
        <v>461.46745389999955</v>
      </c>
      <c r="CG86" s="38">
        <f t="shared" si="268"/>
        <v>-3175.7355604999998</v>
      </c>
      <c r="CH86" s="38">
        <f t="shared" si="268"/>
        <v>-1957.6825434999996</v>
      </c>
      <c r="CI86" s="38">
        <f t="shared" si="268"/>
        <v>-2082.0902290999984</v>
      </c>
      <c r="CJ86" s="38">
        <f t="shared" si="268"/>
        <v>-763.85359369999719</v>
      </c>
      <c r="CK86" s="38">
        <f t="shared" si="268"/>
        <v>-4805.6544472999994</v>
      </c>
      <c r="CL86" s="38">
        <f t="shared" si="268"/>
        <v>-1340.9434747000003</v>
      </c>
      <c r="CM86" s="38">
        <f t="shared" si="268"/>
        <v>-3705.8195252000019</v>
      </c>
      <c r="CN86" s="38">
        <f t="shared" si="268"/>
        <v>-1103.4254587999985</v>
      </c>
      <c r="CO86" s="38">
        <f t="shared" si="268"/>
        <v>-6039.429185</v>
      </c>
      <c r="CP86" s="38">
        <f t="shared" si="268"/>
        <v>-3865.2993335999981</v>
      </c>
      <c r="CQ86" s="38">
        <f t="shared" si="268"/>
        <v>-4595.7714402000038</v>
      </c>
      <c r="CR86" s="38">
        <f t="shared" si="268"/>
        <v>-8462.9699653999996</v>
      </c>
      <c r="CS86" s="38">
        <f t="shared" si="268"/>
        <v>-8635.5545328999997</v>
      </c>
      <c r="CT86" s="38">
        <f t="shared" si="268"/>
        <v>-14812.5232184</v>
      </c>
      <c r="CU86" s="38">
        <f t="shared" si="268"/>
        <v>-6190.3169289999942</v>
      </c>
      <c r="CV86" s="38">
        <f t="shared" si="268"/>
        <v>-6232.5698574000062</v>
      </c>
      <c r="CY86" s="38"/>
      <c r="CZ86" s="38">
        <f>VLOOKUP($C86,Segment!$AK$152:$AP$223,5,0)/1000</f>
        <v>0</v>
      </c>
      <c r="DA86" s="38">
        <f>VLOOKUP($C86,Segment!$I$229:$N$300,5,0)/1000</f>
        <v>0</v>
      </c>
      <c r="DB86" s="38">
        <f>VLOOKUP($C86,Segment!$P$229:$U$300,5,0)/1000</f>
        <v>0</v>
      </c>
      <c r="DC86" s="38">
        <f>VLOOKUP($C86,Segment!$AD$229:$AI$300,5,0)/1000</f>
        <v>0</v>
      </c>
      <c r="DD86" s="38">
        <f>VLOOKUP($C86,Segment!$AK$229:$AP$300,5,0)/1000</f>
        <v>-8.6766891999990436E-2</v>
      </c>
      <c r="DE86" s="38">
        <f>VLOOKUP($C86,Segment!$I$306:$N$377,5,0)/1000</f>
        <v>-1.0559577639998838</v>
      </c>
      <c r="DF86" s="38">
        <f>VLOOKUP($C86,Segment!$P$306:$U$377,5,0)/1000</f>
        <v>-0.93265163199989665</v>
      </c>
      <c r="DG86" s="38">
        <f>VLOOKUP($C86,Segment!$AD$306:$AI$377,5,0)/1000</f>
        <v>-0.98157480399989328</v>
      </c>
      <c r="DH86" s="38">
        <f>VLOOKUP($C86,Segment!$AK$306:$AP$377,5,0)/1000</f>
        <v>-0.96686233199989169</v>
      </c>
      <c r="DI86" s="38">
        <f>VLOOKUP($C86,Segment!$I$383:$N$454,5,0)/1000</f>
        <v>-0.90812419199990047</v>
      </c>
      <c r="DJ86" s="38">
        <f>VLOOKUP($C86,Segment!$P$383:$U$454,5,0)/1000</f>
        <v>-0.83807167999990673</v>
      </c>
      <c r="DK86" s="38">
        <f>VLOOKUP($C86,Segment!$AD$383:$AI$454,5,0)/1000</f>
        <v>-0.85908875999990664</v>
      </c>
      <c r="DL86" s="38">
        <f>VLOOKUP($C86,Segment!$AK$383:$AP$454,5,0)/1000</f>
        <v>-0.95375487199989428</v>
      </c>
      <c r="DM86" s="38">
        <f>VLOOKUP($C86,Segment!$I$460:$N$531,5,0)/1000</f>
        <v>-0.75092200799991737</v>
      </c>
      <c r="DN86" s="38">
        <f>VLOOKUP($C86,Segment!$P$460:$U$531,5,0)/1000</f>
        <v>-0.88550793599990207</v>
      </c>
      <c r="DO86" s="38">
        <f>VLOOKUP($C86,Segment!$AD$460:$AI$531,5,0)/1000</f>
        <v>-1.0479567919998845</v>
      </c>
      <c r="DP86" s="38">
        <f>VLOOKUP($C86,Segment!$AK$460:$AP$531,5,0)/1000</f>
        <v>-1.1729650639998712</v>
      </c>
    </row>
    <row r="87" spans="2:120" x14ac:dyDescent="0.3">
      <c r="C87" s="39" t="s">
        <v>66</v>
      </c>
      <c r="D87" s="109"/>
      <c r="E87" s="40"/>
      <c r="F87" s="40">
        <f t="shared" ref="F87:M87" si="269">-F86/F85</f>
        <v>3.8495975430718435E-2</v>
      </c>
      <c r="G87" s="40">
        <f t="shared" si="269"/>
        <v>4.7795116716349534E-2</v>
      </c>
      <c r="H87" s="40">
        <f t="shared" si="269"/>
        <v>3.4618814132086298E-2</v>
      </c>
      <c r="I87" s="40">
        <f t="shared" si="269"/>
        <v>1.9176988679942976E-2</v>
      </c>
      <c r="J87" s="40">
        <f t="shared" si="269"/>
        <v>1.2158263255769786E-2</v>
      </c>
      <c r="K87" s="40">
        <f t="shared" si="269"/>
        <v>4.2796485549909523E-2</v>
      </c>
      <c r="L87" s="40">
        <f t="shared" si="269"/>
        <v>3.4777127136505416E-2</v>
      </c>
      <c r="M87" s="40">
        <f t="shared" si="269"/>
        <v>4.5652377253564053E-2</v>
      </c>
      <c r="N87" s="40">
        <f t="shared" ref="N87:V87" si="270">-N86/N85</f>
        <v>2.0761501034385621E-2</v>
      </c>
      <c r="O87" s="40">
        <f t="shared" si="270"/>
        <v>5.8412698298415465E-2</v>
      </c>
      <c r="P87" s="40">
        <f t="shared" si="270"/>
        <v>3.4202011549222887E-2</v>
      </c>
      <c r="Q87" s="40">
        <f t="shared" si="270"/>
        <v>7.6218435728121092E-2</v>
      </c>
      <c r="R87" s="40">
        <f t="shared" si="270"/>
        <v>4.0018143680874529E-2</v>
      </c>
      <c r="S87" s="40">
        <f t="shared" si="270"/>
        <v>0.19880957485534909</v>
      </c>
      <c r="T87" s="40">
        <f t="shared" si="270"/>
        <v>0.12322176466271129</v>
      </c>
      <c r="U87" s="40">
        <f t="shared" si="270"/>
        <v>5.3054561144771681E-2</v>
      </c>
      <c r="V87" s="40">
        <f t="shared" si="270"/>
        <v>0.10359128060063462</v>
      </c>
      <c r="W87" s="169"/>
      <c r="Y87" s="40"/>
      <c r="Z87" s="40">
        <f t="shared" ref="Z87:AG87" si="271">-Z86/Z85</f>
        <v>4.0769298035205202E-2</v>
      </c>
      <c r="AA87" s="40">
        <f t="shared" si="271"/>
        <v>2.3460923142360108E-2</v>
      </c>
      <c r="AB87" s="40">
        <f t="shared" si="271"/>
        <v>1.9405478660150032E-2</v>
      </c>
      <c r="AC87" s="40">
        <f t="shared" si="271"/>
        <v>1.0485047007500524E-3</v>
      </c>
      <c r="AD87" s="40">
        <f t="shared" si="271"/>
        <v>6.1179231351276737E-3</v>
      </c>
      <c r="AE87" s="40">
        <f t="shared" si="271"/>
        <v>1.4429169439790923E-2</v>
      </c>
      <c r="AF87" s="40">
        <f t="shared" si="271"/>
        <v>2.4297415704174437E-2</v>
      </c>
      <c r="AG87" s="40">
        <f t="shared" si="271"/>
        <v>5.5514948288776136E-4</v>
      </c>
      <c r="AH87" s="40">
        <f t="shared" ref="AH87:AP87" si="272">-AH86/AH85</f>
        <v>1.4472036065066637E-2</v>
      </c>
      <c r="AI87" s="40">
        <f t="shared" si="272"/>
        <v>1.9385787920400542E-2</v>
      </c>
      <c r="AJ87" s="40">
        <f t="shared" si="272"/>
        <v>1.3223061890512269E-2</v>
      </c>
      <c r="AK87" s="40">
        <f t="shared" si="272"/>
        <v>4.9383639635543049E-2</v>
      </c>
      <c r="AL87" s="40">
        <f t="shared" si="272"/>
        <v>9.600600895028448E-3</v>
      </c>
      <c r="AM87" s="40">
        <f t="shared" si="272"/>
        <v>0.11455218290869978</v>
      </c>
      <c r="AN87" s="40">
        <f t="shared" si="272"/>
        <v>5.5045695257422422E-2</v>
      </c>
      <c r="AO87" s="40">
        <f t="shared" si="272"/>
        <v>2.9968880917221927E-2</v>
      </c>
      <c r="AP87" s="40">
        <f t="shared" si="272"/>
        <v>9.19646752742104E-2</v>
      </c>
      <c r="AQ87" s="169"/>
      <c r="AS87" s="40"/>
      <c r="AT87" s="40">
        <f t="shared" ref="AT87:BA87" si="273">-AT86/AT85</f>
        <v>0.20478456695246844</v>
      </c>
      <c r="AU87" s="40">
        <f t="shared" si="273"/>
        <v>0.19359712170570076</v>
      </c>
      <c r="AV87" s="40">
        <f t="shared" si="273"/>
        <v>0.12348297506221384</v>
      </c>
      <c r="AW87" s="40">
        <f t="shared" si="273"/>
        <v>0.13538286570491809</v>
      </c>
      <c r="AX87" s="40">
        <f t="shared" si="273"/>
        <v>0.1109077401069939</v>
      </c>
      <c r="AY87" s="40">
        <f t="shared" si="273"/>
        <v>0.21015388571826515</v>
      </c>
      <c r="AZ87" s="40">
        <f t="shared" si="273"/>
        <v>9.9278666284859596E-2</v>
      </c>
      <c r="BA87" s="40">
        <f t="shared" si="273"/>
        <v>0.18174671965299302</v>
      </c>
      <c r="BB87" s="40">
        <f t="shared" ref="BB87:BJ87" si="274">-BB86/BB85</f>
        <v>0.10229763556288378</v>
      </c>
      <c r="BC87" s="40">
        <f t="shared" si="274"/>
        <v>0.19923367261091077</v>
      </c>
      <c r="BD87" s="40">
        <f t="shared" si="274"/>
        <v>0.21477345213624571</v>
      </c>
      <c r="BE87" s="40">
        <f t="shared" si="274"/>
        <v>0.17488769731151335</v>
      </c>
      <c r="BF87" s="40">
        <f t="shared" si="274"/>
        <v>0.1475601047965712</v>
      </c>
      <c r="BG87" s="40">
        <f t="shared" si="274"/>
        <v>0.18865793986760182</v>
      </c>
      <c r="BH87" s="40">
        <f t="shared" si="274"/>
        <v>0.19594545410501019</v>
      </c>
      <c r="BI87" s="40">
        <f t="shared" si="274"/>
        <v>0.22022587328454413</v>
      </c>
      <c r="BJ87" s="40">
        <f t="shared" si="274"/>
        <v>0.14986496788709494</v>
      </c>
      <c r="BL87" s="40"/>
      <c r="BM87" s="40">
        <f t="shared" ref="BM87:BT87" si="275">-BM86/BM85</f>
        <v>0.19990088340965034</v>
      </c>
      <c r="BN87" s="40">
        <f t="shared" si="275"/>
        <v>0.19978566077745824</v>
      </c>
      <c r="BO87" s="40">
        <f t="shared" si="275"/>
        <v>0.19989131561999099</v>
      </c>
      <c r="BP87" s="40">
        <f t="shared" si="275"/>
        <v>0.19992238018152389</v>
      </c>
      <c r="BQ87" s="40">
        <f t="shared" si="275"/>
        <v>0.19987324369029338</v>
      </c>
      <c r="BR87" s="40">
        <f t="shared" si="275"/>
        <v>0.19986580977200424</v>
      </c>
      <c r="BS87" s="40">
        <f t="shared" si="275"/>
        <v>0.1430430466753079</v>
      </c>
      <c r="BT87" s="40">
        <f t="shared" si="275"/>
        <v>0.17656141344627271</v>
      </c>
      <c r="BU87" s="40">
        <f t="shared" ref="BU87:CC87" si="276">-BU86/BU85</f>
        <v>0.17443472497031889</v>
      </c>
      <c r="BV87" s="40">
        <f t="shared" si="276"/>
        <v>-7.5081725612047942E-2</v>
      </c>
      <c r="BW87" s="40">
        <f t="shared" si="276"/>
        <v>0.17347830074473303</v>
      </c>
      <c r="BX87" s="40">
        <f t="shared" si="276"/>
        <v>0.21761397180725181</v>
      </c>
      <c r="BY87" s="40">
        <f t="shared" si="276"/>
        <v>0.20843245137661104</v>
      </c>
      <c r="BZ87" s="40">
        <f t="shared" si="276"/>
        <v>0.22587655059032247</v>
      </c>
      <c r="CA87" s="40">
        <f t="shared" si="276"/>
        <v>0.17394280812802454</v>
      </c>
      <c r="CB87" s="40">
        <f t="shared" si="276"/>
        <v>0.19959569282945713</v>
      </c>
      <c r="CC87" s="40">
        <f t="shared" si="276"/>
        <v>0.1878484698379754</v>
      </c>
      <c r="CE87" s="40"/>
      <c r="CF87" s="40">
        <f t="shared" ref="CF87:CM87" si="277">-CF86/CF85</f>
        <v>0.21880179761495597</v>
      </c>
      <c r="CG87" s="40">
        <f t="shared" si="277"/>
        <v>0.19465898315679533</v>
      </c>
      <c r="CH87" s="40">
        <f t="shared" si="277"/>
        <v>0.15739697340480507</v>
      </c>
      <c r="CI87" s="40">
        <f t="shared" si="277"/>
        <v>0.17804396379026291</v>
      </c>
      <c r="CJ87" s="40">
        <f t="shared" si="277"/>
        <v>0.24717933449894477</v>
      </c>
      <c r="CK87" s="40">
        <f t="shared" si="277"/>
        <v>0.20816132290491279</v>
      </c>
      <c r="CL87" s="40">
        <f t="shared" si="277"/>
        <v>0.10753362943104099</v>
      </c>
      <c r="CM87" s="40">
        <f t="shared" si="277"/>
        <v>0.18083519074703833</v>
      </c>
      <c r="CN87" s="40">
        <f t="shared" ref="CN87:CV87" si="278">-CN86/CN85</f>
        <v>0.13104519451662375</v>
      </c>
      <c r="CO87" s="40">
        <f t="shared" si="278"/>
        <v>0.19640831432676067</v>
      </c>
      <c r="CP87" s="40">
        <f t="shared" si="278"/>
        <v>0.22258489724116134</v>
      </c>
      <c r="CQ87" s="40">
        <f t="shared" si="278"/>
        <v>0.18252403505096026</v>
      </c>
      <c r="CR87" s="40">
        <f t="shared" si="278"/>
        <v>0.17546405001828985</v>
      </c>
      <c r="CS87" s="40">
        <f t="shared" si="278"/>
        <v>0.19412623809524426</v>
      </c>
      <c r="CT87" s="40">
        <f t="shared" si="278"/>
        <v>0.19418352876722003</v>
      </c>
      <c r="CU87" s="40">
        <f t="shared" si="278"/>
        <v>0.212190257902657</v>
      </c>
      <c r="CV87" s="40">
        <f t="shared" si="278"/>
        <v>0.15676594413948208</v>
      </c>
      <c r="CW87" s="169"/>
      <c r="CY87" s="40"/>
      <c r="CZ87" s="40" t="e">
        <f t="shared" ref="CZ87:DG87" si="279">-CZ86/CZ85</f>
        <v>#DIV/0!</v>
      </c>
      <c r="DA87" s="40" t="e">
        <f t="shared" si="279"/>
        <v>#DIV/0!</v>
      </c>
      <c r="DB87" s="40">
        <f t="shared" si="279"/>
        <v>0</v>
      </c>
      <c r="DC87" s="40">
        <f t="shared" si="279"/>
        <v>0</v>
      </c>
      <c r="DD87" s="40">
        <f t="shared" si="279"/>
        <v>-6.8690531142373827E-6</v>
      </c>
      <c r="DE87" s="40">
        <f t="shared" si="279"/>
        <v>-1.9834382782252287E-4</v>
      </c>
      <c r="DF87" s="40">
        <f t="shared" si="279"/>
        <v>-2.4010090989826246E-4</v>
      </c>
      <c r="DG87" s="40">
        <f t="shared" si="279"/>
        <v>-2.2677963731076217E-4</v>
      </c>
      <c r="DH87" s="40">
        <f t="shared" ref="DH87:DP87" si="280">-DH86/DH85</f>
        <v>-1.010458601948467E-4</v>
      </c>
      <c r="DI87" s="40">
        <f t="shared" si="280"/>
        <v>-9.3131183144487816E-5</v>
      </c>
      <c r="DJ87" s="40">
        <f t="shared" si="280"/>
        <v>-1.1422781326824262E-4</v>
      </c>
      <c r="DK87" s="40">
        <f t="shared" si="280"/>
        <v>-9.8546030413741053E-5</v>
      </c>
      <c r="DL87" s="40">
        <f t="shared" si="280"/>
        <v>-1.7451498144675215E-4</v>
      </c>
      <c r="DM87" s="40">
        <f t="shared" si="280"/>
        <v>-6.9978594505093483E-5</v>
      </c>
      <c r="DN87" s="40">
        <f t="shared" si="280"/>
        <v>-1.1378585947352281E-4</v>
      </c>
      <c r="DO87" s="40">
        <f t="shared" si="280"/>
        <v>-2.6418215541102288E-4</v>
      </c>
      <c r="DP87" s="40">
        <f t="shared" si="280"/>
        <v>-1.7113925061707134E-4</v>
      </c>
    </row>
    <row r="88" spans="2:120" s="45" customFormat="1" ht="13.5" thickBot="1" x14ac:dyDescent="0.35">
      <c r="C88" s="86" t="s">
        <v>9</v>
      </c>
      <c r="D88" s="118"/>
      <c r="E88" s="87"/>
      <c r="F88" s="87">
        <f t="shared" ref="F88:M88" si="281">SUM(F85:F86)</f>
        <v>158810.61096740334</v>
      </c>
      <c r="G88" s="87">
        <f t="shared" si="281"/>
        <v>109290.43803921674</v>
      </c>
      <c r="H88" s="87">
        <f t="shared" si="281"/>
        <v>109068.14750023873</v>
      </c>
      <c r="I88" s="87">
        <f t="shared" si="281"/>
        <v>111978.72986323522</v>
      </c>
      <c r="J88" s="87">
        <f t="shared" si="281"/>
        <v>134481.71580379386</v>
      </c>
      <c r="K88" s="87">
        <f t="shared" si="281"/>
        <v>153545.47453853491</v>
      </c>
      <c r="L88" s="87">
        <f t="shared" si="281"/>
        <v>104378.53921789608</v>
      </c>
      <c r="M88" s="87">
        <f t="shared" si="281"/>
        <v>78253.430641395695</v>
      </c>
      <c r="N88" s="87">
        <f t="shared" ref="N88:V88" si="282">SUM(N85:N86)</f>
        <v>174535.91788213392</v>
      </c>
      <c r="O88" s="87">
        <f t="shared" si="282"/>
        <v>135911.69824525909</v>
      </c>
      <c r="P88" s="87">
        <f t="shared" si="282"/>
        <v>171878.6541226579</v>
      </c>
      <c r="Q88" s="87">
        <f t="shared" si="282"/>
        <v>130253.29407552403</v>
      </c>
      <c r="R88" s="87">
        <f t="shared" si="282"/>
        <v>254164.43439193515</v>
      </c>
      <c r="S88" s="87">
        <f t="shared" si="282"/>
        <v>45355.003707340569</v>
      </c>
      <c r="T88" s="87">
        <f t="shared" si="282"/>
        <v>142016.47468617253</v>
      </c>
      <c r="U88" s="87">
        <f t="shared" si="282"/>
        <v>222975.81742276097</v>
      </c>
      <c r="V88" s="87">
        <f t="shared" si="282"/>
        <v>247320.76705865187</v>
      </c>
      <c r="W88" s="178">
        <f t="shared" si="215"/>
        <v>-2.692614074685995E-2</v>
      </c>
      <c r="Y88" s="87"/>
      <c r="Z88" s="87">
        <f t="shared" ref="Z88:AG88" si="283">SUM(Z85:Z86)</f>
        <v>160458.20961318907</v>
      </c>
      <c r="AA88" s="87">
        <f t="shared" si="283"/>
        <v>96151.81959971675</v>
      </c>
      <c r="AB88" s="87">
        <f t="shared" si="283"/>
        <v>98715.406842538767</v>
      </c>
      <c r="AC88" s="87">
        <f t="shared" si="283"/>
        <v>102239.12900402334</v>
      </c>
      <c r="AD88" s="87">
        <f t="shared" si="283"/>
        <v>144786.94035389781</v>
      </c>
      <c r="AE88" s="87">
        <f t="shared" si="283"/>
        <v>140589.85756117912</v>
      </c>
      <c r="AF88" s="87">
        <f t="shared" si="283"/>
        <v>97134.838801306978</v>
      </c>
      <c r="AG88" s="87">
        <f t="shared" si="283"/>
        <v>65795.750874431746</v>
      </c>
      <c r="AH88" s="87">
        <f t="shared" ref="AH88:AP88" si="284">SUM(AH85:AH86)</f>
        <v>176788.66970026094</v>
      </c>
      <c r="AI88" s="87">
        <f t="shared" si="284"/>
        <v>120953.70126705187</v>
      </c>
      <c r="AJ88" s="87">
        <f t="shared" si="284"/>
        <v>165716.12997901876</v>
      </c>
      <c r="AK88" s="87">
        <f t="shared" si="284"/>
        <v>118388.57081495081</v>
      </c>
      <c r="AL88" s="87">
        <f t="shared" si="284"/>
        <v>219861.6018050639</v>
      </c>
      <c r="AM88" s="87">
        <f t="shared" si="284"/>
        <v>20237.82651556738</v>
      </c>
      <c r="AN88" s="87">
        <f t="shared" si="284"/>
        <v>88331.066510801</v>
      </c>
      <c r="AO88" s="87">
        <f t="shared" si="284"/>
        <v>203960.55192115554</v>
      </c>
      <c r="AP88" s="87">
        <f t="shared" si="284"/>
        <v>220651.20615389093</v>
      </c>
      <c r="AQ88" s="178">
        <f>AP88/AL88-1</f>
        <v>3.591369945203704E-3</v>
      </c>
      <c r="AR88" s="132"/>
      <c r="AS88" s="87"/>
      <c r="AT88" s="87">
        <f t="shared" ref="AT88:BA88" si="285">SUM(AT85:AT86)</f>
        <v>-6490.9802457857204</v>
      </c>
      <c r="AU88" s="87">
        <f t="shared" si="285"/>
        <v>10898.577639500019</v>
      </c>
      <c r="AV88" s="87">
        <f t="shared" si="285"/>
        <v>6063.1259574999876</v>
      </c>
      <c r="AW88" s="87">
        <f t="shared" si="285"/>
        <v>3427.5698906118992</v>
      </c>
      <c r="AX88" s="87">
        <f t="shared" si="285"/>
        <v>-1460.9663624119164</v>
      </c>
      <c r="AY88" s="87">
        <f t="shared" si="285"/>
        <v>14702.936440113001</v>
      </c>
      <c r="AZ88" s="87">
        <f t="shared" si="285"/>
        <v>9113.377853778793</v>
      </c>
      <c r="BA88" s="87">
        <f t="shared" si="285"/>
        <v>13820.588998059586</v>
      </c>
      <c r="BB88" s="87">
        <f t="shared" ref="BB88:BJ88" si="286">SUM(BB85:BB86)</f>
        <v>4546.5356860041948</v>
      </c>
      <c r="BC88" s="87">
        <f t="shared" si="286"/>
        <v>24369.439603218452</v>
      </c>
      <c r="BD88" s="87">
        <f t="shared" si="286"/>
        <v>16215.232684177809</v>
      </c>
      <c r="BE88" s="87">
        <f t="shared" si="286"/>
        <v>17062.355352024337</v>
      </c>
      <c r="BF88" s="87">
        <f t="shared" si="286"/>
        <v>22267.746166632714</v>
      </c>
      <c r="BG88" s="87">
        <f t="shared" si="286"/>
        <v>30789.159189370068</v>
      </c>
      <c r="BH88" s="87">
        <f t="shared" si="286"/>
        <v>56422.617107013793</v>
      </c>
      <c r="BI88" s="87">
        <f t="shared" si="286"/>
        <v>13887.894622945547</v>
      </c>
      <c r="BJ88" s="87">
        <f t="shared" si="286"/>
        <v>27658.246574371897</v>
      </c>
      <c r="BK88" s="49"/>
      <c r="BL88" s="87"/>
      <c r="BM88" s="87">
        <f t="shared" ref="BM88:BT88" si="287">SUM(BM85:BM86)</f>
        <v>4843.3815999999997</v>
      </c>
      <c r="BN88" s="87">
        <f t="shared" si="287"/>
        <v>2240.0408000000011</v>
      </c>
      <c r="BO88" s="87">
        <f t="shared" si="287"/>
        <v>4417.0580040000023</v>
      </c>
      <c r="BP88" s="87">
        <f t="shared" si="287"/>
        <v>6184.5876647999958</v>
      </c>
      <c r="BQ88" s="87">
        <f t="shared" si="287"/>
        <v>3787.3937391999971</v>
      </c>
      <c r="BR88" s="87">
        <f t="shared" si="287"/>
        <v>3577.611584000002</v>
      </c>
      <c r="BS88" s="87">
        <f t="shared" si="287"/>
        <v>2015.6704480000051</v>
      </c>
      <c r="BT88" s="87">
        <f t="shared" si="287"/>
        <v>2966.3921859999978</v>
      </c>
      <c r="BU88" s="87">
        <f t="shared" ref="BU88:CC88" si="288">SUM(BU85:BU86)</f>
        <v>2770.2290260000036</v>
      </c>
      <c r="BV88" s="87">
        <f t="shared" si="288"/>
        <v>340.48724440000285</v>
      </c>
      <c r="BW88" s="87">
        <f t="shared" si="288"/>
        <v>-2715.0261748000103</v>
      </c>
      <c r="BX88" s="87">
        <f t="shared" si="288"/>
        <v>3520.8664232000151</v>
      </c>
      <c r="BY88" s="87">
        <f t="shared" si="288"/>
        <v>17501.214935999997</v>
      </c>
      <c r="BZ88" s="87">
        <f t="shared" si="288"/>
        <v>5059.5075639999923</v>
      </c>
      <c r="CA88" s="87">
        <f t="shared" si="288"/>
        <v>5045.9083939999937</v>
      </c>
      <c r="CB88" s="87">
        <f t="shared" si="288"/>
        <v>9095.2151180000019</v>
      </c>
      <c r="CC88" s="87">
        <f t="shared" si="288"/>
        <v>5866.3508000000184</v>
      </c>
      <c r="CD88" s="49"/>
      <c r="CE88" s="87"/>
      <c r="CF88" s="87">
        <f t="shared" ref="CF88:CM88" si="289">SUM(CF85:CF86)</f>
        <v>-1647.5986457857209</v>
      </c>
      <c r="CG88" s="87">
        <f t="shared" si="289"/>
        <v>13138.618439500018</v>
      </c>
      <c r="CH88" s="87">
        <f t="shared" si="289"/>
        <v>10480.183961499994</v>
      </c>
      <c r="CI88" s="87">
        <f t="shared" si="289"/>
        <v>9612.157555411899</v>
      </c>
      <c r="CJ88" s="87">
        <f t="shared" si="289"/>
        <v>2326.4273767880841</v>
      </c>
      <c r="CK88" s="87">
        <f t="shared" si="289"/>
        <v>18280.54802411301</v>
      </c>
      <c r="CL88" s="87">
        <f t="shared" si="289"/>
        <v>11129.048301778805</v>
      </c>
      <c r="CM88" s="87">
        <f t="shared" si="289"/>
        <v>16786.981184059598</v>
      </c>
      <c r="CN88" s="87">
        <f t="shared" ref="CN88:CV88" si="290">SUM(CN85:CN86)</f>
        <v>7316.7647120041929</v>
      </c>
      <c r="CO88" s="87">
        <f t="shared" si="290"/>
        <v>24709.926847618452</v>
      </c>
      <c r="CP88" s="87">
        <f t="shared" si="290"/>
        <v>13500.206509377791</v>
      </c>
      <c r="CQ88" s="87">
        <f t="shared" si="290"/>
        <v>20583.221775224338</v>
      </c>
      <c r="CR88" s="87">
        <f t="shared" si="290"/>
        <v>39768.961102632711</v>
      </c>
      <c r="CS88" s="87">
        <f t="shared" si="290"/>
        <v>35848.666753370082</v>
      </c>
      <c r="CT88" s="87">
        <f t="shared" si="290"/>
        <v>61468.525501013784</v>
      </c>
      <c r="CU88" s="87">
        <f t="shared" si="290"/>
        <v>22983.109740945536</v>
      </c>
      <c r="CV88" s="87">
        <f t="shared" si="290"/>
        <v>33524.59737437193</v>
      </c>
      <c r="CW88" s="178">
        <f>CV88/CR88-1</f>
        <v>-0.15701601337147841</v>
      </c>
      <c r="CX88" s="144"/>
      <c r="CY88" s="87"/>
      <c r="CZ88" s="87">
        <f t="shared" ref="CZ88:DG88" si="291">SUM(CZ85:CZ86)</f>
        <v>0</v>
      </c>
      <c r="DA88" s="87">
        <f t="shared" si="291"/>
        <v>0</v>
      </c>
      <c r="DB88" s="87">
        <f t="shared" si="291"/>
        <v>-127.44330380000001</v>
      </c>
      <c r="DC88" s="87">
        <f t="shared" si="291"/>
        <v>127.44330380000001</v>
      </c>
      <c r="DD88" s="87">
        <f t="shared" si="291"/>
        <v>-12631.651926892002</v>
      </c>
      <c r="DE88" s="87">
        <f t="shared" si="291"/>
        <v>-5324.9310467571895</v>
      </c>
      <c r="DF88" s="87">
        <f t="shared" si="291"/>
        <v>-3885.347885189788</v>
      </c>
      <c r="DG88" s="87">
        <f t="shared" si="291"/>
        <v>-4329.3014170957276</v>
      </c>
      <c r="DH88" s="87">
        <f t="shared" ref="DH88:DP88" si="292">SUM(DH85:DH86)</f>
        <v>-9569.5165301312682</v>
      </c>
      <c r="DI88" s="87">
        <f t="shared" si="292"/>
        <v>-9751.929869411284</v>
      </c>
      <c r="DJ88" s="87">
        <f t="shared" si="292"/>
        <v>-7337.6823657386849</v>
      </c>
      <c r="DK88" s="87">
        <f t="shared" si="292"/>
        <v>-8718.4985146512445</v>
      </c>
      <c r="DL88" s="87">
        <f t="shared" si="292"/>
        <v>-5466.1285157615293</v>
      </c>
      <c r="DM88" s="87">
        <f t="shared" si="292"/>
        <v>-10731.489561596718</v>
      </c>
      <c r="DN88" s="87">
        <f t="shared" si="292"/>
        <v>-7783.1173256422562</v>
      </c>
      <c r="DO88" s="87">
        <f t="shared" si="292"/>
        <v>-3967.8442393397004</v>
      </c>
      <c r="DP88" s="87">
        <f t="shared" si="292"/>
        <v>-6855.0364696110191</v>
      </c>
    </row>
    <row r="89" spans="2:120" ht="13.5" thickTop="1" x14ac:dyDescent="0.3">
      <c r="C89" s="59" t="s">
        <v>51</v>
      </c>
      <c r="D89" s="119"/>
      <c r="E89" s="60"/>
      <c r="F89" s="60">
        <f>F88-Segment!AP223/1000</f>
        <v>0</v>
      </c>
      <c r="G89" s="60">
        <f>G88-Segment!N300/1000</f>
        <v>0</v>
      </c>
      <c r="H89" s="60">
        <f>H88-Segment!U300/1000</f>
        <v>0</v>
      </c>
      <c r="I89" s="60">
        <f>I88-Segment!AI300/1000</f>
        <v>-1.7462298274040222E-10</v>
      </c>
      <c r="J89" s="60">
        <f>J88-Segment!AP300/1000</f>
        <v>0</v>
      </c>
      <c r="K89" s="60">
        <f>K88-Segment!N377/1000</f>
        <v>0</v>
      </c>
      <c r="L89" s="60">
        <f>L88-Segment!U377/1000</f>
        <v>0</v>
      </c>
      <c r="M89" s="60">
        <f>M88-Segment!AI377/1000</f>
        <v>0</v>
      </c>
      <c r="N89" s="60">
        <f>N88-Segment!AP377/1000</f>
        <v>0</v>
      </c>
      <c r="O89" s="60">
        <f>O88-Segment!N454/1000</f>
        <v>0</v>
      </c>
      <c r="P89" s="60">
        <f>P88-Segment!U454/1000</f>
        <v>0</v>
      </c>
      <c r="Q89" s="60">
        <f>Q88-Segment!AI454/1000</f>
        <v>0</v>
      </c>
      <c r="R89" s="60">
        <f>R88-Segment!AP454/1000</f>
        <v>0</v>
      </c>
      <c r="S89" s="60">
        <f>S88-Segment!N531/1000</f>
        <v>-5.8207660913467407E-11</v>
      </c>
      <c r="T89" s="60">
        <f>T88-Segment!U531/1000</f>
        <v>0</v>
      </c>
      <c r="U89" s="60">
        <f>U88-Segment!AI531/1000</f>
        <v>0</v>
      </c>
      <c r="V89" s="60">
        <f>V88-Segment!AP531/1000</f>
        <v>-7.2759576141834259E-10</v>
      </c>
      <c r="W89" s="179"/>
      <c r="X89" s="59"/>
      <c r="Y89" s="60"/>
      <c r="Z89" s="60">
        <f>Z88-Segment!AL223/1000</f>
        <v>0</v>
      </c>
      <c r="AA89" s="60">
        <f>AA88-Segment!J300/1000</f>
        <v>0</v>
      </c>
      <c r="AB89" s="60">
        <f>AB88-Segment!Q300/1000</f>
        <v>0</v>
      </c>
      <c r="AC89" s="60">
        <f>AC88-Segment!AE300/1000</f>
        <v>-1.4551915228366852E-10</v>
      </c>
      <c r="AD89" s="60">
        <f>AD88-Segment!AL300/1000</f>
        <v>0</v>
      </c>
      <c r="AE89" s="60">
        <f>AE88-Segment!J377/1000</f>
        <v>0</v>
      </c>
      <c r="AF89" s="60">
        <f>AF88-Segment!Q377/1000</f>
        <v>0</v>
      </c>
      <c r="AG89" s="60">
        <f>AG88-Segment!AE377/1000</f>
        <v>0</v>
      </c>
      <c r="AH89" s="60">
        <f>AH88-Segment!AL377/1000</f>
        <v>0</v>
      </c>
      <c r="AI89" s="60">
        <f>AI88-Segment!J454/1000</f>
        <v>0</v>
      </c>
      <c r="AJ89" s="60">
        <f>AJ88-Segment!Q454/1000</f>
        <v>0</v>
      </c>
      <c r="AK89" s="60">
        <f>AK88-Segment!AE454/1000</f>
        <v>0</v>
      </c>
      <c r="AL89" s="60">
        <f>AL88-Segment!AL454/1000</f>
        <v>0</v>
      </c>
      <c r="AM89" s="60">
        <f>AM88-Segment!J531/1000</f>
        <v>1.3096723705530167E-10</v>
      </c>
      <c r="AN89" s="60">
        <f>AN88-Segment!Q531/1000</f>
        <v>0</v>
      </c>
      <c r="AO89" s="60">
        <f>AO88-Segment!AE531/1000</f>
        <v>3.2014213502407074E-10</v>
      </c>
      <c r="AP89" s="60">
        <f>AP88-Segment!AL531/1000</f>
        <v>-7.5669959187507629E-10</v>
      </c>
      <c r="AQ89" s="179"/>
      <c r="AR89" s="59"/>
      <c r="AS89" s="60"/>
      <c r="AT89" s="60">
        <f>AT88-Segment!AM223/1000</f>
        <v>-1.9099388737231493E-11</v>
      </c>
      <c r="AU89" s="60">
        <f>AU88-Segment!K300/1000</f>
        <v>2.0008883439004421E-11</v>
      </c>
      <c r="AV89" s="60">
        <f>AV88-Segment!R300/1000</f>
        <v>-1.1823431123048067E-11</v>
      </c>
      <c r="AW89" s="60">
        <f>AW88-Segment!AF300/1000</f>
        <v>0</v>
      </c>
      <c r="AX89" s="60">
        <f>AX88-Segment!AM300/1000</f>
        <v>-1.546140993013978E-11</v>
      </c>
      <c r="AY89" s="60">
        <f>AY88-Segment!K377/1000</f>
        <v>0</v>
      </c>
      <c r="AZ89" s="60">
        <f>AZ88-Segment!R377/1000</f>
        <v>0</v>
      </c>
      <c r="BA89" s="60">
        <f>BA88-Segment!AF377/1000</f>
        <v>0</v>
      </c>
      <c r="BB89" s="60">
        <f>BB88-Segment!AM377/1000</f>
        <v>0</v>
      </c>
      <c r="BC89" s="60">
        <f>BC88-Segment!K454/1000</f>
        <v>-4.7293724492192268E-11</v>
      </c>
      <c r="BD89" s="60">
        <f>BD88-Segment!R454/1000</f>
        <v>0</v>
      </c>
      <c r="BE89" s="60">
        <f>BE88-Segment!AF454/1000</f>
        <v>3.637978807091713E-11</v>
      </c>
      <c r="BF89" s="60">
        <f>BF88-Segment!AM454/1000</f>
        <v>0</v>
      </c>
      <c r="BG89" s="60">
        <f>BG88-Segment!K531/1000</f>
        <v>-3.2741809263825417E-11</v>
      </c>
      <c r="BH89" s="60">
        <f>BH88-Segment!R531/1000</f>
        <v>0</v>
      </c>
      <c r="BI89" s="60">
        <f>BI88-Segment!AF531/1000</f>
        <v>4.0017766878008842E-11</v>
      </c>
      <c r="BJ89" s="60">
        <f>BJ88-Segment!AM531/1000</f>
        <v>0</v>
      </c>
      <c r="BK89" s="59"/>
      <c r="BL89" s="60"/>
      <c r="BM89" s="60">
        <f>BM88-Segment!AN223/1000</f>
        <v>0</v>
      </c>
      <c r="BN89" s="60">
        <f>BN88-Segment!L300/1000</f>
        <v>0</v>
      </c>
      <c r="BO89" s="60">
        <f>BO88-Segment!S300/1000</f>
        <v>0</v>
      </c>
      <c r="BP89" s="60">
        <f>BP88-Segment!AG300/1000</f>
        <v>0</v>
      </c>
      <c r="BQ89" s="60">
        <f>BQ88-Segment!AN300/1000</f>
        <v>0</v>
      </c>
      <c r="BR89" s="60">
        <f>BR88-Segment!L377/1000</f>
        <v>0</v>
      </c>
      <c r="BS89" s="60">
        <f>BS88-Segment!S377/1000</f>
        <v>0</v>
      </c>
      <c r="BT89" s="60">
        <f>BT88-Segment!AG377/1000</f>
        <v>0</v>
      </c>
      <c r="BU89" s="60">
        <f>BU88-Segment!AN377/1000</f>
        <v>0</v>
      </c>
      <c r="BV89" s="60">
        <f>BV88-Segment!L454/1000</f>
        <v>1.1368683772161603E-12</v>
      </c>
      <c r="BW89" s="60">
        <f>BW88-Segment!S454/1000</f>
        <v>0</v>
      </c>
      <c r="BX89" s="60">
        <f>BX88-Segment!AG454/1000</f>
        <v>0</v>
      </c>
      <c r="BY89" s="60">
        <f>BY88-Segment!AN454/1000</f>
        <v>0</v>
      </c>
      <c r="BZ89" s="60">
        <f>BZ88-Segment!L531/1000</f>
        <v>0</v>
      </c>
      <c r="CA89" s="60">
        <f>CA88-Segment!S531/1000</f>
        <v>0</v>
      </c>
      <c r="CB89" s="60">
        <f>CB88-Segment!AG531/1000</f>
        <v>0</v>
      </c>
      <c r="CC89" s="60">
        <f>CC88-Segment!AN531/1000</f>
        <v>1.1823431123048067E-11</v>
      </c>
      <c r="CD89" s="59"/>
      <c r="CE89" s="60"/>
      <c r="CF89" s="60">
        <f t="shared" ref="CF89:CV89" si="293">CF88-AT88-BM88</f>
        <v>0</v>
      </c>
      <c r="CG89" s="60">
        <f t="shared" si="293"/>
        <v>0</v>
      </c>
      <c r="CH89" s="60">
        <f t="shared" si="293"/>
        <v>0</v>
      </c>
      <c r="CI89" s="60">
        <f t="shared" si="293"/>
        <v>0</v>
      </c>
      <c r="CJ89" s="60">
        <f t="shared" si="293"/>
        <v>3.637978807091713E-12</v>
      </c>
      <c r="CK89" s="60">
        <f t="shared" si="293"/>
        <v>7.2759576141834259E-12</v>
      </c>
      <c r="CL89" s="60">
        <f t="shared" si="293"/>
        <v>6.5938365878537297E-12</v>
      </c>
      <c r="CM89" s="60">
        <f t="shared" si="293"/>
        <v>1.4097167877480388E-11</v>
      </c>
      <c r="CN89" s="60">
        <f t="shared" si="293"/>
        <v>-5.4569682106375694E-12</v>
      </c>
      <c r="CO89" s="60">
        <f t="shared" si="293"/>
        <v>-3.5242919693700969E-12</v>
      </c>
      <c r="CP89" s="60">
        <f t="shared" si="293"/>
        <v>-7.2759576141834259E-12</v>
      </c>
      <c r="CQ89" s="60">
        <f t="shared" si="293"/>
        <v>-1.4097167877480388E-11</v>
      </c>
      <c r="CR89" s="60">
        <f t="shared" si="293"/>
        <v>0</v>
      </c>
      <c r="CS89" s="60">
        <f t="shared" si="293"/>
        <v>2.1827872842550278E-11</v>
      </c>
      <c r="CT89" s="60">
        <f t="shared" si="293"/>
        <v>0</v>
      </c>
      <c r="CU89" s="60">
        <f t="shared" si="293"/>
        <v>0</v>
      </c>
      <c r="CV89" s="60">
        <f t="shared" si="293"/>
        <v>1.4551915228366852E-11</v>
      </c>
      <c r="CW89" s="179"/>
      <c r="CX89" s="59"/>
      <c r="CY89" s="60"/>
      <c r="CZ89" s="60">
        <f>CZ88-Segment!AO223/1000</f>
        <v>0</v>
      </c>
      <c r="DA89" s="60">
        <f>DA88-Segment!M300/1000</f>
        <v>0</v>
      </c>
      <c r="DB89" s="60">
        <f>DB88-Segment!T300/1000</f>
        <v>0</v>
      </c>
      <c r="DC89" s="60">
        <f>DC88-Segment!AH300/1000</f>
        <v>0</v>
      </c>
      <c r="DD89" s="60">
        <f>DD88-Segment!AO300/1000</f>
        <v>0</v>
      </c>
      <c r="DE89" s="60">
        <f>DE88-Segment!M377/1000</f>
        <v>0</v>
      </c>
      <c r="DF89" s="60">
        <f>DF88-Segment!T377/1000</f>
        <v>0</v>
      </c>
      <c r="DG89" s="60">
        <f>DG88-Segment!AH377/1000</f>
        <v>0</v>
      </c>
      <c r="DH89" s="60">
        <f>DH88-Segment!AO377/1000</f>
        <v>0</v>
      </c>
      <c r="DI89" s="60">
        <f>DI88-Segment!M454/1000</f>
        <v>0</v>
      </c>
      <c r="DJ89" s="60">
        <f>DJ88-Segment!T454/1000</f>
        <v>0</v>
      </c>
      <c r="DK89" s="60">
        <f>DK88-Segment!AH454/1000</f>
        <v>0</v>
      </c>
      <c r="DL89" s="60">
        <f>DL88-Segment!AO454/1000</f>
        <v>0</v>
      </c>
      <c r="DM89" s="60">
        <f>DM88-Segment!M531/1000</f>
        <v>0</v>
      </c>
      <c r="DN89" s="60">
        <f>DN88-Segment!T531/1000</f>
        <v>0</v>
      </c>
      <c r="DO89" s="60">
        <f>DO88-Segment!AH531/1000</f>
        <v>0</v>
      </c>
      <c r="DP89" s="60">
        <f>DP88-Segment!AO531/1000</f>
        <v>0</v>
      </c>
    </row>
    <row r="90" spans="2:120" x14ac:dyDescent="0.3">
      <c r="C90" s="39" t="s">
        <v>83</v>
      </c>
      <c r="D90" s="109"/>
      <c r="E90" s="40"/>
      <c r="F90" s="40">
        <f t="shared" ref="F90:V90" si="294">F88/AVERAGE(E107:F107)*4</f>
        <v>0.30941273332827257</v>
      </c>
      <c r="G90" s="40">
        <f t="shared" si="294"/>
        <v>0.21154875365386636</v>
      </c>
      <c r="H90" s="40">
        <f t="shared" si="294"/>
        <v>0.20889178888344079</v>
      </c>
      <c r="I90" s="40">
        <f t="shared" si="294"/>
        <v>0.20365846419758482</v>
      </c>
      <c r="J90" s="40">
        <f t="shared" si="294"/>
        <v>0.23280428552026605</v>
      </c>
      <c r="K90" s="40">
        <f t="shared" si="294"/>
        <v>0.26809956119597134</v>
      </c>
      <c r="L90" s="40">
        <f t="shared" si="294"/>
        <v>0.18398053323434857</v>
      </c>
      <c r="M90" s="40">
        <f t="shared" si="294"/>
        <v>0.13217713245487381</v>
      </c>
      <c r="N90" s="40">
        <f t="shared" si="294"/>
        <v>0.28207524761851405</v>
      </c>
      <c r="O90" s="40">
        <f t="shared" si="294"/>
        <v>0.22242562655559323</v>
      </c>
      <c r="P90" s="40">
        <f t="shared" si="294"/>
        <v>0.2827278134153054</v>
      </c>
      <c r="Q90" s="40">
        <f t="shared" si="294"/>
        <v>0.20136846860242055</v>
      </c>
      <c r="R90" s="40">
        <f t="shared" si="294"/>
        <v>0.36540980601623013</v>
      </c>
      <c r="S90" s="40">
        <f t="shared" si="294"/>
        <v>6.2758414873936727E-2</v>
      </c>
      <c r="T90" s="40">
        <f t="shared" si="294"/>
        <v>0.19230199171661078</v>
      </c>
      <c r="U90" s="40">
        <f t="shared" si="294"/>
        <v>0.28445772241569273</v>
      </c>
      <c r="V90" s="40">
        <f t="shared" si="294"/>
        <v>0.29453412048468658</v>
      </c>
      <c r="W90" s="169"/>
      <c r="Y90" s="40"/>
      <c r="Z90" s="40">
        <f t="shared" ref="Z90:AP90" si="295">Z88/AVERAGE(Y108:Z108)*4</f>
        <v>0.33991067243077794</v>
      </c>
      <c r="AA90" s="40">
        <f t="shared" si="295"/>
        <v>0.20193284878167564</v>
      </c>
      <c r="AB90" s="40">
        <f t="shared" si="295"/>
        <v>0.20552511193080436</v>
      </c>
      <c r="AC90" s="40">
        <f t="shared" si="295"/>
        <v>0.20208486589877456</v>
      </c>
      <c r="AD90" s="40">
        <f t="shared" si="295"/>
        <v>0.2720412333223306</v>
      </c>
      <c r="AE90" s="40">
        <f t="shared" si="295"/>
        <v>0.26767383889027047</v>
      </c>
      <c r="AF90" s="40">
        <f t="shared" si="295"/>
        <v>0.18756900611758648</v>
      </c>
      <c r="AG90" s="40">
        <f t="shared" si="295"/>
        <v>0.12171054308813488</v>
      </c>
      <c r="AH90" s="40">
        <f t="shared" si="295"/>
        <v>0.31212575824658928</v>
      </c>
      <c r="AI90" s="40">
        <f t="shared" si="295"/>
        <v>0.21680109782465812</v>
      </c>
      <c r="AJ90" s="40">
        <f t="shared" si="295"/>
        <v>0.29982945880259776</v>
      </c>
      <c r="AK90" s="40">
        <f t="shared" si="295"/>
        <v>0.20142711512166697</v>
      </c>
      <c r="AL90" s="40">
        <f t="shared" si="295"/>
        <v>0.34979175733658707</v>
      </c>
      <c r="AM90" s="40">
        <f t="shared" si="295"/>
        <v>3.109306692439337E-2</v>
      </c>
      <c r="AN90" s="40">
        <f t="shared" si="295"/>
        <v>0.13391698012843903</v>
      </c>
      <c r="AO90" s="40">
        <f t="shared" si="295"/>
        <v>0.29348875219894405</v>
      </c>
      <c r="AP90" s="40">
        <f t="shared" si="295"/>
        <v>0.29606230409674805</v>
      </c>
      <c r="AQ90" s="169"/>
      <c r="AS90" s="40"/>
      <c r="AT90" s="40">
        <f t="shared" ref="AT90:BJ90" si="296">AT88/AVERAGE(AS109:AT109)*4</f>
        <v>-0.15753012292398449</v>
      </c>
      <c r="AU90" s="40">
        <f t="shared" si="296"/>
        <v>0.26653454806058685</v>
      </c>
      <c r="AV90" s="40">
        <f t="shared" si="296"/>
        <v>0.14394544188172143</v>
      </c>
      <c r="AW90" s="40">
        <f t="shared" si="296"/>
        <v>7.9912567539300303E-2</v>
      </c>
      <c r="AX90" s="40">
        <f t="shared" si="296"/>
        <v>-3.3844248464211156E-2</v>
      </c>
      <c r="AY90" s="40">
        <f t="shared" si="296"/>
        <v>0.32664768543115696</v>
      </c>
      <c r="AZ90" s="40">
        <f t="shared" si="296"/>
        <v>0.19212177301539479</v>
      </c>
      <c r="BA90" s="40">
        <f t="shared" si="296"/>
        <v>0.28051354839909698</v>
      </c>
      <c r="BB90" s="40">
        <f t="shared" si="296"/>
        <v>9.1711511477303345E-2</v>
      </c>
      <c r="BC90" s="40">
        <f t="shared" si="296"/>
        <v>0.47498550084299823</v>
      </c>
      <c r="BD90" s="40">
        <f t="shared" si="296"/>
        <v>0.2952825277101177</v>
      </c>
      <c r="BE90" s="40">
        <f t="shared" si="296"/>
        <v>0.29130198102013388</v>
      </c>
      <c r="BF90" s="40">
        <f t="shared" si="296"/>
        <v>0.34958712562112992</v>
      </c>
      <c r="BG90" s="40">
        <f t="shared" si="296"/>
        <v>0.45306237732540916</v>
      </c>
      <c r="BH90" s="40">
        <f t="shared" si="296"/>
        <v>0.73960591626768313</v>
      </c>
      <c r="BI90" s="40">
        <f t="shared" si="296"/>
        <v>0.16411840470091613</v>
      </c>
      <c r="BJ90" s="40">
        <f t="shared" si="296"/>
        <v>0.3131843175661142</v>
      </c>
      <c r="BL90" s="41"/>
      <c r="BM90" s="40"/>
      <c r="BN90" s="40"/>
      <c r="BO90" s="40"/>
      <c r="BP90" s="40">
        <f t="shared" ref="BP90:CC90" si="297">BP88/AVERAGE(BO110:BP110)*4</f>
        <v>6.0477571590759034</v>
      </c>
      <c r="BQ90" s="40">
        <f t="shared" si="297"/>
        <v>1.6696506261971662</v>
      </c>
      <c r="BR90" s="40">
        <f t="shared" si="297"/>
        <v>1.4435899967321122</v>
      </c>
      <c r="BS90" s="40">
        <f t="shared" si="297"/>
        <v>0.98934227898549998</v>
      </c>
      <c r="BT90" s="40">
        <f t="shared" si="297"/>
        <v>1.3647128683346961</v>
      </c>
      <c r="BU90" s="40">
        <f t="shared" si="297"/>
        <v>0.99640690256531894</v>
      </c>
      <c r="BV90" s="40">
        <f t="shared" si="297"/>
        <v>0.18545140669982363</v>
      </c>
      <c r="BW90" s="40">
        <f t="shared" si="297"/>
        <v>-8.641733637101348</v>
      </c>
      <c r="BX90" s="40">
        <f t="shared" si="297"/>
        <v>6.7852810759111142</v>
      </c>
      <c r="BY90" s="40">
        <f t="shared" si="297"/>
        <v>5.2830334562635146</v>
      </c>
      <c r="BZ90" s="40">
        <f t="shared" si="297"/>
        <v>1.3124405973383433</v>
      </c>
      <c r="CA90" s="40">
        <f t="shared" si="297"/>
        <v>1.9226633858996873</v>
      </c>
      <c r="CB90" s="40">
        <f t="shared" si="297"/>
        <v>2.1202324288301839</v>
      </c>
      <c r="CC90" s="40">
        <f t="shared" si="297"/>
        <v>0.96135146220324275</v>
      </c>
      <c r="CE90" s="41"/>
      <c r="CF90" s="40"/>
      <c r="CG90" s="40"/>
      <c r="CH90" s="40">
        <f t="shared" ref="CH90:CV90" si="298">CH88/AVERAGE(SUM(CG109:CG110),SUM(CH109:CH110))*4</f>
        <v>0.2506066933648976</v>
      </c>
      <c r="CI90" s="40">
        <f t="shared" si="298"/>
        <v>0.21888532574455027</v>
      </c>
      <c r="CJ90" s="40">
        <f t="shared" si="298"/>
        <v>5.1202607939020352E-2</v>
      </c>
      <c r="CK90" s="40">
        <f t="shared" si="298"/>
        <v>0.3849356658519974</v>
      </c>
      <c r="CL90" s="40">
        <f t="shared" si="298"/>
        <v>0.22495282909090913</v>
      </c>
      <c r="CM90" s="40">
        <f t="shared" si="298"/>
        <v>0.32632501253172291</v>
      </c>
      <c r="CN90" s="40">
        <f t="shared" si="298"/>
        <v>0.1397541665947572</v>
      </c>
      <c r="CO90" s="40">
        <f t="shared" si="298"/>
        <v>0.46498238118824375</v>
      </c>
      <c r="CP90" s="40">
        <f t="shared" si="298"/>
        <v>0.24444286683002961</v>
      </c>
      <c r="CQ90" s="40">
        <f t="shared" si="298"/>
        <v>0.34832714756298311</v>
      </c>
      <c r="CR90" s="40">
        <f t="shared" si="298"/>
        <v>0.59347806994804964</v>
      </c>
      <c r="CS90" s="40">
        <f t="shared" si="298"/>
        <v>0.49919523518935177</v>
      </c>
      <c r="CT90" s="40">
        <f t="shared" si="298"/>
        <v>0.77895184135152207</v>
      </c>
      <c r="CU90" s="40">
        <f t="shared" si="298"/>
        <v>0.25849593093655959</v>
      </c>
      <c r="CV90" s="40">
        <f t="shared" si="298"/>
        <v>0.35507630587717626</v>
      </c>
      <c r="CW90" s="169"/>
      <c r="CY90" s="41"/>
      <c r="CZ90" s="40"/>
      <c r="DA90" s="40"/>
      <c r="DB90" s="40"/>
      <c r="DC90" s="40"/>
      <c r="DD90" s="40"/>
      <c r="DE90" s="40"/>
      <c r="DF90" s="40"/>
      <c r="DG90" s="40"/>
      <c r="DH90" s="40"/>
      <c r="DI90" s="40"/>
      <c r="DJ90" s="40"/>
      <c r="DK90" s="40"/>
      <c r="DL90" s="40"/>
      <c r="DM90" s="40"/>
      <c r="DN90" s="40"/>
      <c r="DO90" s="40"/>
      <c r="DP90" s="40"/>
    </row>
    <row r="91" spans="2:120" x14ac:dyDescent="0.3">
      <c r="C91" s="39" t="s">
        <v>132</v>
      </c>
      <c r="D91" s="109"/>
      <c r="E91" s="40"/>
      <c r="F91" s="40">
        <f t="shared" ref="F91:R91" si="299">F88/F112*4</f>
        <v>0.30924047670577409</v>
      </c>
      <c r="G91" s="40">
        <f t="shared" si="299"/>
        <v>0.21900735110079944</v>
      </c>
      <c r="H91" s="40">
        <f t="shared" si="299"/>
        <v>0.2078649917324156</v>
      </c>
      <c r="I91" s="40">
        <f t="shared" si="299"/>
        <v>0.20208536857661705</v>
      </c>
      <c r="J91" s="40">
        <f t="shared" si="299"/>
        <v>0.23351983600673396</v>
      </c>
      <c r="K91" s="40">
        <f t="shared" si="299"/>
        <v>0.26012545226162381</v>
      </c>
      <c r="L91" s="40">
        <f t="shared" si="299"/>
        <v>0.18398825664079874</v>
      </c>
      <c r="M91" s="40">
        <f t="shared" si="299"/>
        <v>0.13165784177347481</v>
      </c>
      <c r="N91" s="40">
        <f t="shared" si="299"/>
        <v>0.28199010614742015</v>
      </c>
      <c r="O91" s="40">
        <f t="shared" si="299"/>
        <v>0.22221043935787707</v>
      </c>
      <c r="P91" s="40">
        <f t="shared" si="299"/>
        <v>0.28476398017482912</v>
      </c>
      <c r="Q91" s="40">
        <f t="shared" si="299"/>
        <v>0.20249903522929241</v>
      </c>
      <c r="R91" s="40">
        <f t="shared" si="299"/>
        <v>0.37248008632439628</v>
      </c>
      <c r="S91" s="40">
        <f>S88/S112*4</f>
        <v>6.2326063287745689E-2</v>
      </c>
      <c r="T91" s="40">
        <f>T88/T112*4</f>
        <v>0.18989103349274788</v>
      </c>
      <c r="U91" s="40">
        <f>U88/U112*4</f>
        <v>0.2830624998299352</v>
      </c>
      <c r="V91" s="40">
        <f>V88/V112*4</f>
        <v>0.292984942439596</v>
      </c>
      <c r="W91" s="169"/>
      <c r="Y91" s="40"/>
      <c r="Z91" s="40">
        <f t="shared" ref="Z91:AL91" si="300">Z88/Z113*4</f>
        <v>0.33982318320130273</v>
      </c>
      <c r="AA91" s="40">
        <f t="shared" si="300"/>
        <v>0.20975346461610972</v>
      </c>
      <c r="AB91" s="40">
        <f t="shared" si="300"/>
        <v>0.20461029917814966</v>
      </c>
      <c r="AC91" s="40">
        <f t="shared" si="300"/>
        <v>0.20082149432578558</v>
      </c>
      <c r="AD91" s="40">
        <f t="shared" si="300"/>
        <v>0.27288271761851446</v>
      </c>
      <c r="AE91" s="40">
        <f t="shared" si="300"/>
        <v>0.25964437526282452</v>
      </c>
      <c r="AF91" s="40">
        <f t="shared" si="300"/>
        <v>0.18739077039752122</v>
      </c>
      <c r="AG91" s="40">
        <f t="shared" si="300"/>
        <v>0.12134655341793485</v>
      </c>
      <c r="AH91" s="40">
        <f t="shared" si="300"/>
        <v>0.31234217292077193</v>
      </c>
      <c r="AI91" s="40">
        <f t="shared" si="300"/>
        <v>0.21679138494120165</v>
      </c>
      <c r="AJ91" s="40">
        <f t="shared" si="300"/>
        <v>0.30237331810683693</v>
      </c>
      <c r="AK91" s="40">
        <f t="shared" si="300"/>
        <v>0.20294636599992627</v>
      </c>
      <c r="AL91" s="40">
        <f t="shared" si="300"/>
        <v>0.35775543990211051</v>
      </c>
      <c r="AM91" s="40">
        <f>AM88/AM113*4</f>
        <v>3.106762859266491E-2</v>
      </c>
      <c r="AN91" s="40">
        <f>AN88/AN113*4</f>
        <v>0.13228354327131722</v>
      </c>
      <c r="AO91" s="40">
        <f>AO88/AO113*4</f>
        <v>0.29200769855463449</v>
      </c>
      <c r="AP91" s="40">
        <f>AP88/AP113*4</f>
        <v>0.29455411617216726</v>
      </c>
      <c r="AQ91" s="169"/>
      <c r="AS91" s="40"/>
      <c r="AT91" s="40">
        <f t="shared" ref="AT91:BF91" si="301">AT88/AT114*4</f>
        <v>-0.15690421419880232</v>
      </c>
      <c r="AU91" s="40">
        <f t="shared" si="301"/>
        <v>0.26276904102633442</v>
      </c>
      <c r="AV91" s="40">
        <f t="shared" si="301"/>
        <v>0.14435683887700987</v>
      </c>
      <c r="AW91" s="40">
        <f t="shared" si="301"/>
        <v>7.9312141650407009E-2</v>
      </c>
      <c r="AX91" s="40">
        <f t="shared" si="301"/>
        <v>-3.4322887284541491E-2</v>
      </c>
      <c r="AY91" s="40">
        <f t="shared" si="301"/>
        <v>0.31983215708445867</v>
      </c>
      <c r="AZ91" s="40">
        <f t="shared" si="301"/>
        <v>0.19339327702868725</v>
      </c>
      <c r="BA91" s="40">
        <f t="shared" si="301"/>
        <v>0.27676616942974941</v>
      </c>
      <c r="BB91" s="40">
        <f t="shared" si="301"/>
        <v>9.0721253269507404E-2</v>
      </c>
      <c r="BC91" s="40">
        <f t="shared" si="301"/>
        <v>0.47370833177922467</v>
      </c>
      <c r="BD91" s="40">
        <f t="shared" si="301"/>
        <v>0.29527530685468067</v>
      </c>
      <c r="BE91" s="40">
        <f t="shared" si="301"/>
        <v>0.28848015376722652</v>
      </c>
      <c r="BF91" s="40">
        <f t="shared" si="301"/>
        <v>0.34299345792586544</v>
      </c>
      <c r="BG91" s="40">
        <f>BG88/BG114*4</f>
        <v>0.434514898909798</v>
      </c>
      <c r="BH91" s="40">
        <f>BH88/BH114*4</f>
        <v>0.73289982430460598</v>
      </c>
      <c r="BI91" s="40">
        <f>BI88/BI114*4</f>
        <v>0.16347162618505723</v>
      </c>
      <c r="BJ91" s="40">
        <f>BJ88/BJ114*4</f>
        <v>0.31262994633261343</v>
      </c>
      <c r="BL91" s="41"/>
      <c r="BM91" s="40"/>
      <c r="BN91" s="40"/>
      <c r="BO91" s="40">
        <f t="shared" ref="BO91:BY91" si="302">BO88/BO115*4</f>
        <v>17.668232016000008</v>
      </c>
      <c r="BP91" s="40">
        <f t="shared" si="302"/>
        <v>3.4449729368054567</v>
      </c>
      <c r="BQ91" s="40">
        <f t="shared" si="302"/>
        <v>1.3815041908444272</v>
      </c>
      <c r="BR91" s="40">
        <f t="shared" si="302"/>
        <v>1.2628002880277838</v>
      </c>
      <c r="BS91" s="40">
        <f t="shared" si="302"/>
        <v>1.0997277247157689</v>
      </c>
      <c r="BT91" s="40">
        <f t="shared" si="302"/>
        <v>1.3361408608092931</v>
      </c>
      <c r="BU91" s="40">
        <f t="shared" si="302"/>
        <v>0.98292098105303505</v>
      </c>
      <c r="BV91" s="40">
        <f t="shared" si="302"/>
        <v>0.15036525725639338</v>
      </c>
      <c r="BW91" s="40">
        <f t="shared" si="302"/>
        <v>-4.4091197578612764</v>
      </c>
      <c r="BX91" s="40">
        <f t="shared" si="302"/>
        <v>4.7937417001675477</v>
      </c>
      <c r="BY91" s="40">
        <f t="shared" si="302"/>
        <v>6.0832495231878374</v>
      </c>
      <c r="BZ91" s="40">
        <f>BZ88/BZ115*4</f>
        <v>0.93099033346867432</v>
      </c>
      <c r="CA91" s="40">
        <f>CA88/CA115*4</f>
        <v>1.5977155461906205</v>
      </c>
      <c r="CB91" s="40">
        <f>CB88/CB115*4</f>
        <v>2.1182070682911265</v>
      </c>
      <c r="CC91" s="40">
        <f>CC88/CC115*4</f>
        <v>0.89296424970138821</v>
      </c>
      <c r="CE91" s="41"/>
      <c r="CF91" s="40"/>
      <c r="CG91" s="40"/>
      <c r="CH91" s="40">
        <f t="shared" ref="CH91:CR91" si="303">CH88/SUM(CH114:CH115)*4</f>
        <v>0.24804604954139275</v>
      </c>
      <c r="CI91" s="40">
        <f t="shared" si="303"/>
        <v>0.21354913404902401</v>
      </c>
      <c r="CJ91" s="40">
        <f t="shared" si="303"/>
        <v>5.1348226618530717E-2</v>
      </c>
      <c r="CK91" s="40">
        <f t="shared" si="303"/>
        <v>0.37457171703805198</v>
      </c>
      <c r="CL91" s="40">
        <f t="shared" si="303"/>
        <v>0.22732556034007018</v>
      </c>
      <c r="CM91" s="40">
        <f t="shared" si="303"/>
        <v>0.32186038530704186</v>
      </c>
      <c r="CN91" s="40">
        <f t="shared" si="303"/>
        <v>0.13822480013211291</v>
      </c>
      <c r="CO91" s="40">
        <f t="shared" si="303"/>
        <v>0.46007585121635469</v>
      </c>
      <c r="CP91" s="40">
        <f t="shared" si="303"/>
        <v>0.24310935158379873</v>
      </c>
      <c r="CQ91" s="40">
        <f t="shared" si="303"/>
        <v>0.3437402994378837</v>
      </c>
      <c r="CR91" s="40">
        <f t="shared" si="303"/>
        <v>0.58657381220938065</v>
      </c>
      <c r="CS91" s="40">
        <f>CS88/SUM(CS114:CS115)*4</f>
        <v>0.46987999033158612</v>
      </c>
      <c r="CT91" s="40">
        <f>CT88/SUM(CT114:CT115)*4</f>
        <v>0.76697941660651792</v>
      </c>
      <c r="CU91" s="40">
        <f>CU88/SUM(CU114:CU115)*4</f>
        <v>0.25751434824892211</v>
      </c>
      <c r="CV91" s="40">
        <f>CV88/SUM(CV114:CV115)*4</f>
        <v>0.35274522076113352</v>
      </c>
      <c r="CW91" s="169"/>
      <c r="CY91" s="41"/>
      <c r="CZ91" s="40"/>
      <c r="DA91" s="40"/>
      <c r="DB91" s="40"/>
      <c r="DC91" s="40"/>
      <c r="DD91" s="40"/>
      <c r="DE91" s="40"/>
      <c r="DF91" s="40"/>
      <c r="DG91" s="40"/>
      <c r="DH91" s="40"/>
      <c r="DI91" s="40"/>
      <c r="DJ91" s="40"/>
      <c r="DK91" s="40"/>
      <c r="DL91" s="40"/>
      <c r="DM91" s="40"/>
      <c r="DN91" s="40"/>
      <c r="DO91" s="40"/>
      <c r="DP91" s="40"/>
    </row>
    <row r="92" spans="2:120" x14ac:dyDescent="0.3">
      <c r="C92" s="39" t="s">
        <v>84</v>
      </c>
      <c r="D92" s="109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169"/>
      <c r="Y92" s="40"/>
      <c r="Z92" s="40">
        <f>Z85/AVERAGE(Y130:Z130)*4</f>
        <v>8.8975433455590128E-2</v>
      </c>
      <c r="AA92" s="40">
        <f t="shared" ref="AA92:AP92" si="304">AA85/AVERAGE(Z130:AA130)*4</f>
        <v>4.7870937485719141E-2</v>
      </c>
      <c r="AB92" s="40">
        <f t="shared" si="304"/>
        <v>4.5508825085206095E-2</v>
      </c>
      <c r="AC92" s="40">
        <f t="shared" si="304"/>
        <v>4.3999645198329093E-2</v>
      </c>
      <c r="AD92" s="40">
        <f t="shared" si="304"/>
        <v>5.8408930807526176E-2</v>
      </c>
      <c r="AE92" s="40">
        <f t="shared" si="304"/>
        <v>5.2390926259925821E-2</v>
      </c>
      <c r="AF92" s="40">
        <f t="shared" si="304"/>
        <v>3.3388464844426272E-2</v>
      </c>
      <c r="AG92" s="40">
        <f t="shared" si="304"/>
        <v>2.0207688028555715E-2</v>
      </c>
      <c r="AH92" s="40">
        <f t="shared" si="304"/>
        <v>5.0320318471639001E-2</v>
      </c>
      <c r="AI92" s="40">
        <f t="shared" si="304"/>
        <v>3.1200158361723559E-2</v>
      </c>
      <c r="AJ92" s="40">
        <f t="shared" si="304"/>
        <v>3.8476911476816089E-2</v>
      </c>
      <c r="AK92" s="40">
        <f t="shared" si="304"/>
        <v>2.6349355453191722E-2</v>
      </c>
      <c r="AL92" s="40">
        <f t="shared" si="304"/>
        <v>4.3491525457720594E-2</v>
      </c>
      <c r="AM92" s="40">
        <f t="shared" si="304"/>
        <v>4.3528895704777479E-3</v>
      </c>
      <c r="AN92" s="40">
        <f t="shared" si="304"/>
        <v>1.8144936820938273E-2</v>
      </c>
      <c r="AO92" s="40">
        <f t="shared" si="304"/>
        <v>4.0845890428477492E-2</v>
      </c>
      <c r="AP92" s="40">
        <f t="shared" si="304"/>
        <v>4.6352454416355535E-2</v>
      </c>
      <c r="AQ92" s="169"/>
      <c r="AS92" s="41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L92" s="41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E92" s="41"/>
      <c r="CF92" s="40"/>
      <c r="CG92" s="40"/>
      <c r="CH92" s="40"/>
      <c r="CI92" s="40"/>
      <c r="CJ92" s="40"/>
      <c r="CK92" s="40"/>
      <c r="CL92" s="40"/>
      <c r="CM92" s="40"/>
      <c r="CN92" s="40"/>
      <c r="CO92" s="40"/>
      <c r="CP92" s="40"/>
      <c r="CQ92" s="40"/>
      <c r="CR92" s="40"/>
      <c r="CS92" s="40"/>
      <c r="CT92" s="40"/>
      <c r="CU92" s="40"/>
      <c r="CV92" s="40"/>
      <c r="CW92" s="169"/>
      <c r="CY92" s="41"/>
      <c r="CZ92" s="40"/>
      <c r="DA92" s="40"/>
      <c r="DB92" s="40"/>
      <c r="DC92" s="40"/>
      <c r="DD92" s="40"/>
      <c r="DE92" s="40"/>
      <c r="DF92" s="40"/>
      <c r="DG92" s="40"/>
      <c r="DH92" s="40"/>
      <c r="DI92" s="40"/>
      <c r="DJ92" s="40"/>
      <c r="DK92" s="40"/>
      <c r="DL92" s="40"/>
      <c r="DM92" s="40"/>
      <c r="DN92" s="40"/>
      <c r="DO92" s="40"/>
      <c r="DP92" s="40"/>
    </row>
    <row r="93" spans="2:120" x14ac:dyDescent="0.3">
      <c r="C93" s="45"/>
      <c r="D93" s="112"/>
      <c r="E93" s="45"/>
      <c r="F93" s="62"/>
      <c r="G93" s="62"/>
      <c r="H93" s="62"/>
      <c r="I93" s="62"/>
      <c r="J93" s="62"/>
      <c r="K93" s="62"/>
      <c r="L93" s="131"/>
      <c r="M93" s="131"/>
      <c r="N93" s="131"/>
      <c r="O93" s="131"/>
      <c r="P93" s="131"/>
      <c r="Q93" s="131"/>
      <c r="R93" s="62"/>
      <c r="S93" s="62"/>
      <c r="T93" s="62"/>
      <c r="U93" s="62"/>
      <c r="V93" s="62"/>
      <c r="W93" s="62"/>
      <c r="Y93" s="45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S93" s="45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  <c r="BG93" s="62"/>
      <c r="BH93" s="62"/>
      <c r="BI93" s="62"/>
      <c r="BJ93" s="62"/>
      <c r="BL93" s="45"/>
      <c r="BM93" s="62"/>
      <c r="BN93" s="62"/>
      <c r="BO93" s="62"/>
      <c r="BP93" s="62"/>
      <c r="BQ93" s="62"/>
      <c r="BR93" s="62"/>
      <c r="BS93" s="62"/>
      <c r="BT93" s="62"/>
      <c r="BU93" s="62"/>
      <c r="BV93" s="62"/>
      <c r="BW93" s="62"/>
      <c r="BX93" s="62"/>
      <c r="BY93" s="62"/>
      <c r="BZ93" s="62"/>
      <c r="CA93" s="62"/>
      <c r="CB93" s="62"/>
      <c r="CC93" s="62"/>
      <c r="CE93" s="45"/>
      <c r="CF93" s="62"/>
      <c r="CG93" s="62"/>
      <c r="CH93" s="62"/>
      <c r="CI93" s="62"/>
      <c r="CJ93" s="62"/>
      <c r="CK93" s="62"/>
      <c r="CL93" s="62"/>
      <c r="CM93" s="62"/>
      <c r="CN93" s="62"/>
      <c r="CO93" s="62"/>
      <c r="CP93" s="62"/>
      <c r="CQ93" s="62"/>
      <c r="CR93" s="62"/>
      <c r="CS93" s="62"/>
      <c r="CT93" s="62"/>
      <c r="CU93" s="62"/>
      <c r="CV93" s="62"/>
      <c r="CW93" s="62"/>
      <c r="CY93" s="45"/>
      <c r="CZ93" s="62"/>
      <c r="DA93" s="62"/>
      <c r="DB93" s="62"/>
      <c r="DC93" s="62"/>
      <c r="DD93" s="62"/>
      <c r="DE93" s="62"/>
      <c r="DF93" s="62"/>
      <c r="DG93" s="62"/>
      <c r="DH93" s="62"/>
      <c r="DI93" s="62"/>
      <c r="DJ93" s="62"/>
      <c r="DK93" s="62"/>
      <c r="DL93" s="62"/>
      <c r="DM93" s="62"/>
      <c r="DN93" s="62"/>
      <c r="DO93" s="62"/>
      <c r="DP93" s="62"/>
    </row>
    <row r="94" spans="2:120" s="32" customFormat="1" x14ac:dyDescent="0.3">
      <c r="B94" s="29"/>
      <c r="C94" s="30" t="s">
        <v>171</v>
      </c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0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  <c r="CC94" s="31"/>
      <c r="CE94" s="31"/>
      <c r="CF94" s="31"/>
      <c r="CG94" s="31"/>
      <c r="CH94" s="31"/>
      <c r="CI94" s="31"/>
      <c r="CJ94" s="31"/>
      <c r="CK94" s="31"/>
      <c r="CL94" s="31"/>
      <c r="CM94" s="31"/>
      <c r="CN94" s="31"/>
      <c r="CO94" s="31"/>
      <c r="CP94" s="31"/>
      <c r="CQ94" s="31"/>
      <c r="CR94" s="31"/>
      <c r="CS94" s="31"/>
      <c r="CT94" s="31"/>
      <c r="CU94" s="31"/>
      <c r="CV94" s="31"/>
      <c r="CW94" s="30"/>
      <c r="CY94" s="31"/>
      <c r="CZ94" s="31"/>
      <c r="DA94" s="31"/>
      <c r="DB94" s="31"/>
      <c r="DC94" s="31"/>
      <c r="DD94" s="31"/>
      <c r="DE94" s="31"/>
      <c r="DF94" s="31"/>
      <c r="DG94" s="31"/>
      <c r="DH94" s="31"/>
      <c r="DI94" s="31"/>
      <c r="DJ94" s="31"/>
      <c r="DK94" s="31"/>
      <c r="DL94" s="31"/>
      <c r="DM94" s="31"/>
      <c r="DN94" s="31"/>
      <c r="DO94" s="31"/>
      <c r="DP94" s="31"/>
    </row>
    <row r="95" spans="2:120" s="35" customFormat="1" x14ac:dyDescent="0.3">
      <c r="B95" s="33"/>
      <c r="C95" s="63" t="s">
        <v>172</v>
      </c>
      <c r="D95" s="63"/>
      <c r="E95" s="34"/>
      <c r="F95" s="150">
        <f t="shared" ref="F95:R95" si="305">F88</f>
        <v>158810.61096740334</v>
      </c>
      <c r="G95" s="150">
        <f t="shared" si="305"/>
        <v>109290.43803921674</v>
      </c>
      <c r="H95" s="150">
        <f t="shared" si="305"/>
        <v>109068.14750023873</v>
      </c>
      <c r="I95" s="150">
        <f t="shared" si="305"/>
        <v>111978.72986323522</v>
      </c>
      <c r="J95" s="150">
        <f t="shared" si="305"/>
        <v>134481.71580379386</v>
      </c>
      <c r="K95" s="150">
        <f t="shared" si="305"/>
        <v>153545.47453853491</v>
      </c>
      <c r="L95" s="150">
        <f t="shared" si="305"/>
        <v>104378.53921789608</v>
      </c>
      <c r="M95" s="150">
        <f t="shared" si="305"/>
        <v>78253.430641395695</v>
      </c>
      <c r="N95" s="150">
        <f t="shared" si="305"/>
        <v>174535.91788213392</v>
      </c>
      <c r="O95" s="150">
        <f t="shared" si="305"/>
        <v>135911.69824525909</v>
      </c>
      <c r="P95" s="150">
        <f t="shared" si="305"/>
        <v>171878.6541226579</v>
      </c>
      <c r="Q95" s="150">
        <f t="shared" si="305"/>
        <v>130253.29407552403</v>
      </c>
      <c r="R95" s="150">
        <f t="shared" si="305"/>
        <v>254164.43439193515</v>
      </c>
      <c r="S95" s="150">
        <f>S88</f>
        <v>45355.003707340569</v>
      </c>
      <c r="T95" s="150">
        <f>T88</f>
        <v>142016.47468617253</v>
      </c>
      <c r="U95" s="150">
        <f>U88</f>
        <v>222975.81742276097</v>
      </c>
      <c r="V95" s="150">
        <f>V88</f>
        <v>247320.76705865187</v>
      </c>
      <c r="W95" s="168">
        <f t="shared" si="215"/>
        <v>-2.692614074685995E-2</v>
      </c>
      <c r="Y95" s="34"/>
      <c r="Z95" s="34"/>
      <c r="AA95" s="34"/>
      <c r="AB95" s="34"/>
      <c r="AC95" s="34"/>
      <c r="AD95" s="34"/>
      <c r="AE95" s="34"/>
      <c r="AF95" s="150"/>
      <c r="AG95" s="150"/>
      <c r="AH95" s="150"/>
      <c r="AI95" s="150"/>
      <c r="AJ95" s="150"/>
      <c r="AK95" s="150"/>
      <c r="AL95" s="150"/>
      <c r="AM95" s="150"/>
      <c r="AN95" s="150"/>
      <c r="AO95" s="150"/>
      <c r="AP95" s="150"/>
      <c r="AQ95" s="168"/>
      <c r="AS95" s="34"/>
      <c r="AT95" s="34"/>
      <c r="AU95" s="34"/>
      <c r="AV95" s="34"/>
      <c r="AW95" s="34"/>
      <c r="AX95" s="34"/>
      <c r="AY95" s="34"/>
      <c r="AZ95" s="150"/>
      <c r="BA95" s="150"/>
      <c r="BB95" s="150"/>
      <c r="BC95" s="150"/>
      <c r="BD95" s="150"/>
      <c r="BE95" s="150"/>
      <c r="BF95" s="150"/>
      <c r="BG95" s="150"/>
      <c r="BH95" s="150"/>
      <c r="BI95" s="150"/>
      <c r="BJ95" s="150"/>
      <c r="BL95" s="34"/>
      <c r="BM95" s="34"/>
      <c r="BN95" s="34"/>
      <c r="BO95" s="34"/>
      <c r="BP95" s="34"/>
      <c r="BQ95" s="34"/>
      <c r="BR95" s="34"/>
      <c r="BS95" s="150"/>
      <c r="BT95" s="150"/>
      <c r="BU95" s="150"/>
      <c r="BV95" s="150"/>
      <c r="BW95" s="150"/>
      <c r="BX95" s="150"/>
      <c r="BY95" s="150"/>
      <c r="BZ95" s="150"/>
      <c r="CA95" s="150"/>
      <c r="CB95" s="150"/>
      <c r="CC95" s="150"/>
      <c r="CE95" s="34"/>
      <c r="CF95" s="34"/>
      <c r="CG95" s="34"/>
      <c r="CH95" s="34"/>
      <c r="CI95" s="34"/>
      <c r="CJ95" s="34"/>
      <c r="CK95" s="34"/>
      <c r="CL95" s="150"/>
      <c r="CM95" s="150"/>
      <c r="CN95" s="150"/>
      <c r="CO95" s="150"/>
      <c r="CP95" s="150"/>
      <c r="CQ95" s="150"/>
      <c r="CR95" s="150"/>
      <c r="CS95" s="150"/>
      <c r="CT95" s="150"/>
      <c r="CU95" s="150"/>
      <c r="CV95" s="150"/>
      <c r="CW95" s="168"/>
      <c r="CY95" s="34"/>
      <c r="CZ95" s="34"/>
      <c r="DA95" s="34"/>
      <c r="DB95" s="34"/>
      <c r="DC95" s="34"/>
      <c r="DD95" s="34"/>
      <c r="DE95" s="34"/>
      <c r="DF95" s="150"/>
      <c r="DG95" s="150"/>
      <c r="DH95" s="150"/>
      <c r="DI95" s="150"/>
      <c r="DJ95" s="150"/>
      <c r="DK95" s="150"/>
      <c r="DL95" s="150"/>
      <c r="DM95" s="150"/>
      <c r="DN95" s="150"/>
      <c r="DO95" s="150"/>
      <c r="DP95" s="150"/>
    </row>
    <row r="96" spans="2:120" s="64" customFormat="1" x14ac:dyDescent="0.3">
      <c r="C96" s="65" t="s">
        <v>187</v>
      </c>
      <c r="D96" s="77"/>
      <c r="E96" s="70"/>
      <c r="F96" s="70"/>
      <c r="G96" s="70">
        <v>247</v>
      </c>
      <c r="H96" s="70">
        <v>3423.9715449802784</v>
      </c>
      <c r="I96" s="70">
        <v>3030.0284550197216</v>
      </c>
      <c r="J96" s="70">
        <v>3335</v>
      </c>
      <c r="K96" s="38">
        <v>9449</v>
      </c>
      <c r="L96" s="38">
        <v>5483.9751247788427</v>
      </c>
      <c r="M96" s="203">
        <v>8557.0248752211555</v>
      </c>
      <c r="N96" s="203">
        <v>7142</v>
      </c>
      <c r="O96" s="203">
        <v>7026.2995729173708</v>
      </c>
      <c r="P96" s="203">
        <v>15716.744427082631</v>
      </c>
      <c r="Q96" s="203">
        <v>10019.955999999998</v>
      </c>
      <c r="R96" s="203">
        <f>36840.9225267412-SUM(O96:Q96)</f>
        <v>4077.9225267411966</v>
      </c>
      <c r="S96" s="203">
        <v>5262.4189999999999</v>
      </c>
      <c r="T96" s="203">
        <v>7087.5810000000001</v>
      </c>
      <c r="U96" s="203">
        <v>6218</v>
      </c>
      <c r="V96" s="203">
        <v>5709.1171317560002</v>
      </c>
      <c r="W96" s="201">
        <f t="shared" si="215"/>
        <v>0.40000627631303853</v>
      </c>
      <c r="X96" s="42"/>
      <c r="Y96" s="67"/>
      <c r="Z96" s="67"/>
      <c r="AA96" s="67"/>
      <c r="AB96" s="67"/>
      <c r="AC96" s="67"/>
      <c r="AD96" s="67"/>
      <c r="AE96" s="67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201"/>
      <c r="AS96" s="67"/>
      <c r="AT96" s="67"/>
      <c r="AU96" s="67"/>
      <c r="AV96" s="67"/>
      <c r="AW96" s="67"/>
      <c r="AX96" s="67"/>
      <c r="AY96" s="67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L96" s="67"/>
      <c r="BM96" s="67"/>
      <c r="BN96" s="67"/>
      <c r="BO96" s="67"/>
      <c r="BP96" s="67"/>
      <c r="BQ96" s="67"/>
      <c r="BR96" s="67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E96" s="67"/>
      <c r="CF96" s="67"/>
      <c r="CG96" s="67"/>
      <c r="CH96" s="67"/>
      <c r="CI96" s="67"/>
      <c r="CJ96" s="67"/>
      <c r="CK96" s="67"/>
      <c r="CL96" s="38"/>
      <c r="CM96" s="38"/>
      <c r="CN96" s="38"/>
      <c r="CO96" s="38"/>
      <c r="CP96" s="38"/>
      <c r="CQ96" s="38"/>
      <c r="CR96" s="38"/>
      <c r="CS96" s="38"/>
      <c r="CT96" s="38"/>
      <c r="CU96" s="38"/>
      <c r="CV96" s="38"/>
      <c r="CW96" s="201"/>
      <c r="CY96" s="67"/>
      <c r="CZ96" s="67"/>
      <c r="DA96" s="67"/>
      <c r="DB96" s="67"/>
      <c r="DC96" s="67"/>
      <c r="DD96" s="67"/>
      <c r="DE96" s="67"/>
      <c r="DF96" s="38"/>
      <c r="DG96" s="38"/>
      <c r="DH96" s="38"/>
      <c r="DI96" s="38"/>
      <c r="DJ96" s="38"/>
      <c r="DK96" s="38"/>
      <c r="DL96" s="38"/>
      <c r="DM96" s="38"/>
      <c r="DN96" s="38"/>
      <c r="DO96" s="38"/>
      <c r="DP96" s="38"/>
    </row>
    <row r="97" spans="2:120" s="64" customFormat="1" x14ac:dyDescent="0.3">
      <c r="C97" s="65" t="s">
        <v>213</v>
      </c>
      <c r="D97" s="77"/>
      <c r="E97" s="70"/>
      <c r="F97" s="70"/>
      <c r="G97" s="70"/>
      <c r="H97" s="70"/>
      <c r="I97" s="70"/>
      <c r="J97" s="70"/>
      <c r="K97" s="38"/>
      <c r="L97" s="38"/>
      <c r="M97" s="203"/>
      <c r="N97" s="203"/>
      <c r="O97" s="203"/>
      <c r="P97" s="203"/>
      <c r="Q97" s="203"/>
      <c r="R97" s="203">
        <v>-147274.58600000001</v>
      </c>
      <c r="S97" s="203">
        <v>0</v>
      </c>
      <c r="T97" s="203"/>
      <c r="U97" s="203"/>
      <c r="V97" s="203"/>
      <c r="W97" s="64">
        <f t="shared" si="215"/>
        <v>-1</v>
      </c>
      <c r="X97" s="36"/>
      <c r="Y97" s="67"/>
      <c r="Z97" s="67"/>
      <c r="AA97" s="67"/>
      <c r="AB97" s="67"/>
      <c r="AC97" s="67"/>
      <c r="AD97" s="67"/>
      <c r="AE97" s="67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S97" s="67"/>
      <c r="AT97" s="67"/>
      <c r="AU97" s="67"/>
      <c r="AV97" s="67"/>
      <c r="AW97" s="67"/>
      <c r="AX97" s="67"/>
      <c r="AY97" s="67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L97" s="67"/>
      <c r="BM97" s="67"/>
      <c r="BN97" s="67"/>
      <c r="BO97" s="67"/>
      <c r="BP97" s="67"/>
      <c r="BQ97" s="67"/>
      <c r="BR97" s="67"/>
      <c r="BS97" s="38"/>
      <c r="BT97" s="38"/>
      <c r="BU97" s="38"/>
      <c r="BV97" s="38"/>
      <c r="BW97" s="38"/>
      <c r="BX97" s="38"/>
      <c r="BY97" s="38"/>
      <c r="BZ97" s="38"/>
      <c r="CA97" s="38"/>
      <c r="CB97" s="38"/>
      <c r="CC97" s="38"/>
      <c r="CE97" s="67"/>
      <c r="CF97" s="67"/>
      <c r="CG97" s="67"/>
      <c r="CH97" s="67"/>
      <c r="CI97" s="67"/>
      <c r="CJ97" s="67"/>
      <c r="CK97" s="67"/>
      <c r="CL97" s="38"/>
      <c r="CM97" s="38"/>
      <c r="CN97" s="38"/>
      <c r="CO97" s="38"/>
      <c r="CP97" s="38"/>
      <c r="CQ97" s="38"/>
      <c r="CR97" s="38"/>
      <c r="CS97" s="38"/>
      <c r="CT97" s="38"/>
      <c r="CU97" s="38"/>
      <c r="CV97" s="38"/>
      <c r="CY97" s="67"/>
      <c r="CZ97" s="67"/>
      <c r="DA97" s="67"/>
      <c r="DB97" s="67"/>
      <c r="DC97" s="67"/>
      <c r="DD97" s="67"/>
      <c r="DE97" s="67"/>
      <c r="DF97" s="38"/>
      <c r="DG97" s="38"/>
      <c r="DH97" s="38"/>
      <c r="DI97" s="38"/>
      <c r="DJ97" s="38"/>
      <c r="DK97" s="38"/>
      <c r="DL97" s="38"/>
      <c r="DM97" s="38"/>
      <c r="DN97" s="38"/>
      <c r="DO97" s="38"/>
      <c r="DP97" s="38"/>
    </row>
    <row r="98" spans="2:120" s="64" customFormat="1" x14ac:dyDescent="0.3">
      <c r="C98" s="65" t="s">
        <v>192</v>
      </c>
      <c r="D98" s="77"/>
      <c r="E98" s="70"/>
      <c r="F98" s="70"/>
      <c r="G98" s="70"/>
      <c r="H98" s="70"/>
      <c r="I98" s="70">
        <v>5837</v>
      </c>
      <c r="J98" s="70">
        <v>7011</v>
      </c>
      <c r="K98" s="38">
        <v>8610</v>
      </c>
      <c r="L98" s="38">
        <v>6059.9024600000012</v>
      </c>
      <c r="M98" s="203">
        <v>6950</v>
      </c>
      <c r="N98" s="203">
        <v>10760</v>
      </c>
      <c r="O98" s="203">
        <v>11116.668550619284</v>
      </c>
      <c r="P98" s="203">
        <v>8905.8591926587142</v>
      </c>
      <c r="Q98" s="203">
        <v>10299.472256722001</v>
      </c>
      <c r="R98" s="203">
        <v>7274</v>
      </c>
      <c r="S98" s="203">
        <f>6967+7158</f>
        <v>14125</v>
      </c>
      <c r="T98" s="203">
        <f>6180+2057</f>
        <v>8237</v>
      </c>
      <c r="U98" s="203">
        <v>6625</v>
      </c>
      <c r="V98" s="203">
        <v>8178.6782097786927</v>
      </c>
      <c r="W98" s="201">
        <f t="shared" si="215"/>
        <v>0.12437148883402438</v>
      </c>
      <c r="X98" s="42"/>
      <c r="Y98" s="67"/>
      <c r="Z98" s="67"/>
      <c r="AA98" s="67"/>
      <c r="AB98" s="67"/>
      <c r="AC98" s="67"/>
      <c r="AD98" s="67"/>
      <c r="AE98" s="67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201"/>
      <c r="AS98" s="67"/>
      <c r="AT98" s="67"/>
      <c r="AU98" s="67"/>
      <c r="AV98" s="67"/>
      <c r="AW98" s="67"/>
      <c r="AX98" s="67"/>
      <c r="AY98" s="67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L98" s="67"/>
      <c r="BM98" s="67"/>
      <c r="BN98" s="67"/>
      <c r="BO98" s="67"/>
      <c r="BP98" s="67"/>
      <c r="BQ98" s="67"/>
      <c r="BR98" s="67"/>
      <c r="BS98" s="38"/>
      <c r="BT98" s="38"/>
      <c r="BU98" s="38"/>
      <c r="BV98" s="38"/>
      <c r="BW98" s="38"/>
      <c r="BX98" s="38"/>
      <c r="BY98" s="38"/>
      <c r="BZ98" s="38"/>
      <c r="CA98" s="38"/>
      <c r="CB98" s="38"/>
      <c r="CC98" s="38"/>
      <c r="CE98" s="67"/>
      <c r="CF98" s="67"/>
      <c r="CG98" s="67"/>
      <c r="CH98" s="67"/>
      <c r="CI98" s="67"/>
      <c r="CJ98" s="67"/>
      <c r="CK98" s="67"/>
      <c r="CL98" s="38"/>
      <c r="CM98" s="38"/>
      <c r="CN98" s="38"/>
      <c r="CO98" s="38"/>
      <c r="CP98" s="38"/>
      <c r="CQ98" s="38"/>
      <c r="CR98" s="38"/>
      <c r="CS98" s="38"/>
      <c r="CT98" s="38"/>
      <c r="CU98" s="38"/>
      <c r="CV98" s="38"/>
      <c r="CW98" s="201"/>
      <c r="CY98" s="67"/>
      <c r="CZ98" s="67"/>
      <c r="DA98" s="67"/>
      <c r="DB98" s="67"/>
      <c r="DC98" s="67"/>
      <c r="DD98" s="67"/>
      <c r="DE98" s="67"/>
      <c r="DF98" s="38"/>
      <c r="DG98" s="38"/>
      <c r="DH98" s="38"/>
      <c r="DI98" s="38"/>
      <c r="DJ98" s="38"/>
      <c r="DK98" s="38"/>
      <c r="DL98" s="38"/>
      <c r="DM98" s="38"/>
      <c r="DN98" s="38"/>
      <c r="DO98" s="38"/>
      <c r="DP98" s="38"/>
    </row>
    <row r="99" spans="2:120" s="64" customFormat="1" x14ac:dyDescent="0.3">
      <c r="C99" s="65" t="s">
        <v>210</v>
      </c>
      <c r="D99" s="77"/>
      <c r="E99" s="70"/>
      <c r="F99" s="70"/>
      <c r="G99" s="70"/>
      <c r="H99" s="70"/>
      <c r="I99" s="70"/>
      <c r="J99" s="70"/>
      <c r="K99" s="38"/>
      <c r="L99" s="38"/>
      <c r="M99" s="203"/>
      <c r="N99" s="203"/>
      <c r="O99" s="203">
        <f>7232077.25/1000</f>
        <v>7232.0772500000003</v>
      </c>
      <c r="P99" s="203">
        <v>-2410.6924166666668</v>
      </c>
      <c r="Q99" s="203">
        <v>-2410.6924166666668</v>
      </c>
      <c r="R99" s="203">
        <v>-2410.6924166666668</v>
      </c>
      <c r="S99" s="203"/>
      <c r="T99" s="203"/>
      <c r="U99" s="203"/>
      <c r="V99" s="203"/>
      <c r="W99" s="201">
        <f t="shared" si="215"/>
        <v>-1</v>
      </c>
      <c r="X99" s="223"/>
      <c r="Y99" s="67"/>
      <c r="Z99" s="67"/>
      <c r="AA99" s="67"/>
      <c r="AB99" s="67"/>
      <c r="AC99" s="67"/>
      <c r="AD99" s="67"/>
      <c r="AE99" s="67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201"/>
      <c r="AS99" s="67"/>
      <c r="AT99" s="67"/>
      <c r="AU99" s="67"/>
      <c r="AV99" s="67"/>
      <c r="AW99" s="67"/>
      <c r="AX99" s="67"/>
      <c r="AY99" s="67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L99" s="67"/>
      <c r="BM99" s="67"/>
      <c r="BN99" s="67"/>
      <c r="BO99" s="67"/>
      <c r="BP99" s="67"/>
      <c r="BQ99" s="67"/>
      <c r="BR99" s="67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E99" s="67"/>
      <c r="CF99" s="67"/>
      <c r="CG99" s="67"/>
      <c r="CH99" s="67"/>
      <c r="CI99" s="67"/>
      <c r="CJ99" s="67"/>
      <c r="CK99" s="67"/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8"/>
      <c r="CW99" s="201"/>
      <c r="CY99" s="67"/>
      <c r="CZ99" s="67"/>
      <c r="DA99" s="67"/>
      <c r="DB99" s="67"/>
      <c r="DC99" s="67"/>
      <c r="DD99" s="67"/>
      <c r="DE99" s="67"/>
      <c r="DF99" s="38"/>
      <c r="DG99" s="38"/>
      <c r="DH99" s="38"/>
      <c r="DI99" s="38"/>
      <c r="DJ99" s="38"/>
      <c r="DK99" s="38"/>
      <c r="DL99" s="38"/>
      <c r="DM99" s="38"/>
      <c r="DN99" s="38"/>
      <c r="DO99" s="38"/>
      <c r="DP99" s="38"/>
    </row>
    <row r="100" spans="2:120" s="64" customFormat="1" x14ac:dyDescent="0.3">
      <c r="C100" s="65" t="s">
        <v>189</v>
      </c>
      <c r="D100" s="77"/>
      <c r="E100" s="70"/>
      <c r="F100" s="70"/>
      <c r="G100" s="70"/>
      <c r="H100" s="70"/>
      <c r="I100" s="70"/>
      <c r="J100" s="70"/>
      <c r="K100" s="38"/>
      <c r="L100" s="38"/>
      <c r="M100" s="203"/>
      <c r="N100" s="203"/>
      <c r="O100" s="203"/>
      <c r="P100" s="203"/>
      <c r="Q100" s="203"/>
      <c r="R100" s="203"/>
      <c r="S100" s="203">
        <v>762</v>
      </c>
      <c r="T100" s="203">
        <v>803</v>
      </c>
      <c r="U100" s="203">
        <v>846</v>
      </c>
      <c r="V100" s="203">
        <v>598</v>
      </c>
      <c r="W100" s="201"/>
      <c r="X100" s="42"/>
      <c r="Y100" s="67"/>
      <c r="Z100" s="67"/>
      <c r="AA100" s="67"/>
      <c r="AB100" s="67"/>
      <c r="AC100" s="67"/>
      <c r="AD100" s="67"/>
      <c r="AE100" s="67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201"/>
      <c r="AS100" s="67"/>
      <c r="AT100" s="67"/>
      <c r="AU100" s="67"/>
      <c r="AV100" s="67"/>
      <c r="AW100" s="67"/>
      <c r="AX100" s="67"/>
      <c r="AY100" s="67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L100" s="67"/>
      <c r="BM100" s="67"/>
      <c r="BN100" s="67"/>
      <c r="BO100" s="67"/>
      <c r="BP100" s="67"/>
      <c r="BQ100" s="67"/>
      <c r="BR100" s="67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E100" s="67"/>
      <c r="CF100" s="67"/>
      <c r="CG100" s="67"/>
      <c r="CH100" s="67"/>
      <c r="CI100" s="67"/>
      <c r="CJ100" s="67"/>
      <c r="CK100" s="67"/>
      <c r="CL100" s="38"/>
      <c r="CM100" s="38"/>
      <c r="CN100" s="38"/>
      <c r="CO100" s="38"/>
      <c r="CP100" s="38"/>
      <c r="CQ100" s="38"/>
      <c r="CR100" s="38"/>
      <c r="CS100" s="38"/>
      <c r="CT100" s="38"/>
      <c r="CU100" s="38"/>
      <c r="CV100" s="38"/>
      <c r="CW100" s="201"/>
      <c r="CY100" s="67"/>
      <c r="CZ100" s="67"/>
      <c r="DA100" s="67"/>
      <c r="DB100" s="67"/>
      <c r="DC100" s="67"/>
      <c r="DD100" s="67"/>
      <c r="DE100" s="67"/>
      <c r="DF100" s="38"/>
      <c r="DG100" s="38"/>
      <c r="DH100" s="38"/>
      <c r="DI100" s="38"/>
      <c r="DJ100" s="38"/>
      <c r="DK100" s="38"/>
      <c r="DL100" s="38"/>
      <c r="DM100" s="38"/>
      <c r="DN100" s="38"/>
      <c r="DO100" s="38"/>
      <c r="DP100" s="38"/>
    </row>
    <row r="101" spans="2:120" s="64" customFormat="1" x14ac:dyDescent="0.3">
      <c r="C101" s="65" t="s">
        <v>211</v>
      </c>
      <c r="D101" s="77"/>
      <c r="E101" s="70"/>
      <c r="F101" s="70"/>
      <c r="G101" s="70">
        <v>1394</v>
      </c>
      <c r="H101" s="70">
        <v>3404</v>
      </c>
      <c r="I101" s="70">
        <v>5288</v>
      </c>
      <c r="J101" s="70">
        <v>3666</v>
      </c>
      <c r="K101" s="38">
        <v>1062</v>
      </c>
      <c r="L101" s="38">
        <v>8767</v>
      </c>
      <c r="M101" s="203">
        <v>5870</v>
      </c>
      <c r="N101" s="203">
        <v>11693</v>
      </c>
      <c r="O101" s="203">
        <v>15687.15163869786</v>
      </c>
      <c r="P101" s="203">
        <v>12299.773628408841</v>
      </c>
      <c r="Q101" s="203">
        <v>8353.0747328932994</v>
      </c>
      <c r="R101" s="203">
        <f>11712.8800845657+10385.916</f>
        <v>22098.7960845657</v>
      </c>
      <c r="S101" s="203">
        <f>7494</f>
        <v>7494</v>
      </c>
      <c r="T101" s="203">
        <f>118</f>
        <v>118</v>
      </c>
      <c r="U101" s="203">
        <v>24269.7678910879</v>
      </c>
      <c r="V101" s="203">
        <v>3457.5075795555799</v>
      </c>
      <c r="W101" s="201">
        <f t="shared" si="215"/>
        <v>-0.84354317012000568</v>
      </c>
      <c r="X101" s="42"/>
      <c r="Y101" s="67"/>
      <c r="Z101" s="67"/>
      <c r="AA101" s="67"/>
      <c r="AB101" s="67"/>
      <c r="AC101" s="67"/>
      <c r="AD101" s="67"/>
      <c r="AE101" s="67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201"/>
      <c r="AS101" s="67"/>
      <c r="AT101" s="67"/>
      <c r="AU101" s="67"/>
      <c r="AV101" s="67"/>
      <c r="AW101" s="67"/>
      <c r="AX101" s="67"/>
      <c r="AY101" s="67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L101" s="67"/>
      <c r="BM101" s="67"/>
      <c r="BN101" s="67"/>
      <c r="BO101" s="67"/>
      <c r="BP101" s="67"/>
      <c r="BQ101" s="67"/>
      <c r="BR101" s="67"/>
      <c r="BS101" s="38"/>
      <c r="BT101" s="38"/>
      <c r="BU101" s="38"/>
      <c r="BV101" s="38"/>
      <c r="BW101" s="38"/>
      <c r="BX101" s="38"/>
      <c r="BY101" s="38"/>
      <c r="BZ101" s="38"/>
      <c r="CA101" s="38"/>
      <c r="CB101" s="38"/>
      <c r="CC101" s="38"/>
      <c r="CE101" s="67"/>
      <c r="CF101" s="67"/>
      <c r="CG101" s="67"/>
      <c r="CH101" s="67"/>
      <c r="CI101" s="67"/>
      <c r="CJ101" s="67"/>
      <c r="CK101" s="67"/>
      <c r="CL101" s="38"/>
      <c r="CM101" s="38"/>
      <c r="CN101" s="38"/>
      <c r="CO101" s="38"/>
      <c r="CP101" s="38"/>
      <c r="CQ101" s="38"/>
      <c r="CR101" s="38"/>
      <c r="CS101" s="38"/>
      <c r="CT101" s="38"/>
      <c r="CU101" s="38"/>
      <c r="CV101" s="38"/>
      <c r="CW101" s="201"/>
      <c r="CY101" s="67"/>
      <c r="CZ101" s="67"/>
      <c r="DA101" s="67"/>
      <c r="DB101" s="67"/>
      <c r="DC101" s="67"/>
      <c r="DD101" s="67"/>
      <c r="DE101" s="67"/>
      <c r="DF101" s="38"/>
      <c r="DG101" s="38"/>
      <c r="DH101" s="38"/>
      <c r="DI101" s="38"/>
      <c r="DJ101" s="38"/>
      <c r="DK101" s="38"/>
      <c r="DL101" s="38"/>
      <c r="DM101" s="38"/>
      <c r="DN101" s="38"/>
      <c r="DO101" s="38"/>
      <c r="DP101" s="38"/>
    </row>
    <row r="102" spans="2:120" s="64" customFormat="1" x14ac:dyDescent="0.3">
      <c r="C102" s="65" t="s">
        <v>209</v>
      </c>
      <c r="D102" s="77"/>
      <c r="E102" s="70"/>
      <c r="F102" s="70"/>
      <c r="G102" s="70">
        <v>0</v>
      </c>
      <c r="H102" s="70">
        <v>0</v>
      </c>
      <c r="I102" s="70">
        <v>0</v>
      </c>
      <c r="J102" s="70">
        <v>0</v>
      </c>
      <c r="K102" s="38">
        <v>0</v>
      </c>
      <c r="L102" s="38">
        <v>7000</v>
      </c>
      <c r="M102" s="203">
        <v>0</v>
      </c>
      <c r="N102" s="203">
        <v>1000</v>
      </c>
      <c r="O102" s="203">
        <v>1000</v>
      </c>
      <c r="P102" s="203">
        <v>0</v>
      </c>
      <c r="Q102" s="203">
        <v>1000</v>
      </c>
      <c r="R102" s="203">
        <v>13000</v>
      </c>
      <c r="S102" s="203">
        <f>-14800</f>
        <v>-14800</v>
      </c>
      <c r="T102" s="203">
        <v>0</v>
      </c>
      <c r="U102" s="203">
        <v>0</v>
      </c>
      <c r="V102" s="203">
        <v>-7080</v>
      </c>
      <c r="W102" s="201">
        <f t="shared" si="215"/>
        <v>-1.5446153846153847</v>
      </c>
      <c r="X102" s="42"/>
      <c r="Y102" s="67"/>
      <c r="Z102" s="67"/>
      <c r="AA102" s="67"/>
      <c r="AB102" s="67"/>
      <c r="AC102" s="67"/>
      <c r="AD102" s="67"/>
      <c r="AE102" s="67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201"/>
      <c r="AS102" s="67"/>
      <c r="AT102" s="67"/>
      <c r="AU102" s="67"/>
      <c r="AV102" s="67"/>
      <c r="AW102" s="67"/>
      <c r="AX102" s="67"/>
      <c r="AY102" s="67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L102" s="67"/>
      <c r="BM102" s="67"/>
      <c r="BN102" s="67"/>
      <c r="BO102" s="67"/>
      <c r="BP102" s="67"/>
      <c r="BQ102" s="67"/>
      <c r="BR102" s="67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E102" s="67"/>
      <c r="CF102" s="67"/>
      <c r="CG102" s="67"/>
      <c r="CH102" s="67"/>
      <c r="CI102" s="67"/>
      <c r="CJ102" s="67"/>
      <c r="CK102" s="67"/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8"/>
      <c r="CW102" s="201"/>
      <c r="CY102" s="67"/>
      <c r="CZ102" s="67"/>
      <c r="DA102" s="67"/>
      <c r="DB102" s="67"/>
      <c r="DC102" s="67"/>
      <c r="DD102" s="67"/>
      <c r="DE102" s="67"/>
      <c r="DF102" s="38"/>
      <c r="DG102" s="38"/>
      <c r="DH102" s="38"/>
      <c r="DI102" s="38"/>
      <c r="DJ102" s="38"/>
      <c r="DK102" s="38"/>
      <c r="DL102" s="38"/>
      <c r="DM102" s="38"/>
      <c r="DN102" s="38"/>
      <c r="DO102" s="38"/>
      <c r="DP102" s="38"/>
    </row>
    <row r="103" spans="2:120" s="64" customFormat="1" ht="13.5" thickBot="1" x14ac:dyDescent="0.35">
      <c r="C103" s="151" t="s">
        <v>171</v>
      </c>
      <c r="D103" s="152"/>
      <c r="E103" s="153"/>
      <c r="F103" s="154">
        <f t="shared" ref="F103:R103" si="306">SUM(F95:F102)</f>
        <v>158810.61096740334</v>
      </c>
      <c r="G103" s="154">
        <f t="shared" si="306"/>
        <v>110931.43803921674</v>
      </c>
      <c r="H103" s="154">
        <f t="shared" si="306"/>
        <v>115896.11904521901</v>
      </c>
      <c r="I103" s="154">
        <f t="shared" si="306"/>
        <v>126133.75831825494</v>
      </c>
      <c r="J103" s="154">
        <f t="shared" si="306"/>
        <v>148493.71580379386</v>
      </c>
      <c r="K103" s="154">
        <f t="shared" si="306"/>
        <v>172666.47453853491</v>
      </c>
      <c r="L103" s="154">
        <f t="shared" si="306"/>
        <v>131689.41680267491</v>
      </c>
      <c r="M103" s="154">
        <f t="shared" si="306"/>
        <v>99630.455516616843</v>
      </c>
      <c r="N103" s="154">
        <f t="shared" si="306"/>
        <v>205130.91788213392</v>
      </c>
      <c r="O103" s="154">
        <f t="shared" si="306"/>
        <v>177973.8952574936</v>
      </c>
      <c r="P103" s="154">
        <f t="shared" si="306"/>
        <v>206390.33895414142</v>
      </c>
      <c r="Q103" s="154">
        <f t="shared" si="306"/>
        <v>157515.10464847265</v>
      </c>
      <c r="R103" s="154">
        <f t="shared" si="306"/>
        <v>150929.87458657537</v>
      </c>
      <c r="S103" s="154">
        <f>SUM(S95:S102)</f>
        <v>58198.422707340564</v>
      </c>
      <c r="T103" s="154">
        <f>SUM(T95:T102)</f>
        <v>158262.05568617253</v>
      </c>
      <c r="U103" s="154">
        <f>SUM(U95:U102)</f>
        <v>260934.58531384886</v>
      </c>
      <c r="V103" s="154">
        <f>SUM(V95:V102)</f>
        <v>258184.06997974211</v>
      </c>
      <c r="W103" s="175">
        <f t="shared" si="215"/>
        <v>0.71062270267536931</v>
      </c>
      <c r="X103" s="132"/>
      <c r="Y103" s="67"/>
      <c r="Z103" s="67"/>
      <c r="AA103" s="67"/>
      <c r="AB103" s="67"/>
      <c r="AC103" s="67"/>
      <c r="AD103" s="67"/>
      <c r="AE103" s="67"/>
      <c r="AF103" s="157"/>
      <c r="AG103" s="157"/>
      <c r="AH103" s="157"/>
      <c r="AI103" s="157"/>
      <c r="AJ103" s="157"/>
      <c r="AK103" s="157"/>
      <c r="AL103" s="157"/>
      <c r="AM103" s="157"/>
      <c r="AN103" s="157"/>
      <c r="AO103" s="157"/>
      <c r="AP103" s="157"/>
      <c r="AQ103" s="204"/>
      <c r="AS103" s="67"/>
      <c r="AT103" s="67"/>
      <c r="AU103" s="67"/>
      <c r="AV103" s="67"/>
      <c r="AW103" s="67"/>
      <c r="AX103" s="67"/>
      <c r="AY103" s="67"/>
      <c r="AZ103" s="157"/>
      <c r="BA103" s="157"/>
      <c r="BB103" s="157"/>
      <c r="BC103" s="157"/>
      <c r="BD103" s="157"/>
      <c r="BE103" s="157"/>
      <c r="BF103" s="157"/>
      <c r="BG103" s="157"/>
      <c r="BH103" s="157"/>
      <c r="BI103" s="157"/>
      <c r="BJ103" s="157"/>
      <c r="BL103" s="67"/>
      <c r="BM103" s="67"/>
      <c r="BN103" s="67"/>
      <c r="BO103" s="67"/>
      <c r="BP103" s="67"/>
      <c r="BQ103" s="67"/>
      <c r="BR103" s="67"/>
      <c r="BS103" s="157"/>
      <c r="BT103" s="157"/>
      <c r="BU103" s="157"/>
      <c r="BV103" s="157"/>
      <c r="BW103" s="157"/>
      <c r="BX103" s="157"/>
      <c r="BY103" s="157"/>
      <c r="BZ103" s="157"/>
      <c r="CA103" s="157"/>
      <c r="CB103" s="157"/>
      <c r="CC103" s="157"/>
      <c r="CE103" s="67"/>
      <c r="CF103" s="67"/>
      <c r="CG103" s="67"/>
      <c r="CH103" s="67"/>
      <c r="CI103" s="67"/>
      <c r="CJ103" s="67"/>
      <c r="CK103" s="67"/>
      <c r="CL103" s="157"/>
      <c r="CM103" s="157"/>
      <c r="CN103" s="157"/>
      <c r="CO103" s="157"/>
      <c r="CP103" s="157"/>
      <c r="CQ103" s="157"/>
      <c r="CR103" s="157"/>
      <c r="CS103" s="157"/>
      <c r="CT103" s="157"/>
      <c r="CU103" s="157"/>
      <c r="CV103" s="157"/>
      <c r="CW103" s="204"/>
      <c r="CY103" s="67"/>
      <c r="CZ103" s="67"/>
      <c r="DA103" s="67"/>
      <c r="DB103" s="67"/>
      <c r="DC103" s="67"/>
      <c r="DD103" s="67"/>
      <c r="DE103" s="67"/>
      <c r="DF103" s="157"/>
      <c r="DG103" s="157"/>
      <c r="DH103" s="157"/>
      <c r="DI103" s="157"/>
      <c r="DJ103" s="157"/>
      <c r="DK103" s="157"/>
      <c r="DL103" s="157"/>
      <c r="DM103" s="157"/>
      <c r="DN103" s="157"/>
      <c r="DO103" s="157"/>
      <c r="DP103" s="157"/>
    </row>
    <row r="104" spans="2:120" ht="15" thickTop="1" x14ac:dyDescent="0.35">
      <c r="C104" s="45"/>
      <c r="D104" s="112"/>
      <c r="E104" s="45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227"/>
      <c r="R104" s="228"/>
      <c r="S104" s="228"/>
      <c r="T104" s="228"/>
      <c r="U104" s="228"/>
      <c r="V104" s="228"/>
      <c r="W104" s="62"/>
      <c r="Y104" s="45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S104" s="45"/>
      <c r="AT104" s="62"/>
      <c r="AU104" s="62"/>
      <c r="AV104" s="62"/>
      <c r="AW104" s="62"/>
      <c r="AX104" s="62"/>
      <c r="AY104" s="62"/>
      <c r="AZ104" s="62"/>
      <c r="BA104" s="62"/>
      <c r="BB104" s="62"/>
      <c r="BC104" s="62"/>
      <c r="BD104" s="62"/>
      <c r="BE104" s="62"/>
      <c r="BF104" s="62"/>
      <c r="BG104" s="62"/>
      <c r="BH104" s="62"/>
      <c r="BI104" s="62"/>
      <c r="BJ104" s="62"/>
      <c r="BL104" s="45"/>
      <c r="BM104" s="62"/>
      <c r="BN104" s="62"/>
      <c r="BO104" s="62"/>
      <c r="BP104" s="62"/>
      <c r="BQ104" s="62"/>
      <c r="BR104" s="62"/>
      <c r="BS104" s="62"/>
      <c r="BT104" s="62"/>
      <c r="BU104" s="62"/>
      <c r="BV104" s="62"/>
      <c r="BW104" s="62"/>
      <c r="BX104" s="62"/>
      <c r="BY104" s="62"/>
      <c r="BZ104" s="62"/>
      <c r="CA104" s="62"/>
      <c r="CB104" s="62"/>
      <c r="CC104" s="62"/>
      <c r="CE104" s="45"/>
      <c r="CF104" s="62"/>
      <c r="CG104" s="62"/>
      <c r="CH104" s="62"/>
      <c r="CI104" s="62"/>
      <c r="CJ104" s="62"/>
      <c r="CK104" s="62"/>
      <c r="CL104" s="62"/>
      <c r="CM104" s="62"/>
      <c r="CN104" s="62"/>
      <c r="CO104" s="62"/>
      <c r="CP104" s="62"/>
      <c r="CQ104" s="62"/>
      <c r="CR104" s="62"/>
      <c r="CS104" s="62"/>
      <c r="CT104" s="62"/>
      <c r="CU104" s="62"/>
      <c r="CV104" s="62"/>
      <c r="CW104" s="62"/>
      <c r="CY104" s="45"/>
      <c r="CZ104" s="62"/>
      <c r="DA104" s="62"/>
      <c r="DB104" s="62"/>
      <c r="DC104" s="62"/>
      <c r="DD104" s="62"/>
      <c r="DE104" s="62"/>
      <c r="DF104" s="62"/>
      <c r="DG104" s="62"/>
      <c r="DH104" s="62"/>
      <c r="DI104" s="62"/>
      <c r="DJ104" s="62"/>
      <c r="DK104" s="62"/>
      <c r="DL104" s="62"/>
      <c r="DM104" s="62"/>
      <c r="DN104" s="62"/>
      <c r="DO104" s="62"/>
      <c r="DP104" s="62"/>
    </row>
    <row r="105" spans="2:120" s="32" customFormat="1" x14ac:dyDescent="0.3">
      <c r="B105" s="29"/>
      <c r="C105" s="30" t="s">
        <v>102</v>
      </c>
      <c r="D105" s="30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180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180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E105" s="31"/>
      <c r="CF105" s="31"/>
      <c r="CG105" s="31"/>
      <c r="CH105" s="31"/>
      <c r="CI105" s="31"/>
      <c r="CJ105" s="31"/>
      <c r="CK105" s="31"/>
      <c r="CL105" s="31"/>
      <c r="CM105" s="31"/>
      <c r="CN105" s="31"/>
      <c r="CO105" s="31"/>
      <c r="CP105" s="31"/>
      <c r="CQ105" s="31"/>
      <c r="CR105" s="31"/>
      <c r="CS105" s="31"/>
      <c r="CT105" s="31"/>
      <c r="CU105" s="31"/>
      <c r="CV105" s="31"/>
      <c r="CW105" s="180"/>
      <c r="CY105" s="31"/>
      <c r="CZ105" s="31"/>
      <c r="DA105" s="31"/>
      <c r="DB105" s="31"/>
      <c r="DC105" s="31"/>
      <c r="DD105" s="31"/>
      <c r="DE105" s="31"/>
      <c r="DF105" s="31"/>
      <c r="DG105" s="31"/>
      <c r="DH105" s="31"/>
      <c r="DI105" s="31"/>
      <c r="DJ105" s="31"/>
      <c r="DK105" s="31"/>
      <c r="DL105" s="31"/>
      <c r="DM105" s="31"/>
      <c r="DN105" s="31"/>
      <c r="DO105" s="31"/>
      <c r="DP105" s="31"/>
    </row>
    <row r="106" spans="2:120" s="35" customFormat="1" x14ac:dyDescent="0.3">
      <c r="B106" s="33"/>
      <c r="C106" s="63" t="s">
        <v>103</v>
      </c>
      <c r="D106" s="63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168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168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L106" s="34"/>
      <c r="BM106" s="34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  <c r="BY106" s="34"/>
      <c r="BZ106" s="34"/>
      <c r="CA106" s="34"/>
      <c r="CB106" s="34"/>
      <c r="CC106" s="34"/>
      <c r="CE106" s="34"/>
      <c r="CF106" s="34"/>
      <c r="CG106" s="34"/>
      <c r="CH106" s="34"/>
      <c r="CI106" s="34"/>
      <c r="CJ106" s="34"/>
      <c r="CK106" s="34"/>
      <c r="CL106" s="34"/>
      <c r="CM106" s="34"/>
      <c r="CN106" s="34"/>
      <c r="CO106" s="34"/>
      <c r="CP106" s="34"/>
      <c r="CQ106" s="34"/>
      <c r="CR106" s="34"/>
      <c r="CS106" s="34"/>
      <c r="CT106" s="34"/>
      <c r="CU106" s="34"/>
      <c r="CV106" s="34"/>
      <c r="CW106" s="168"/>
      <c r="CY106" s="34"/>
      <c r="CZ106" s="34"/>
      <c r="DA106" s="34"/>
      <c r="DB106" s="34"/>
      <c r="DC106" s="34"/>
      <c r="DD106" s="34"/>
      <c r="DE106" s="34"/>
      <c r="DF106" s="34"/>
      <c r="DG106" s="34"/>
      <c r="DH106" s="34"/>
      <c r="DI106" s="34"/>
      <c r="DJ106" s="34"/>
      <c r="DK106" s="34"/>
      <c r="DL106" s="34"/>
      <c r="DM106" s="34"/>
      <c r="DN106" s="34"/>
      <c r="DO106" s="34"/>
      <c r="DP106" s="34"/>
    </row>
    <row r="107" spans="2:120" s="64" customFormat="1" x14ac:dyDescent="0.3">
      <c r="C107" s="65" t="s">
        <v>81</v>
      </c>
      <c r="D107" s="77"/>
      <c r="E107" s="69">
        <v>2003962.4380000001</v>
      </c>
      <c r="F107" s="69">
        <v>2102154.5729999999</v>
      </c>
      <c r="G107" s="69">
        <v>2030810</v>
      </c>
      <c r="H107" s="69">
        <v>2146210</v>
      </c>
      <c r="I107" s="69">
        <v>2252477</v>
      </c>
      <c r="J107" s="69">
        <v>2368802.733</v>
      </c>
      <c r="K107" s="69">
        <v>2212942.1636669086</v>
      </c>
      <c r="L107" s="69">
        <v>2325735.3750025546</v>
      </c>
      <c r="M107" s="69">
        <v>2410541.1162800482</v>
      </c>
      <c r="N107" s="69">
        <v>2539511.5907389205</v>
      </c>
      <c r="O107" s="69">
        <v>2348835.146997767</v>
      </c>
      <c r="P107" s="69">
        <v>2514603</v>
      </c>
      <c r="Q107" s="69">
        <v>2660121.522842533</v>
      </c>
      <c r="R107" s="69">
        <v>2904358.2520794603</v>
      </c>
      <c r="S107" s="69">
        <v>2877177.6644596034</v>
      </c>
      <c r="T107" s="69">
        <v>3030882.8155569583</v>
      </c>
      <c r="U107" s="69">
        <v>3240019.3214408178</v>
      </c>
      <c r="V107" s="69">
        <v>3477593.3382173507</v>
      </c>
      <c r="W107" s="182">
        <f t="shared" si="215"/>
        <v>0.19737065347481364</v>
      </c>
      <c r="X107" s="36"/>
      <c r="Y107" s="67">
        <f t="shared" ref="Y107:Y115" si="307">$E107</f>
        <v>2003962.4380000001</v>
      </c>
      <c r="Z107" s="67">
        <f t="shared" ref="Z107:Z115" si="308">$F107</f>
        <v>2102154.5729999999</v>
      </c>
      <c r="AA107" s="67">
        <f t="shared" ref="AA107:AA115" si="309">$G107</f>
        <v>2030810</v>
      </c>
      <c r="AB107" s="67">
        <f>$H107</f>
        <v>2146210</v>
      </c>
      <c r="AC107" s="67">
        <f>$I107</f>
        <v>2252477</v>
      </c>
      <c r="AD107" s="67">
        <f t="shared" ref="AD107:AD115" si="310">$J107</f>
        <v>2368802.733</v>
      </c>
      <c r="AE107" s="67">
        <f t="shared" ref="AE107:AE115" si="311">$K107</f>
        <v>2212942.1636669086</v>
      </c>
      <c r="AF107" s="67">
        <f>$L107</f>
        <v>2325735.3750025546</v>
      </c>
      <c r="AG107" s="67">
        <f>$M107</f>
        <v>2410541.1162800482</v>
      </c>
      <c r="AH107" s="67">
        <f>$N107</f>
        <v>2539511.5907389205</v>
      </c>
      <c r="AI107" s="67">
        <f>$O107</f>
        <v>2348835.146997767</v>
      </c>
      <c r="AJ107" s="67">
        <f>$P107</f>
        <v>2514603</v>
      </c>
      <c r="AK107" s="67">
        <f>$Q107</f>
        <v>2660121.522842533</v>
      </c>
      <c r="AL107" s="67">
        <f>$R107</f>
        <v>2904358.2520794603</v>
      </c>
      <c r="AM107" s="67">
        <f>$S107</f>
        <v>2877177.6644596034</v>
      </c>
      <c r="AN107" s="67">
        <f>$T107</f>
        <v>3030882.8155569583</v>
      </c>
      <c r="AO107" s="67">
        <f>$U107</f>
        <v>3240019.3214408178</v>
      </c>
      <c r="AP107" s="67">
        <f>$V107</f>
        <v>3477593.3382173507</v>
      </c>
      <c r="AQ107" s="182">
        <f>AP107/AL107-1</f>
        <v>0.19737065347481364</v>
      </c>
      <c r="AS107" s="67">
        <f t="shared" ref="AS107:AS115" si="312">$E107</f>
        <v>2003962.4380000001</v>
      </c>
      <c r="AT107" s="67">
        <f t="shared" ref="AT107:AT115" si="313">$F107</f>
        <v>2102154.5729999999</v>
      </c>
      <c r="AU107" s="67">
        <f t="shared" ref="AU107:AU115" si="314">$G107</f>
        <v>2030810</v>
      </c>
      <c r="AV107" s="67">
        <f>$H107</f>
        <v>2146210</v>
      </c>
      <c r="AW107" s="67">
        <f>$I107</f>
        <v>2252477</v>
      </c>
      <c r="AX107" s="67">
        <f t="shared" ref="AX107:AX115" si="315">$J107</f>
        <v>2368802.733</v>
      </c>
      <c r="AY107" s="67">
        <f t="shared" ref="AY107:AY115" si="316">$K107</f>
        <v>2212942.1636669086</v>
      </c>
      <c r="AZ107" s="67">
        <f>$L107</f>
        <v>2325735.3750025546</v>
      </c>
      <c r="BA107" s="67">
        <f>$M107</f>
        <v>2410541.1162800482</v>
      </c>
      <c r="BB107" s="67">
        <f>$N107</f>
        <v>2539511.5907389205</v>
      </c>
      <c r="BC107" s="67">
        <f>$O107</f>
        <v>2348835.146997767</v>
      </c>
      <c r="BD107" s="67">
        <f>$P107</f>
        <v>2514603</v>
      </c>
      <c r="BE107" s="67">
        <f>$Q107</f>
        <v>2660121.522842533</v>
      </c>
      <c r="BF107" s="67">
        <f>$R107</f>
        <v>2904358.2520794603</v>
      </c>
      <c r="BG107" s="67">
        <f>$S107</f>
        <v>2877177.6644596034</v>
      </c>
      <c r="BH107" s="67">
        <f>$T107</f>
        <v>3030882.8155569583</v>
      </c>
      <c r="BI107" s="67">
        <f>$U107</f>
        <v>3240019.3214408178</v>
      </c>
      <c r="BJ107" s="67">
        <f>$V107</f>
        <v>3477593.3382173507</v>
      </c>
      <c r="BL107" s="67">
        <f t="shared" ref="BL107:BL115" si="317">$E107</f>
        <v>2003962.4380000001</v>
      </c>
      <c r="BM107" s="67">
        <f t="shared" ref="BM107:BM115" si="318">$F107</f>
        <v>2102154.5729999999</v>
      </c>
      <c r="BN107" s="67">
        <f t="shared" ref="BN107:BN115" si="319">$G107</f>
        <v>2030810</v>
      </c>
      <c r="BO107" s="67">
        <f>$H107</f>
        <v>2146210</v>
      </c>
      <c r="BP107" s="67">
        <f>$I107</f>
        <v>2252477</v>
      </c>
      <c r="BQ107" s="67">
        <f t="shared" ref="BQ107:BQ115" si="320">$J107</f>
        <v>2368802.733</v>
      </c>
      <c r="BR107" s="67">
        <f t="shared" ref="BR107:BR115" si="321">$K107</f>
        <v>2212942.1636669086</v>
      </c>
      <c r="BS107" s="67">
        <f>$L107</f>
        <v>2325735.3750025546</v>
      </c>
      <c r="BT107" s="67">
        <f>$M107</f>
        <v>2410541.1162800482</v>
      </c>
      <c r="BU107" s="67">
        <f>$N107</f>
        <v>2539511.5907389205</v>
      </c>
      <c r="BV107" s="67">
        <f>$O107</f>
        <v>2348835.146997767</v>
      </c>
      <c r="BW107" s="67">
        <f>$P107</f>
        <v>2514603</v>
      </c>
      <c r="BX107" s="67">
        <f>$Q107</f>
        <v>2660121.522842533</v>
      </c>
      <c r="BY107" s="67">
        <f>$R107</f>
        <v>2904358.2520794603</v>
      </c>
      <c r="BZ107" s="67">
        <f>$S107</f>
        <v>2877177.6644596034</v>
      </c>
      <c r="CA107" s="67">
        <f>$T107</f>
        <v>3030882.8155569583</v>
      </c>
      <c r="CB107" s="67">
        <f>$U107</f>
        <v>3240019.3214408178</v>
      </c>
      <c r="CC107" s="67">
        <f>$V107</f>
        <v>3477593.3382173507</v>
      </c>
      <c r="CE107" s="67">
        <f t="shared" ref="CE107:CE115" si="322">$E107</f>
        <v>2003962.4380000001</v>
      </c>
      <c r="CF107" s="67">
        <f t="shared" ref="CF107:CF115" si="323">$F107</f>
        <v>2102154.5729999999</v>
      </c>
      <c r="CG107" s="67">
        <f t="shared" ref="CG107:CG115" si="324">$G107</f>
        <v>2030810</v>
      </c>
      <c r="CH107" s="67">
        <f>$H107</f>
        <v>2146210</v>
      </c>
      <c r="CI107" s="67">
        <f>$I107</f>
        <v>2252477</v>
      </c>
      <c r="CJ107" s="67">
        <f t="shared" ref="CJ107:CJ115" si="325">$J107</f>
        <v>2368802.733</v>
      </c>
      <c r="CK107" s="67">
        <f t="shared" ref="CK107:CK115" si="326">$K107</f>
        <v>2212942.1636669086</v>
      </c>
      <c r="CL107" s="67">
        <f>$L107</f>
        <v>2325735.3750025546</v>
      </c>
      <c r="CM107" s="67">
        <f>$M107</f>
        <v>2410541.1162800482</v>
      </c>
      <c r="CN107" s="67">
        <f>$N107</f>
        <v>2539511.5907389205</v>
      </c>
      <c r="CO107" s="67">
        <f>$O107</f>
        <v>2348835.146997767</v>
      </c>
      <c r="CP107" s="67">
        <f>$P107</f>
        <v>2514603</v>
      </c>
      <c r="CQ107" s="67">
        <f>$Q107</f>
        <v>2660121.522842533</v>
      </c>
      <c r="CR107" s="67">
        <f>$R107</f>
        <v>2904358.2520794603</v>
      </c>
      <c r="CS107" s="67">
        <f>$S107</f>
        <v>2877177.6644596034</v>
      </c>
      <c r="CT107" s="67">
        <f>$T107</f>
        <v>3030882.8155569583</v>
      </c>
      <c r="CU107" s="67">
        <f>$U107</f>
        <v>3240019.3214408178</v>
      </c>
      <c r="CV107" s="67">
        <f>$V107</f>
        <v>3477593.3382173507</v>
      </c>
      <c r="CW107" s="182">
        <f>CV107/CR107-1</f>
        <v>0.19737065347481364</v>
      </c>
      <c r="CY107" s="67">
        <f t="shared" ref="CY107:CY115" si="327">$E107</f>
        <v>2003962.4380000001</v>
      </c>
      <c r="CZ107" s="67">
        <f t="shared" ref="CZ107:CZ115" si="328">$F107</f>
        <v>2102154.5729999999</v>
      </c>
      <c r="DA107" s="67">
        <f t="shared" ref="DA107:DA115" si="329">$G107</f>
        <v>2030810</v>
      </c>
      <c r="DB107" s="67">
        <f>$H107</f>
        <v>2146210</v>
      </c>
      <c r="DC107" s="67">
        <f>$I107</f>
        <v>2252477</v>
      </c>
      <c r="DD107" s="67">
        <f t="shared" ref="DD107:DD115" si="330">$J107</f>
        <v>2368802.733</v>
      </c>
      <c r="DE107" s="67">
        <f t="shared" ref="DE107:DE115" si="331">$K107</f>
        <v>2212942.1636669086</v>
      </c>
      <c r="DF107" s="67">
        <f>$L107</f>
        <v>2325735.3750025546</v>
      </c>
      <c r="DG107" s="67">
        <f>$M107</f>
        <v>2410541.1162800482</v>
      </c>
      <c r="DH107" s="67">
        <f>$N107</f>
        <v>2539511.5907389205</v>
      </c>
      <c r="DI107" s="67">
        <f>$O107</f>
        <v>2348835.146997767</v>
      </c>
      <c r="DJ107" s="67">
        <f>$P107</f>
        <v>2514603</v>
      </c>
      <c r="DK107" s="67">
        <f>$Q107</f>
        <v>2660121.522842533</v>
      </c>
      <c r="DL107" s="67">
        <f>$R107</f>
        <v>2904358.2520794603</v>
      </c>
      <c r="DM107" s="67">
        <f>$S107</f>
        <v>2877177.6644596034</v>
      </c>
      <c r="DN107" s="67">
        <f>$T107</f>
        <v>3030882.8155569583</v>
      </c>
      <c r="DO107" s="67">
        <f>$U107</f>
        <v>3240019.3214408178</v>
      </c>
      <c r="DP107" s="67">
        <f>$V107</f>
        <v>3477593.3382173507</v>
      </c>
    </row>
    <row r="108" spans="2:120" s="64" customFormat="1" x14ac:dyDescent="0.3">
      <c r="C108" s="65" t="s">
        <v>82</v>
      </c>
      <c r="D108" s="77"/>
      <c r="E108" s="67">
        <f>E107-E109-E110</f>
        <v>1835308.2982429862</v>
      </c>
      <c r="F108" s="67">
        <f t="shared" ref="F108:N108" si="332">F107-F109-F110</f>
        <v>1941171.174218792</v>
      </c>
      <c r="G108" s="67">
        <f t="shared" si="332"/>
        <v>1868088</v>
      </c>
      <c r="H108" s="67">
        <f t="shared" si="332"/>
        <v>1974378</v>
      </c>
      <c r="I108" s="67">
        <f t="shared" si="332"/>
        <v>2072996</v>
      </c>
      <c r="J108" s="67">
        <f t="shared" si="332"/>
        <v>2184797.9700000002</v>
      </c>
      <c r="K108" s="67">
        <f t="shared" si="332"/>
        <v>2017027.8981996085</v>
      </c>
      <c r="L108" s="67">
        <f t="shared" si="332"/>
        <v>2125867.1701002545</v>
      </c>
      <c r="M108" s="67">
        <f t="shared" si="332"/>
        <v>2198869.156269548</v>
      </c>
      <c r="N108" s="67">
        <f t="shared" si="332"/>
        <v>2332347.2532545202</v>
      </c>
      <c r="O108" s="67">
        <f t="shared" ref="O108:V108" si="333">O107-O109-O110</f>
        <v>2130866.3551885672</v>
      </c>
      <c r="P108" s="67">
        <f t="shared" si="333"/>
        <v>2290744</v>
      </c>
      <c r="Q108" s="67">
        <f t="shared" si="333"/>
        <v>2411247.417329933</v>
      </c>
      <c r="R108" s="67">
        <f t="shared" si="333"/>
        <v>2617152.4164260603</v>
      </c>
      <c r="S108" s="67">
        <f t="shared" si="333"/>
        <v>2589880.151902603</v>
      </c>
      <c r="T108" s="67">
        <f t="shared" si="333"/>
        <v>2686885.5831719586</v>
      </c>
      <c r="U108" s="67">
        <f t="shared" si="333"/>
        <v>2872729.2339001177</v>
      </c>
      <c r="V108" s="67">
        <f t="shared" si="333"/>
        <v>3089561.8947073505</v>
      </c>
      <c r="W108" s="183">
        <f t="shared" si="215"/>
        <v>0.18050514571344856</v>
      </c>
      <c r="X108" s="36"/>
      <c r="Y108" s="67">
        <f t="shared" si="307"/>
        <v>1835308.2982429862</v>
      </c>
      <c r="Z108" s="67">
        <f t="shared" si="308"/>
        <v>1941171.174218792</v>
      </c>
      <c r="AA108" s="67">
        <f t="shared" si="309"/>
        <v>1868088</v>
      </c>
      <c r="AB108" s="67">
        <f t="shared" ref="AB108:AB115" si="334">$H108</f>
        <v>1974378</v>
      </c>
      <c r="AC108" s="67">
        <f t="shared" ref="AC108:AC115" si="335">$I108</f>
        <v>2072996</v>
      </c>
      <c r="AD108" s="67">
        <f t="shared" si="310"/>
        <v>2184797.9700000002</v>
      </c>
      <c r="AE108" s="67">
        <f t="shared" si="311"/>
        <v>2017027.8981996085</v>
      </c>
      <c r="AF108" s="67">
        <f t="shared" ref="AF108:AF115" si="336">$L108</f>
        <v>2125867.1701002545</v>
      </c>
      <c r="AG108" s="67">
        <f t="shared" ref="AG108:AG115" si="337">$M108</f>
        <v>2198869.156269548</v>
      </c>
      <c r="AH108" s="67">
        <f t="shared" ref="AH108:AH115" si="338">$N108</f>
        <v>2332347.2532545202</v>
      </c>
      <c r="AI108" s="67">
        <f>$O108</f>
        <v>2130866.3551885672</v>
      </c>
      <c r="AJ108" s="67">
        <f t="shared" ref="AJ108:AJ115" si="339">$P108</f>
        <v>2290744</v>
      </c>
      <c r="AK108" s="67">
        <f>$Q108</f>
        <v>2411247.417329933</v>
      </c>
      <c r="AL108" s="67">
        <f>$R108</f>
        <v>2617152.4164260603</v>
      </c>
      <c r="AM108" s="67">
        <f>$S108</f>
        <v>2589880.151902603</v>
      </c>
      <c r="AN108" s="67">
        <f>$T108</f>
        <v>2686885.5831719586</v>
      </c>
      <c r="AO108" s="67">
        <f>$U108</f>
        <v>2872729.2339001177</v>
      </c>
      <c r="AP108" s="67">
        <f>$V108</f>
        <v>3089561.8947073505</v>
      </c>
      <c r="AQ108" s="183">
        <f>AP108/AL108-1</f>
        <v>0.18050514571344856</v>
      </c>
      <c r="AS108" s="67">
        <f t="shared" si="312"/>
        <v>1835308.2982429862</v>
      </c>
      <c r="AT108" s="67">
        <f t="shared" si="313"/>
        <v>1941171.174218792</v>
      </c>
      <c r="AU108" s="67">
        <f t="shared" si="314"/>
        <v>1868088</v>
      </c>
      <c r="AV108" s="67">
        <f t="shared" ref="AV108:AV115" si="340">$H108</f>
        <v>1974378</v>
      </c>
      <c r="AW108" s="67">
        <f t="shared" ref="AW108:AW115" si="341">$I108</f>
        <v>2072996</v>
      </c>
      <c r="AX108" s="67">
        <f t="shared" si="315"/>
        <v>2184797.9700000002</v>
      </c>
      <c r="AY108" s="67">
        <f t="shared" si="316"/>
        <v>2017027.8981996085</v>
      </c>
      <c r="AZ108" s="67">
        <f t="shared" ref="AZ108:AZ115" si="342">$L108</f>
        <v>2125867.1701002545</v>
      </c>
      <c r="BA108" s="67">
        <f t="shared" ref="BA108:BA115" si="343">$M108</f>
        <v>2198869.156269548</v>
      </c>
      <c r="BB108" s="67">
        <f t="shared" ref="BB108:BB115" si="344">$N108</f>
        <v>2332347.2532545202</v>
      </c>
      <c r="BC108" s="67">
        <f>$O108</f>
        <v>2130866.3551885672</v>
      </c>
      <c r="BD108" s="67">
        <f t="shared" ref="BD108:BD115" si="345">$P108</f>
        <v>2290744</v>
      </c>
      <c r="BE108" s="67">
        <f>$Q108</f>
        <v>2411247.417329933</v>
      </c>
      <c r="BF108" s="67">
        <f>$R108</f>
        <v>2617152.4164260603</v>
      </c>
      <c r="BG108" s="67">
        <f>$S108</f>
        <v>2589880.151902603</v>
      </c>
      <c r="BH108" s="67">
        <f>$T108</f>
        <v>2686885.5831719586</v>
      </c>
      <c r="BI108" s="67">
        <f>$U108</f>
        <v>2872729.2339001177</v>
      </c>
      <c r="BJ108" s="67">
        <f>$V108</f>
        <v>3089561.8947073505</v>
      </c>
      <c r="BL108" s="67">
        <f t="shared" si="317"/>
        <v>1835308.2982429862</v>
      </c>
      <c r="BM108" s="67">
        <f t="shared" si="318"/>
        <v>1941171.174218792</v>
      </c>
      <c r="BN108" s="67">
        <f t="shared" si="319"/>
        <v>1868088</v>
      </c>
      <c r="BO108" s="67">
        <f t="shared" ref="BO108:BO115" si="346">$H108</f>
        <v>1974378</v>
      </c>
      <c r="BP108" s="67">
        <f t="shared" ref="BP108:BP115" si="347">$I108</f>
        <v>2072996</v>
      </c>
      <c r="BQ108" s="67">
        <f t="shared" si="320"/>
        <v>2184797.9700000002</v>
      </c>
      <c r="BR108" s="67">
        <f t="shared" si="321"/>
        <v>2017027.8981996085</v>
      </c>
      <c r="BS108" s="67">
        <f t="shared" ref="BS108:BS115" si="348">$L108</f>
        <v>2125867.1701002545</v>
      </c>
      <c r="BT108" s="67">
        <f t="shared" ref="BT108:BT115" si="349">$M108</f>
        <v>2198869.156269548</v>
      </c>
      <c r="BU108" s="67">
        <f t="shared" ref="BU108:BU115" si="350">$N108</f>
        <v>2332347.2532545202</v>
      </c>
      <c r="BV108" s="67">
        <f>$O108</f>
        <v>2130866.3551885672</v>
      </c>
      <c r="BW108" s="67">
        <f t="shared" ref="BW108:BW115" si="351">$P108</f>
        <v>2290744</v>
      </c>
      <c r="BX108" s="67">
        <f>$Q108</f>
        <v>2411247.417329933</v>
      </c>
      <c r="BY108" s="67">
        <f>$R108</f>
        <v>2617152.4164260603</v>
      </c>
      <c r="BZ108" s="67">
        <f>$S108</f>
        <v>2589880.151902603</v>
      </c>
      <c r="CA108" s="67">
        <f>$T108</f>
        <v>2686885.5831719586</v>
      </c>
      <c r="CB108" s="67">
        <f>$U108</f>
        <v>2872729.2339001177</v>
      </c>
      <c r="CC108" s="67">
        <f>$V108</f>
        <v>3089561.8947073505</v>
      </c>
      <c r="CE108" s="67">
        <f t="shared" si="322"/>
        <v>1835308.2982429862</v>
      </c>
      <c r="CF108" s="67">
        <f t="shared" si="323"/>
        <v>1941171.174218792</v>
      </c>
      <c r="CG108" s="67">
        <f t="shared" si="324"/>
        <v>1868088</v>
      </c>
      <c r="CH108" s="67">
        <f t="shared" ref="CH108:CH115" si="352">$H108</f>
        <v>1974378</v>
      </c>
      <c r="CI108" s="67">
        <f t="shared" ref="CI108:CI115" si="353">$I108</f>
        <v>2072996</v>
      </c>
      <c r="CJ108" s="67">
        <f t="shared" si="325"/>
        <v>2184797.9700000002</v>
      </c>
      <c r="CK108" s="67">
        <f t="shared" si="326"/>
        <v>2017027.8981996085</v>
      </c>
      <c r="CL108" s="67">
        <f t="shared" ref="CL108:CL115" si="354">$L108</f>
        <v>2125867.1701002545</v>
      </c>
      <c r="CM108" s="67">
        <f t="shared" ref="CM108:CM115" si="355">$M108</f>
        <v>2198869.156269548</v>
      </c>
      <c r="CN108" s="67">
        <f t="shared" ref="CN108:CN115" si="356">$N108</f>
        <v>2332347.2532545202</v>
      </c>
      <c r="CO108" s="67">
        <f>$O108</f>
        <v>2130866.3551885672</v>
      </c>
      <c r="CP108" s="67">
        <f t="shared" ref="CP108:CP115" si="357">$P108</f>
        <v>2290744</v>
      </c>
      <c r="CQ108" s="67">
        <f>$Q108</f>
        <v>2411247.417329933</v>
      </c>
      <c r="CR108" s="67">
        <f>$R108</f>
        <v>2617152.4164260603</v>
      </c>
      <c r="CS108" s="67">
        <f>$S108</f>
        <v>2589880.151902603</v>
      </c>
      <c r="CT108" s="67">
        <f>$T108</f>
        <v>2686885.5831719586</v>
      </c>
      <c r="CU108" s="67">
        <f>$U108</f>
        <v>2872729.2339001177</v>
      </c>
      <c r="CV108" s="67">
        <f>$V108</f>
        <v>3089561.8947073505</v>
      </c>
      <c r="CW108" s="183">
        <f>CV108/CR108-1</f>
        <v>0.18050514571344856</v>
      </c>
      <c r="CY108" s="67">
        <f t="shared" si="327"/>
        <v>1835308.2982429862</v>
      </c>
      <c r="CZ108" s="67">
        <f t="shared" si="328"/>
        <v>1941171.174218792</v>
      </c>
      <c r="DA108" s="67">
        <f t="shared" si="329"/>
        <v>1868088</v>
      </c>
      <c r="DB108" s="67">
        <f t="shared" ref="DB108:DB115" si="358">$H108</f>
        <v>1974378</v>
      </c>
      <c r="DC108" s="67">
        <f t="shared" ref="DC108:DC115" si="359">$I108</f>
        <v>2072996</v>
      </c>
      <c r="DD108" s="67">
        <f t="shared" si="330"/>
        <v>2184797.9700000002</v>
      </c>
      <c r="DE108" s="67">
        <f t="shared" si="331"/>
        <v>2017027.8981996085</v>
      </c>
      <c r="DF108" s="67">
        <f t="shared" ref="DF108:DF115" si="360">$L108</f>
        <v>2125867.1701002545</v>
      </c>
      <c r="DG108" s="67">
        <f t="shared" ref="DG108:DG115" si="361">$M108</f>
        <v>2198869.156269548</v>
      </c>
      <c r="DH108" s="67">
        <f t="shared" ref="DH108:DH115" si="362">$N108</f>
        <v>2332347.2532545202</v>
      </c>
      <c r="DI108" s="67">
        <f>$O108</f>
        <v>2130866.3551885672</v>
      </c>
      <c r="DJ108" s="67">
        <f t="shared" ref="DJ108:DJ115" si="363">$P108</f>
        <v>2290744</v>
      </c>
      <c r="DK108" s="67">
        <f>$Q108</f>
        <v>2411247.417329933</v>
      </c>
      <c r="DL108" s="67">
        <f>$R108</f>
        <v>2617152.4164260603</v>
      </c>
      <c r="DM108" s="67">
        <f>$S108</f>
        <v>2589880.151902603</v>
      </c>
      <c r="DN108" s="67">
        <f>$T108</f>
        <v>2686885.5831719586</v>
      </c>
      <c r="DO108" s="67">
        <f>$U108</f>
        <v>2872729.2339001177</v>
      </c>
      <c r="DP108" s="67">
        <f>$V108</f>
        <v>3089561.8947073505</v>
      </c>
    </row>
    <row r="109" spans="2:120" s="64" customFormat="1" x14ac:dyDescent="0.3">
      <c r="C109" s="65" t="s">
        <v>80</v>
      </c>
      <c r="D109" s="77"/>
      <c r="E109" s="69">
        <v>168654.13975701394</v>
      </c>
      <c r="F109" s="69">
        <v>160983.39878120794</v>
      </c>
      <c r="G109" s="69">
        <v>166136</v>
      </c>
      <c r="H109" s="69">
        <v>170832</v>
      </c>
      <c r="I109" s="69">
        <v>172300</v>
      </c>
      <c r="J109" s="69">
        <v>173038.76300000001</v>
      </c>
      <c r="K109" s="69">
        <v>187054.0733097</v>
      </c>
      <c r="L109" s="69">
        <v>192429.32248629999</v>
      </c>
      <c r="M109" s="69">
        <v>201721.7358689</v>
      </c>
      <c r="N109" s="69">
        <v>194872.81264679998</v>
      </c>
      <c r="O109" s="69">
        <v>215572.38300600002</v>
      </c>
      <c r="P109" s="69">
        <v>223742</v>
      </c>
      <c r="Q109" s="69">
        <v>244839.924291</v>
      </c>
      <c r="R109" s="69">
        <v>264738.25029579998</v>
      </c>
      <c r="S109" s="69">
        <v>278924.79886099999</v>
      </c>
      <c r="T109" s="69">
        <v>331374.45230499998</v>
      </c>
      <c r="U109" s="69">
        <v>345595.06361269997</v>
      </c>
      <c r="V109" s="69">
        <v>360908.93478200003</v>
      </c>
      <c r="W109" s="182">
        <f t="shared" si="215"/>
        <v>0.36326705483150112</v>
      </c>
      <c r="X109" s="36"/>
      <c r="Y109" s="67">
        <f t="shared" si="307"/>
        <v>168654.13975701394</v>
      </c>
      <c r="Z109" s="67">
        <f t="shared" si="308"/>
        <v>160983.39878120794</v>
      </c>
      <c r="AA109" s="67">
        <f t="shared" si="309"/>
        <v>166136</v>
      </c>
      <c r="AB109" s="67">
        <f t="shared" si="334"/>
        <v>170832</v>
      </c>
      <c r="AC109" s="67">
        <f t="shared" si="335"/>
        <v>172300</v>
      </c>
      <c r="AD109" s="67">
        <f t="shared" si="310"/>
        <v>173038.76300000001</v>
      </c>
      <c r="AE109" s="67">
        <f t="shared" si="311"/>
        <v>187054.0733097</v>
      </c>
      <c r="AF109" s="67">
        <f t="shared" si="336"/>
        <v>192429.32248629999</v>
      </c>
      <c r="AG109" s="67">
        <f t="shared" si="337"/>
        <v>201721.7358689</v>
      </c>
      <c r="AH109" s="67">
        <f t="shared" si="338"/>
        <v>194872.81264679998</v>
      </c>
      <c r="AI109" s="67">
        <f>$O109</f>
        <v>215572.38300600002</v>
      </c>
      <c r="AJ109" s="67">
        <f t="shared" si="339"/>
        <v>223742</v>
      </c>
      <c r="AK109" s="67">
        <f>$Q109</f>
        <v>244839.924291</v>
      </c>
      <c r="AL109" s="67">
        <f>$R109</f>
        <v>264738.25029579998</v>
      </c>
      <c r="AM109" s="67">
        <f>$S109</f>
        <v>278924.79886099999</v>
      </c>
      <c r="AN109" s="67">
        <f>$T109</f>
        <v>331374.45230499998</v>
      </c>
      <c r="AO109" s="67">
        <f>$U109</f>
        <v>345595.06361269997</v>
      </c>
      <c r="AP109" s="67">
        <f>$V109</f>
        <v>360908.93478200003</v>
      </c>
      <c r="AQ109" s="182">
        <f>AP109/AL109-1</f>
        <v>0.36326705483150112</v>
      </c>
      <c r="AS109" s="67">
        <f t="shared" si="312"/>
        <v>168654.13975701394</v>
      </c>
      <c r="AT109" s="67">
        <f t="shared" si="313"/>
        <v>160983.39878120794</v>
      </c>
      <c r="AU109" s="67">
        <f t="shared" si="314"/>
        <v>166136</v>
      </c>
      <c r="AV109" s="67">
        <f t="shared" si="340"/>
        <v>170832</v>
      </c>
      <c r="AW109" s="67">
        <f t="shared" si="341"/>
        <v>172300</v>
      </c>
      <c r="AX109" s="67">
        <f t="shared" si="315"/>
        <v>173038.76300000001</v>
      </c>
      <c r="AY109" s="67">
        <f t="shared" si="316"/>
        <v>187054.0733097</v>
      </c>
      <c r="AZ109" s="67">
        <f t="shared" si="342"/>
        <v>192429.32248629999</v>
      </c>
      <c r="BA109" s="67">
        <f t="shared" si="343"/>
        <v>201721.7358689</v>
      </c>
      <c r="BB109" s="67">
        <f t="shared" si="344"/>
        <v>194872.81264679998</v>
      </c>
      <c r="BC109" s="67">
        <f>$O109</f>
        <v>215572.38300600002</v>
      </c>
      <c r="BD109" s="67">
        <f t="shared" si="345"/>
        <v>223742</v>
      </c>
      <c r="BE109" s="67">
        <f>$Q109</f>
        <v>244839.924291</v>
      </c>
      <c r="BF109" s="67">
        <f>$R109</f>
        <v>264738.25029579998</v>
      </c>
      <c r="BG109" s="67">
        <f>$S109</f>
        <v>278924.79886099999</v>
      </c>
      <c r="BH109" s="67">
        <f>$T109</f>
        <v>331374.45230499998</v>
      </c>
      <c r="BI109" s="67">
        <f>$U109</f>
        <v>345595.06361269997</v>
      </c>
      <c r="BJ109" s="67">
        <f>$V109</f>
        <v>360908.93478200003</v>
      </c>
      <c r="BL109" s="67">
        <f t="shared" si="317"/>
        <v>168654.13975701394</v>
      </c>
      <c r="BM109" s="67">
        <f t="shared" si="318"/>
        <v>160983.39878120794</v>
      </c>
      <c r="BN109" s="67">
        <f t="shared" si="319"/>
        <v>166136</v>
      </c>
      <c r="BO109" s="67">
        <f t="shared" si="346"/>
        <v>170832</v>
      </c>
      <c r="BP109" s="67">
        <f t="shared" si="347"/>
        <v>172300</v>
      </c>
      <c r="BQ109" s="67">
        <f t="shared" si="320"/>
        <v>173038.76300000001</v>
      </c>
      <c r="BR109" s="67">
        <f t="shared" si="321"/>
        <v>187054.0733097</v>
      </c>
      <c r="BS109" s="67">
        <f t="shared" si="348"/>
        <v>192429.32248629999</v>
      </c>
      <c r="BT109" s="67">
        <f t="shared" si="349"/>
        <v>201721.7358689</v>
      </c>
      <c r="BU109" s="67">
        <f t="shared" si="350"/>
        <v>194872.81264679998</v>
      </c>
      <c r="BV109" s="67">
        <f>$O109</f>
        <v>215572.38300600002</v>
      </c>
      <c r="BW109" s="67">
        <f t="shared" si="351"/>
        <v>223742</v>
      </c>
      <c r="BX109" s="67">
        <f>$Q109</f>
        <v>244839.924291</v>
      </c>
      <c r="BY109" s="67">
        <f>$R109</f>
        <v>264738.25029579998</v>
      </c>
      <c r="BZ109" s="67">
        <f>$S109</f>
        <v>278924.79886099999</v>
      </c>
      <c r="CA109" s="67">
        <f>$T109</f>
        <v>331374.45230499998</v>
      </c>
      <c r="CB109" s="67">
        <f>$U109</f>
        <v>345595.06361269997</v>
      </c>
      <c r="CC109" s="67">
        <f>$V109</f>
        <v>360908.93478200003</v>
      </c>
      <c r="CE109" s="67">
        <f t="shared" si="322"/>
        <v>168654.13975701394</v>
      </c>
      <c r="CF109" s="67">
        <f t="shared" si="323"/>
        <v>160983.39878120794</v>
      </c>
      <c r="CG109" s="67">
        <f t="shared" si="324"/>
        <v>166136</v>
      </c>
      <c r="CH109" s="67">
        <f t="shared" si="352"/>
        <v>170832</v>
      </c>
      <c r="CI109" s="67">
        <f t="shared" si="353"/>
        <v>172300</v>
      </c>
      <c r="CJ109" s="67">
        <f t="shared" si="325"/>
        <v>173038.76300000001</v>
      </c>
      <c r="CK109" s="67">
        <f t="shared" si="326"/>
        <v>187054.0733097</v>
      </c>
      <c r="CL109" s="67">
        <f t="shared" si="354"/>
        <v>192429.32248629999</v>
      </c>
      <c r="CM109" s="67">
        <f t="shared" si="355"/>
        <v>201721.7358689</v>
      </c>
      <c r="CN109" s="67">
        <f t="shared" si="356"/>
        <v>194872.81264679998</v>
      </c>
      <c r="CO109" s="67">
        <f>$O109</f>
        <v>215572.38300600002</v>
      </c>
      <c r="CP109" s="67">
        <f t="shared" si="357"/>
        <v>223742</v>
      </c>
      <c r="CQ109" s="67">
        <f>$Q109</f>
        <v>244839.924291</v>
      </c>
      <c r="CR109" s="67">
        <f>$R109</f>
        <v>264738.25029579998</v>
      </c>
      <c r="CS109" s="67">
        <f>$S109</f>
        <v>278924.79886099999</v>
      </c>
      <c r="CT109" s="67">
        <f>$T109</f>
        <v>331374.45230499998</v>
      </c>
      <c r="CU109" s="67">
        <f>$U109</f>
        <v>345595.06361269997</v>
      </c>
      <c r="CV109" s="67">
        <f>$V109</f>
        <v>360908.93478200003</v>
      </c>
      <c r="CW109" s="182">
        <f>CV109/CR109-1</f>
        <v>0.36326705483150112</v>
      </c>
      <c r="CY109" s="67">
        <f t="shared" si="327"/>
        <v>168654.13975701394</v>
      </c>
      <c r="CZ109" s="67">
        <f t="shared" si="328"/>
        <v>160983.39878120794</v>
      </c>
      <c r="DA109" s="67">
        <f t="shared" si="329"/>
        <v>166136</v>
      </c>
      <c r="DB109" s="67">
        <f t="shared" si="358"/>
        <v>170832</v>
      </c>
      <c r="DC109" s="67">
        <f t="shared" si="359"/>
        <v>172300</v>
      </c>
      <c r="DD109" s="67">
        <f t="shared" si="330"/>
        <v>173038.76300000001</v>
      </c>
      <c r="DE109" s="67">
        <f t="shared" si="331"/>
        <v>187054.0733097</v>
      </c>
      <c r="DF109" s="67">
        <f t="shared" si="360"/>
        <v>192429.32248629999</v>
      </c>
      <c r="DG109" s="67">
        <f t="shared" si="361"/>
        <v>201721.7358689</v>
      </c>
      <c r="DH109" s="67">
        <f t="shared" si="362"/>
        <v>194872.81264679998</v>
      </c>
      <c r="DI109" s="67">
        <f>$O109</f>
        <v>215572.38300600002</v>
      </c>
      <c r="DJ109" s="67">
        <f t="shared" si="363"/>
        <v>223742</v>
      </c>
      <c r="DK109" s="67">
        <f>$Q109</f>
        <v>244839.924291</v>
      </c>
      <c r="DL109" s="67">
        <f>$R109</f>
        <v>264738.25029579998</v>
      </c>
      <c r="DM109" s="67">
        <f>$S109</f>
        <v>278924.79886099999</v>
      </c>
      <c r="DN109" s="67">
        <f>$T109</f>
        <v>331374.45230499998</v>
      </c>
      <c r="DO109" s="67">
        <f>$U109</f>
        <v>345595.06361269997</v>
      </c>
      <c r="DP109" s="67">
        <f>$V109</f>
        <v>360908.93478200003</v>
      </c>
    </row>
    <row r="110" spans="2:120" s="64" customFormat="1" x14ac:dyDescent="0.3">
      <c r="C110" s="105" t="s">
        <v>190</v>
      </c>
      <c r="D110" s="128"/>
      <c r="E110" s="210"/>
      <c r="F110" s="210"/>
      <c r="G110" s="210">
        <v>-3414</v>
      </c>
      <c r="H110" s="210">
        <v>1000</v>
      </c>
      <c r="I110" s="210">
        <v>7181</v>
      </c>
      <c r="J110" s="210">
        <v>10966</v>
      </c>
      <c r="K110" s="210">
        <v>8860.1921576000004</v>
      </c>
      <c r="L110" s="210">
        <v>7438.8824160000004</v>
      </c>
      <c r="M110" s="210">
        <v>9950.2241416000088</v>
      </c>
      <c r="N110" s="210">
        <v>12291.524837600005</v>
      </c>
      <c r="O110" s="210">
        <v>2396.4088032</v>
      </c>
      <c r="P110" s="210">
        <v>117</v>
      </c>
      <c r="Q110" s="210">
        <v>4034.1812216000089</v>
      </c>
      <c r="R110" s="210">
        <v>22467.585357600008</v>
      </c>
      <c r="S110" s="210">
        <v>8372.7136959999971</v>
      </c>
      <c r="T110" s="210">
        <v>12622.780079999993</v>
      </c>
      <c r="U110" s="210">
        <v>21695.023927999988</v>
      </c>
      <c r="V110" s="210">
        <v>27122.508728000004</v>
      </c>
      <c r="W110" s="211">
        <f t="shared" si="215"/>
        <v>0.20718396286521257</v>
      </c>
      <c r="X110" s="36"/>
      <c r="Y110" s="67">
        <f t="shared" si="307"/>
        <v>0</v>
      </c>
      <c r="Z110" s="67">
        <f t="shared" si="308"/>
        <v>0</v>
      </c>
      <c r="AA110" s="67">
        <f t="shared" si="309"/>
        <v>-3414</v>
      </c>
      <c r="AB110" s="67">
        <f t="shared" si="334"/>
        <v>1000</v>
      </c>
      <c r="AC110" s="67">
        <f t="shared" si="335"/>
        <v>7181</v>
      </c>
      <c r="AD110" s="67">
        <f t="shared" si="310"/>
        <v>10966</v>
      </c>
      <c r="AE110" s="67">
        <f t="shared" si="311"/>
        <v>8860.1921576000004</v>
      </c>
      <c r="AF110" s="67">
        <f t="shared" si="336"/>
        <v>7438.8824160000004</v>
      </c>
      <c r="AG110" s="67">
        <f t="shared" si="337"/>
        <v>9950.2241416000088</v>
      </c>
      <c r="AH110" s="67">
        <f t="shared" si="338"/>
        <v>12291.524837600005</v>
      </c>
      <c r="AI110" s="67">
        <f>$O110</f>
        <v>2396.4088032</v>
      </c>
      <c r="AJ110" s="67">
        <f t="shared" si="339"/>
        <v>117</v>
      </c>
      <c r="AK110" s="67">
        <f>$Q110</f>
        <v>4034.1812216000089</v>
      </c>
      <c r="AL110" s="67">
        <f>$R110</f>
        <v>22467.585357600008</v>
      </c>
      <c r="AM110" s="67">
        <f>$S110</f>
        <v>8372.7136959999971</v>
      </c>
      <c r="AN110" s="67">
        <f>$T110</f>
        <v>12622.780079999993</v>
      </c>
      <c r="AO110" s="67">
        <f>$U110</f>
        <v>21695.023927999988</v>
      </c>
      <c r="AP110" s="67">
        <f>$V110</f>
        <v>27122.508728000004</v>
      </c>
      <c r="AQ110" s="211">
        <f>AP110/AL110-1</f>
        <v>0.20718396286521257</v>
      </c>
      <c r="AS110" s="67">
        <f t="shared" si="312"/>
        <v>0</v>
      </c>
      <c r="AT110" s="67">
        <f t="shared" si="313"/>
        <v>0</v>
      </c>
      <c r="AU110" s="67">
        <f t="shared" si="314"/>
        <v>-3414</v>
      </c>
      <c r="AV110" s="67">
        <f t="shared" si="340"/>
        <v>1000</v>
      </c>
      <c r="AW110" s="67">
        <f t="shared" si="341"/>
        <v>7181</v>
      </c>
      <c r="AX110" s="67">
        <f t="shared" si="315"/>
        <v>10966</v>
      </c>
      <c r="AY110" s="67">
        <f t="shared" si="316"/>
        <v>8860.1921576000004</v>
      </c>
      <c r="AZ110" s="67">
        <f t="shared" si="342"/>
        <v>7438.8824160000004</v>
      </c>
      <c r="BA110" s="67">
        <f t="shared" si="343"/>
        <v>9950.2241416000088</v>
      </c>
      <c r="BB110" s="67">
        <f t="shared" si="344"/>
        <v>12291.524837600005</v>
      </c>
      <c r="BC110" s="67">
        <f>$O110</f>
        <v>2396.4088032</v>
      </c>
      <c r="BD110" s="67">
        <f t="shared" si="345"/>
        <v>117</v>
      </c>
      <c r="BE110" s="67">
        <f>$Q110</f>
        <v>4034.1812216000089</v>
      </c>
      <c r="BF110" s="67">
        <f>$R110</f>
        <v>22467.585357600008</v>
      </c>
      <c r="BG110" s="67">
        <f>$S110</f>
        <v>8372.7136959999971</v>
      </c>
      <c r="BH110" s="67">
        <f>$T110</f>
        <v>12622.780079999993</v>
      </c>
      <c r="BI110" s="67">
        <f>$U110</f>
        <v>21695.023927999988</v>
      </c>
      <c r="BJ110" s="67">
        <f>$V110</f>
        <v>27122.508728000004</v>
      </c>
      <c r="BL110" s="67">
        <f t="shared" si="317"/>
        <v>0</v>
      </c>
      <c r="BM110" s="67">
        <f t="shared" si="318"/>
        <v>0</v>
      </c>
      <c r="BN110" s="67">
        <f t="shared" si="319"/>
        <v>-3414</v>
      </c>
      <c r="BO110" s="67">
        <f t="shared" si="346"/>
        <v>1000</v>
      </c>
      <c r="BP110" s="67">
        <f t="shared" si="347"/>
        <v>7181</v>
      </c>
      <c r="BQ110" s="67">
        <f t="shared" si="320"/>
        <v>10966</v>
      </c>
      <c r="BR110" s="67">
        <f t="shared" si="321"/>
        <v>8860.1921576000004</v>
      </c>
      <c r="BS110" s="67">
        <f t="shared" si="348"/>
        <v>7438.8824160000004</v>
      </c>
      <c r="BT110" s="67">
        <f t="shared" si="349"/>
        <v>9950.2241416000088</v>
      </c>
      <c r="BU110" s="67">
        <f t="shared" si="350"/>
        <v>12291.524837600005</v>
      </c>
      <c r="BV110" s="67">
        <f>$O110</f>
        <v>2396.4088032</v>
      </c>
      <c r="BW110" s="67">
        <f t="shared" si="351"/>
        <v>117</v>
      </c>
      <c r="BX110" s="67">
        <f>$Q110</f>
        <v>4034.1812216000089</v>
      </c>
      <c r="BY110" s="67">
        <f>$R110</f>
        <v>22467.585357600008</v>
      </c>
      <c r="BZ110" s="67">
        <f>$S110</f>
        <v>8372.7136959999971</v>
      </c>
      <c r="CA110" s="67">
        <f>$T110</f>
        <v>12622.780079999993</v>
      </c>
      <c r="CB110" s="67">
        <f>$U110</f>
        <v>21695.023927999988</v>
      </c>
      <c r="CC110" s="67">
        <f>$V110</f>
        <v>27122.508728000004</v>
      </c>
      <c r="CE110" s="67">
        <f t="shared" si="322"/>
        <v>0</v>
      </c>
      <c r="CF110" s="67">
        <f t="shared" si="323"/>
        <v>0</v>
      </c>
      <c r="CG110" s="67">
        <f t="shared" si="324"/>
        <v>-3414</v>
      </c>
      <c r="CH110" s="67">
        <f t="shared" si="352"/>
        <v>1000</v>
      </c>
      <c r="CI110" s="67">
        <f t="shared" si="353"/>
        <v>7181</v>
      </c>
      <c r="CJ110" s="67">
        <f t="shared" si="325"/>
        <v>10966</v>
      </c>
      <c r="CK110" s="67">
        <f t="shared" si="326"/>
        <v>8860.1921576000004</v>
      </c>
      <c r="CL110" s="67">
        <f t="shared" si="354"/>
        <v>7438.8824160000004</v>
      </c>
      <c r="CM110" s="67">
        <f t="shared" si="355"/>
        <v>9950.2241416000088</v>
      </c>
      <c r="CN110" s="67">
        <f t="shared" si="356"/>
        <v>12291.524837600005</v>
      </c>
      <c r="CO110" s="67">
        <f>$O110</f>
        <v>2396.4088032</v>
      </c>
      <c r="CP110" s="67">
        <f t="shared" si="357"/>
        <v>117</v>
      </c>
      <c r="CQ110" s="67">
        <f>$Q110</f>
        <v>4034.1812216000089</v>
      </c>
      <c r="CR110" s="67">
        <f>$R110</f>
        <v>22467.585357600008</v>
      </c>
      <c r="CS110" s="67">
        <f>$S110</f>
        <v>8372.7136959999971</v>
      </c>
      <c r="CT110" s="67">
        <f>$T110</f>
        <v>12622.780079999993</v>
      </c>
      <c r="CU110" s="67">
        <f>$U110</f>
        <v>21695.023927999988</v>
      </c>
      <c r="CV110" s="67">
        <f>$V110</f>
        <v>27122.508728000004</v>
      </c>
      <c r="CW110" s="211">
        <f>CV110/CR110-1</f>
        <v>0.20718396286521257</v>
      </c>
      <c r="CY110" s="67">
        <f t="shared" si="327"/>
        <v>0</v>
      </c>
      <c r="CZ110" s="67">
        <f t="shared" si="328"/>
        <v>0</v>
      </c>
      <c r="DA110" s="67">
        <f t="shared" si="329"/>
        <v>-3414</v>
      </c>
      <c r="DB110" s="67">
        <f t="shared" si="358"/>
        <v>1000</v>
      </c>
      <c r="DC110" s="67">
        <f t="shared" si="359"/>
        <v>7181</v>
      </c>
      <c r="DD110" s="67">
        <f t="shared" si="330"/>
        <v>10966</v>
      </c>
      <c r="DE110" s="67">
        <f t="shared" si="331"/>
        <v>8860.1921576000004</v>
      </c>
      <c r="DF110" s="67">
        <f t="shared" si="360"/>
        <v>7438.8824160000004</v>
      </c>
      <c r="DG110" s="67">
        <f t="shared" si="361"/>
        <v>9950.2241416000088</v>
      </c>
      <c r="DH110" s="67">
        <f t="shared" si="362"/>
        <v>12291.524837600005</v>
      </c>
      <c r="DI110" s="67">
        <f>$O110</f>
        <v>2396.4088032</v>
      </c>
      <c r="DJ110" s="67">
        <f t="shared" si="363"/>
        <v>117</v>
      </c>
      <c r="DK110" s="67">
        <f>$Q110</f>
        <v>4034.1812216000089</v>
      </c>
      <c r="DL110" s="67">
        <f>$R110</f>
        <v>22467.585357600008</v>
      </c>
      <c r="DM110" s="67">
        <f>$S110</f>
        <v>8372.7136959999971</v>
      </c>
      <c r="DN110" s="67">
        <f>$T110</f>
        <v>12622.780079999993</v>
      </c>
      <c r="DO110" s="67">
        <f>$U110</f>
        <v>21695.023927999988</v>
      </c>
      <c r="DP110" s="67">
        <f>$V110</f>
        <v>27122.508728000004</v>
      </c>
    </row>
    <row r="111" spans="2:120" x14ac:dyDescent="0.3">
      <c r="C111" s="71"/>
      <c r="D111" s="120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209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209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0"/>
      <c r="BH111" s="70"/>
      <c r="BI111" s="70"/>
      <c r="BJ111" s="70"/>
      <c r="BL111" s="70"/>
      <c r="BM111" s="70"/>
      <c r="BN111" s="70"/>
      <c r="BO111" s="70"/>
      <c r="BP111" s="70"/>
      <c r="BQ111" s="70"/>
      <c r="BR111" s="70"/>
      <c r="BS111" s="70"/>
      <c r="BT111" s="70"/>
      <c r="BU111" s="70"/>
      <c r="BV111" s="70"/>
      <c r="BW111" s="70"/>
      <c r="BX111" s="70"/>
      <c r="BY111" s="70"/>
      <c r="BZ111" s="70"/>
      <c r="CA111" s="70"/>
      <c r="CB111" s="70"/>
      <c r="CC111" s="70"/>
      <c r="CE111" s="70"/>
      <c r="CF111" s="70"/>
      <c r="CG111" s="70"/>
      <c r="CH111" s="70"/>
      <c r="CI111" s="70"/>
      <c r="CJ111" s="70"/>
      <c r="CK111" s="70"/>
      <c r="CL111" s="70"/>
      <c r="CM111" s="70"/>
      <c r="CN111" s="70"/>
      <c r="CO111" s="70"/>
      <c r="CP111" s="70"/>
      <c r="CQ111" s="70"/>
      <c r="CR111" s="70"/>
      <c r="CS111" s="70"/>
      <c r="CT111" s="70"/>
      <c r="CU111" s="70"/>
      <c r="CV111" s="70"/>
      <c r="CW111" s="209"/>
      <c r="CY111" s="70"/>
      <c r="CZ111" s="70"/>
      <c r="DA111" s="70"/>
      <c r="DB111" s="70"/>
      <c r="DC111" s="70"/>
      <c r="DD111" s="70"/>
      <c r="DE111" s="70"/>
      <c r="DF111" s="70"/>
      <c r="DG111" s="70"/>
      <c r="DH111" s="70"/>
      <c r="DI111" s="70"/>
      <c r="DJ111" s="70"/>
      <c r="DK111" s="70"/>
      <c r="DL111" s="70"/>
      <c r="DM111" s="70"/>
      <c r="DN111" s="70"/>
      <c r="DO111" s="70"/>
      <c r="DP111" s="70"/>
    </row>
    <row r="112" spans="2:120" s="64" customFormat="1" x14ac:dyDescent="0.3">
      <c r="C112" s="65" t="s">
        <v>129</v>
      </c>
      <c r="D112" s="77"/>
      <c r="E112" s="69">
        <v>1972146.2606666666</v>
      </c>
      <c r="F112" s="69">
        <v>2054202.1233333333</v>
      </c>
      <c r="G112" s="69">
        <v>1996105.3816666668</v>
      </c>
      <c r="H112" s="69">
        <v>2098826.6776666665</v>
      </c>
      <c r="I112" s="69">
        <v>2216463.8766666669</v>
      </c>
      <c r="J112" s="69">
        <v>2303559.6136666667</v>
      </c>
      <c r="K112" s="69">
        <v>2361098.8191052522</v>
      </c>
      <c r="L112" s="69">
        <v>2269243.5076804897</v>
      </c>
      <c r="M112" s="69">
        <v>2377478.7612282266</v>
      </c>
      <c r="N112" s="69">
        <v>2475773.6399572711</v>
      </c>
      <c r="O112" s="69">
        <v>2446540.2910503033</v>
      </c>
      <c r="P112" s="69">
        <v>2414331.3914510403</v>
      </c>
      <c r="Q112" s="69">
        <v>2572916.832478465</v>
      </c>
      <c r="R112" s="69">
        <v>2729428.4309264366</v>
      </c>
      <c r="S112" s="69">
        <v>2910821.0154680568</v>
      </c>
      <c r="T112" s="69">
        <v>2991536.189445117</v>
      </c>
      <c r="U112" s="69">
        <v>3150905.7901590713</v>
      </c>
      <c r="V112" s="69">
        <v>3376566.2494364046</v>
      </c>
      <c r="W112" s="182">
        <f t="shared" si="215"/>
        <v>0.2370964598951999</v>
      </c>
      <c r="X112" s="36"/>
      <c r="Y112" s="67">
        <f t="shared" si="307"/>
        <v>1972146.2606666666</v>
      </c>
      <c r="Z112" s="67">
        <f t="shared" si="308"/>
        <v>2054202.1233333333</v>
      </c>
      <c r="AA112" s="67">
        <f t="shared" si="309"/>
        <v>1996105.3816666668</v>
      </c>
      <c r="AB112" s="67">
        <f t="shared" si="334"/>
        <v>2098826.6776666665</v>
      </c>
      <c r="AC112" s="67">
        <f t="shared" si="335"/>
        <v>2216463.8766666669</v>
      </c>
      <c r="AD112" s="67">
        <f t="shared" si="310"/>
        <v>2303559.6136666667</v>
      </c>
      <c r="AE112" s="67">
        <f t="shared" si="311"/>
        <v>2361098.8191052522</v>
      </c>
      <c r="AF112" s="67">
        <f t="shared" si="336"/>
        <v>2269243.5076804897</v>
      </c>
      <c r="AG112" s="67">
        <f t="shared" si="337"/>
        <v>2377478.7612282266</v>
      </c>
      <c r="AH112" s="67">
        <f t="shared" si="338"/>
        <v>2475773.6399572711</v>
      </c>
      <c r="AI112" s="67">
        <f>$O112</f>
        <v>2446540.2910503033</v>
      </c>
      <c r="AJ112" s="67">
        <f t="shared" si="339"/>
        <v>2414331.3914510403</v>
      </c>
      <c r="AK112" s="67">
        <f>$Q112</f>
        <v>2572916.832478465</v>
      </c>
      <c r="AL112" s="67">
        <f>$R112</f>
        <v>2729428.4309264366</v>
      </c>
      <c r="AM112" s="67">
        <f>$S112</f>
        <v>2910821.0154680568</v>
      </c>
      <c r="AN112" s="67">
        <f>$T112</f>
        <v>2991536.189445117</v>
      </c>
      <c r="AO112" s="67">
        <f>$U112</f>
        <v>3150905.7901590713</v>
      </c>
      <c r="AP112" s="67">
        <f>$V112</f>
        <v>3376566.2494364046</v>
      </c>
      <c r="AQ112" s="182"/>
      <c r="AS112" s="67">
        <f t="shared" si="312"/>
        <v>1972146.2606666666</v>
      </c>
      <c r="AT112" s="67">
        <f t="shared" si="313"/>
        <v>2054202.1233333333</v>
      </c>
      <c r="AU112" s="67">
        <f t="shared" si="314"/>
        <v>1996105.3816666668</v>
      </c>
      <c r="AV112" s="67">
        <f t="shared" si="340"/>
        <v>2098826.6776666665</v>
      </c>
      <c r="AW112" s="67">
        <f t="shared" si="341"/>
        <v>2216463.8766666669</v>
      </c>
      <c r="AX112" s="67">
        <f t="shared" si="315"/>
        <v>2303559.6136666667</v>
      </c>
      <c r="AY112" s="67">
        <f t="shared" si="316"/>
        <v>2361098.8191052522</v>
      </c>
      <c r="AZ112" s="67">
        <f t="shared" si="342"/>
        <v>2269243.5076804897</v>
      </c>
      <c r="BA112" s="67">
        <f t="shared" si="343"/>
        <v>2377478.7612282266</v>
      </c>
      <c r="BB112" s="67">
        <f t="shared" si="344"/>
        <v>2475773.6399572711</v>
      </c>
      <c r="BC112" s="67">
        <f>$O112</f>
        <v>2446540.2910503033</v>
      </c>
      <c r="BD112" s="67">
        <f t="shared" si="345"/>
        <v>2414331.3914510403</v>
      </c>
      <c r="BE112" s="67">
        <f>$Q112</f>
        <v>2572916.832478465</v>
      </c>
      <c r="BF112" s="67">
        <f>$R112</f>
        <v>2729428.4309264366</v>
      </c>
      <c r="BG112" s="67">
        <f>$S112</f>
        <v>2910821.0154680568</v>
      </c>
      <c r="BH112" s="67">
        <f>$T112</f>
        <v>2991536.189445117</v>
      </c>
      <c r="BI112" s="67">
        <f>$U112</f>
        <v>3150905.7901590713</v>
      </c>
      <c r="BJ112" s="67">
        <f>$V112</f>
        <v>3376566.2494364046</v>
      </c>
      <c r="BL112" s="67">
        <f t="shared" si="317"/>
        <v>1972146.2606666666</v>
      </c>
      <c r="BM112" s="67">
        <f t="shared" si="318"/>
        <v>2054202.1233333333</v>
      </c>
      <c r="BN112" s="67">
        <f t="shared" si="319"/>
        <v>1996105.3816666668</v>
      </c>
      <c r="BO112" s="67">
        <f t="shared" si="346"/>
        <v>2098826.6776666665</v>
      </c>
      <c r="BP112" s="67">
        <f t="shared" si="347"/>
        <v>2216463.8766666669</v>
      </c>
      <c r="BQ112" s="67">
        <f t="shared" si="320"/>
        <v>2303559.6136666667</v>
      </c>
      <c r="BR112" s="67">
        <f t="shared" si="321"/>
        <v>2361098.8191052522</v>
      </c>
      <c r="BS112" s="67">
        <f t="shared" si="348"/>
        <v>2269243.5076804897</v>
      </c>
      <c r="BT112" s="67">
        <f t="shared" si="349"/>
        <v>2377478.7612282266</v>
      </c>
      <c r="BU112" s="67">
        <f t="shared" si="350"/>
        <v>2475773.6399572711</v>
      </c>
      <c r="BV112" s="67">
        <f>$O112</f>
        <v>2446540.2910503033</v>
      </c>
      <c r="BW112" s="67">
        <f t="shared" si="351"/>
        <v>2414331.3914510403</v>
      </c>
      <c r="BX112" s="67">
        <f>$Q112</f>
        <v>2572916.832478465</v>
      </c>
      <c r="BY112" s="67">
        <f>$R112</f>
        <v>2729428.4309264366</v>
      </c>
      <c r="BZ112" s="67">
        <f>$S112</f>
        <v>2910821.0154680568</v>
      </c>
      <c r="CA112" s="67">
        <f>$T112</f>
        <v>2991536.189445117</v>
      </c>
      <c r="CB112" s="67">
        <f>$U112</f>
        <v>3150905.7901590713</v>
      </c>
      <c r="CC112" s="67">
        <f>$V112</f>
        <v>3376566.2494364046</v>
      </c>
      <c r="CE112" s="67">
        <f t="shared" si="322"/>
        <v>1972146.2606666666</v>
      </c>
      <c r="CF112" s="67">
        <f t="shared" si="323"/>
        <v>2054202.1233333333</v>
      </c>
      <c r="CG112" s="67">
        <f t="shared" si="324"/>
        <v>1996105.3816666668</v>
      </c>
      <c r="CH112" s="67">
        <f t="shared" si="352"/>
        <v>2098826.6776666665</v>
      </c>
      <c r="CI112" s="67">
        <f t="shared" si="353"/>
        <v>2216463.8766666669</v>
      </c>
      <c r="CJ112" s="67">
        <f t="shared" si="325"/>
        <v>2303559.6136666667</v>
      </c>
      <c r="CK112" s="67">
        <f t="shared" si="326"/>
        <v>2361098.8191052522</v>
      </c>
      <c r="CL112" s="67">
        <f t="shared" si="354"/>
        <v>2269243.5076804897</v>
      </c>
      <c r="CM112" s="67">
        <f t="shared" si="355"/>
        <v>2377478.7612282266</v>
      </c>
      <c r="CN112" s="67">
        <f t="shared" si="356"/>
        <v>2475773.6399572711</v>
      </c>
      <c r="CO112" s="67">
        <f>$O112</f>
        <v>2446540.2910503033</v>
      </c>
      <c r="CP112" s="67">
        <f t="shared" si="357"/>
        <v>2414331.3914510403</v>
      </c>
      <c r="CQ112" s="67">
        <f>$Q112</f>
        <v>2572916.832478465</v>
      </c>
      <c r="CR112" s="67">
        <f>$R112</f>
        <v>2729428.4309264366</v>
      </c>
      <c r="CS112" s="67">
        <f>$S112</f>
        <v>2910821.0154680568</v>
      </c>
      <c r="CT112" s="67">
        <f>$T112</f>
        <v>2991536.189445117</v>
      </c>
      <c r="CU112" s="67">
        <f>$U112</f>
        <v>3150905.7901590713</v>
      </c>
      <c r="CV112" s="67">
        <f>$V112</f>
        <v>3376566.2494364046</v>
      </c>
      <c r="CW112" s="182"/>
      <c r="CY112" s="67">
        <f t="shared" si="327"/>
        <v>1972146.2606666666</v>
      </c>
      <c r="CZ112" s="67">
        <f t="shared" si="328"/>
        <v>2054202.1233333333</v>
      </c>
      <c r="DA112" s="67">
        <f t="shared" si="329"/>
        <v>1996105.3816666668</v>
      </c>
      <c r="DB112" s="67">
        <f t="shared" si="358"/>
        <v>2098826.6776666665</v>
      </c>
      <c r="DC112" s="67">
        <f t="shared" si="359"/>
        <v>2216463.8766666669</v>
      </c>
      <c r="DD112" s="67">
        <f t="shared" si="330"/>
        <v>2303559.6136666667</v>
      </c>
      <c r="DE112" s="67">
        <f t="shared" si="331"/>
        <v>2361098.8191052522</v>
      </c>
      <c r="DF112" s="67">
        <f t="shared" si="360"/>
        <v>2269243.5076804897</v>
      </c>
      <c r="DG112" s="67">
        <f t="shared" si="361"/>
        <v>2377478.7612282266</v>
      </c>
      <c r="DH112" s="67">
        <f t="shared" si="362"/>
        <v>2475773.6399572711</v>
      </c>
      <c r="DI112" s="67">
        <f>$O112</f>
        <v>2446540.2910503033</v>
      </c>
      <c r="DJ112" s="67">
        <f t="shared" si="363"/>
        <v>2414331.3914510403</v>
      </c>
      <c r="DK112" s="67">
        <f>$Q112</f>
        <v>2572916.832478465</v>
      </c>
      <c r="DL112" s="67">
        <f>$R112</f>
        <v>2729428.4309264366</v>
      </c>
      <c r="DM112" s="67">
        <f>$S112</f>
        <v>2910821.0154680568</v>
      </c>
      <c r="DN112" s="67">
        <f>$T112</f>
        <v>2991536.189445117</v>
      </c>
      <c r="DO112" s="67">
        <f>$U112</f>
        <v>3150905.7901590713</v>
      </c>
      <c r="DP112" s="67">
        <f>$V112</f>
        <v>3376566.2494364046</v>
      </c>
    </row>
    <row r="113" spans="2:120" s="64" customFormat="1" x14ac:dyDescent="0.3">
      <c r="C113" s="65" t="s">
        <v>130</v>
      </c>
      <c r="D113" s="77"/>
      <c r="E113" s="67">
        <f t="shared" ref="E113:V113" si="364">E112-E114-E115</f>
        <v>1801539.3036961788</v>
      </c>
      <c r="F113" s="67">
        <f t="shared" si="364"/>
        <v>1888725.8732802542</v>
      </c>
      <c r="G113" s="67">
        <f t="shared" si="364"/>
        <v>1833615.8551791948</v>
      </c>
      <c r="H113" s="67">
        <f t="shared" si="364"/>
        <v>1929822.8337291945</v>
      </c>
      <c r="I113" s="67">
        <f t="shared" si="364"/>
        <v>2036418.0507125284</v>
      </c>
      <c r="J113" s="67">
        <f t="shared" si="364"/>
        <v>2122332.1376666669</v>
      </c>
      <c r="K113" s="67">
        <f t="shared" si="364"/>
        <v>2165883.353627319</v>
      </c>
      <c r="L113" s="67">
        <f t="shared" si="364"/>
        <v>2073417.7802940898</v>
      </c>
      <c r="M113" s="67">
        <f t="shared" si="364"/>
        <v>2168854.376862993</v>
      </c>
      <c r="N113" s="67">
        <f t="shared" si="364"/>
        <v>2264038.4171894044</v>
      </c>
      <c r="O113" s="67">
        <f t="shared" si="364"/>
        <v>2231706.7866854034</v>
      </c>
      <c r="P113" s="67">
        <f t="shared" si="364"/>
        <v>2192205.7278938433</v>
      </c>
      <c r="Q113" s="67">
        <f t="shared" si="364"/>
        <v>2333396.2198661654</v>
      </c>
      <c r="R113" s="67">
        <f t="shared" si="364"/>
        <v>2458233.5001276033</v>
      </c>
      <c r="S113" s="67">
        <f t="shared" si="364"/>
        <v>2605648.0564912567</v>
      </c>
      <c r="T113" s="67">
        <f t="shared" si="364"/>
        <v>2670961.6125002499</v>
      </c>
      <c r="U113" s="67">
        <f t="shared" si="364"/>
        <v>2793906.5022012717</v>
      </c>
      <c r="V113" s="67">
        <f t="shared" si="364"/>
        <v>2996409.7466547713</v>
      </c>
      <c r="W113" s="181">
        <f t="shared" si="215"/>
        <v>0.21892804182321646</v>
      </c>
      <c r="X113" s="36"/>
      <c r="Y113" s="67">
        <f t="shared" si="307"/>
        <v>1801539.3036961788</v>
      </c>
      <c r="Z113" s="67">
        <f t="shared" si="308"/>
        <v>1888725.8732802542</v>
      </c>
      <c r="AA113" s="67">
        <f t="shared" si="309"/>
        <v>1833615.8551791948</v>
      </c>
      <c r="AB113" s="67">
        <f t="shared" si="334"/>
        <v>1929822.8337291945</v>
      </c>
      <c r="AC113" s="67">
        <f t="shared" si="335"/>
        <v>2036418.0507125284</v>
      </c>
      <c r="AD113" s="67">
        <f t="shared" si="310"/>
        <v>2122332.1376666669</v>
      </c>
      <c r="AE113" s="67">
        <f t="shared" si="311"/>
        <v>2165883.353627319</v>
      </c>
      <c r="AF113" s="67">
        <f t="shared" si="336"/>
        <v>2073417.7802940898</v>
      </c>
      <c r="AG113" s="67">
        <f t="shared" si="337"/>
        <v>2168854.376862993</v>
      </c>
      <c r="AH113" s="67">
        <f t="shared" si="338"/>
        <v>2264038.4171894044</v>
      </c>
      <c r="AI113" s="67">
        <f>$O113</f>
        <v>2231706.7866854034</v>
      </c>
      <c r="AJ113" s="67">
        <f t="shared" si="339"/>
        <v>2192205.7278938433</v>
      </c>
      <c r="AK113" s="67">
        <f>$Q113</f>
        <v>2333396.2198661654</v>
      </c>
      <c r="AL113" s="67">
        <f>$R113</f>
        <v>2458233.5001276033</v>
      </c>
      <c r="AM113" s="67">
        <f>$S113</f>
        <v>2605648.0564912567</v>
      </c>
      <c r="AN113" s="67">
        <f>$T113</f>
        <v>2670961.6125002499</v>
      </c>
      <c r="AO113" s="67">
        <f>$U113</f>
        <v>2793906.5022012717</v>
      </c>
      <c r="AP113" s="67">
        <f>$V113</f>
        <v>2996409.7466547713</v>
      </c>
      <c r="AQ113" s="181"/>
      <c r="AS113" s="67">
        <f t="shared" si="312"/>
        <v>1801539.3036961788</v>
      </c>
      <c r="AT113" s="67">
        <f t="shared" si="313"/>
        <v>1888725.8732802542</v>
      </c>
      <c r="AU113" s="67">
        <f t="shared" si="314"/>
        <v>1833615.8551791948</v>
      </c>
      <c r="AV113" s="67">
        <f t="shared" si="340"/>
        <v>1929822.8337291945</v>
      </c>
      <c r="AW113" s="67">
        <f t="shared" si="341"/>
        <v>2036418.0507125284</v>
      </c>
      <c r="AX113" s="67">
        <f t="shared" si="315"/>
        <v>2122332.1376666669</v>
      </c>
      <c r="AY113" s="67">
        <f t="shared" si="316"/>
        <v>2165883.353627319</v>
      </c>
      <c r="AZ113" s="67">
        <f t="shared" si="342"/>
        <v>2073417.7802940898</v>
      </c>
      <c r="BA113" s="67">
        <f t="shared" si="343"/>
        <v>2168854.376862993</v>
      </c>
      <c r="BB113" s="67">
        <f t="shared" si="344"/>
        <v>2264038.4171894044</v>
      </c>
      <c r="BC113" s="67">
        <f>$O113</f>
        <v>2231706.7866854034</v>
      </c>
      <c r="BD113" s="67">
        <f t="shared" si="345"/>
        <v>2192205.7278938433</v>
      </c>
      <c r="BE113" s="67">
        <f>$Q113</f>
        <v>2333396.2198661654</v>
      </c>
      <c r="BF113" s="67">
        <f>$R113</f>
        <v>2458233.5001276033</v>
      </c>
      <c r="BG113" s="67">
        <f>$S113</f>
        <v>2605648.0564912567</v>
      </c>
      <c r="BH113" s="67">
        <f>$T113</f>
        <v>2670961.6125002499</v>
      </c>
      <c r="BI113" s="67">
        <f>$U113</f>
        <v>2793906.5022012717</v>
      </c>
      <c r="BJ113" s="67">
        <f>$V113</f>
        <v>2996409.7466547713</v>
      </c>
      <c r="BL113" s="67">
        <f t="shared" si="317"/>
        <v>1801539.3036961788</v>
      </c>
      <c r="BM113" s="67">
        <f t="shared" si="318"/>
        <v>1888725.8732802542</v>
      </c>
      <c r="BN113" s="67">
        <f t="shared" si="319"/>
        <v>1833615.8551791948</v>
      </c>
      <c r="BO113" s="67">
        <f t="shared" si="346"/>
        <v>1929822.8337291945</v>
      </c>
      <c r="BP113" s="67">
        <f t="shared" si="347"/>
        <v>2036418.0507125284</v>
      </c>
      <c r="BQ113" s="67">
        <f t="shared" si="320"/>
        <v>2122332.1376666669</v>
      </c>
      <c r="BR113" s="67">
        <f t="shared" si="321"/>
        <v>2165883.353627319</v>
      </c>
      <c r="BS113" s="67">
        <f t="shared" si="348"/>
        <v>2073417.7802940898</v>
      </c>
      <c r="BT113" s="67">
        <f t="shared" si="349"/>
        <v>2168854.376862993</v>
      </c>
      <c r="BU113" s="67">
        <f t="shared" si="350"/>
        <v>2264038.4171894044</v>
      </c>
      <c r="BV113" s="67">
        <f>$O113</f>
        <v>2231706.7866854034</v>
      </c>
      <c r="BW113" s="67">
        <f t="shared" si="351"/>
        <v>2192205.7278938433</v>
      </c>
      <c r="BX113" s="67">
        <f>$Q113</f>
        <v>2333396.2198661654</v>
      </c>
      <c r="BY113" s="67">
        <f>$R113</f>
        <v>2458233.5001276033</v>
      </c>
      <c r="BZ113" s="67">
        <f>$S113</f>
        <v>2605648.0564912567</v>
      </c>
      <c r="CA113" s="67">
        <f>$T113</f>
        <v>2670961.6125002499</v>
      </c>
      <c r="CB113" s="67">
        <f>$U113</f>
        <v>2793906.5022012717</v>
      </c>
      <c r="CC113" s="67">
        <f>$V113</f>
        <v>2996409.7466547713</v>
      </c>
      <c r="CE113" s="67">
        <f t="shared" si="322"/>
        <v>1801539.3036961788</v>
      </c>
      <c r="CF113" s="67">
        <f t="shared" si="323"/>
        <v>1888725.8732802542</v>
      </c>
      <c r="CG113" s="67">
        <f t="shared" si="324"/>
        <v>1833615.8551791948</v>
      </c>
      <c r="CH113" s="67">
        <f t="shared" si="352"/>
        <v>1929822.8337291945</v>
      </c>
      <c r="CI113" s="67">
        <f t="shared" si="353"/>
        <v>2036418.0507125284</v>
      </c>
      <c r="CJ113" s="67">
        <f t="shared" si="325"/>
        <v>2122332.1376666669</v>
      </c>
      <c r="CK113" s="67">
        <f t="shared" si="326"/>
        <v>2165883.353627319</v>
      </c>
      <c r="CL113" s="67">
        <f t="shared" si="354"/>
        <v>2073417.7802940898</v>
      </c>
      <c r="CM113" s="67">
        <f t="shared" si="355"/>
        <v>2168854.376862993</v>
      </c>
      <c r="CN113" s="67">
        <f t="shared" si="356"/>
        <v>2264038.4171894044</v>
      </c>
      <c r="CO113" s="67">
        <f>$O113</f>
        <v>2231706.7866854034</v>
      </c>
      <c r="CP113" s="67">
        <f t="shared" si="357"/>
        <v>2192205.7278938433</v>
      </c>
      <c r="CQ113" s="67">
        <f>$Q113</f>
        <v>2333396.2198661654</v>
      </c>
      <c r="CR113" s="67">
        <f>$R113</f>
        <v>2458233.5001276033</v>
      </c>
      <c r="CS113" s="67">
        <f>$S113</f>
        <v>2605648.0564912567</v>
      </c>
      <c r="CT113" s="67">
        <f>$T113</f>
        <v>2670961.6125002499</v>
      </c>
      <c r="CU113" s="67">
        <f>$U113</f>
        <v>2793906.5022012717</v>
      </c>
      <c r="CV113" s="67">
        <f>$V113</f>
        <v>2996409.7466547713</v>
      </c>
      <c r="CW113" s="181"/>
      <c r="CY113" s="67">
        <f t="shared" si="327"/>
        <v>1801539.3036961788</v>
      </c>
      <c r="CZ113" s="67">
        <f t="shared" si="328"/>
        <v>1888725.8732802542</v>
      </c>
      <c r="DA113" s="67">
        <f t="shared" si="329"/>
        <v>1833615.8551791948</v>
      </c>
      <c r="DB113" s="67">
        <f t="shared" si="358"/>
        <v>1929822.8337291945</v>
      </c>
      <c r="DC113" s="67">
        <f t="shared" si="359"/>
        <v>2036418.0507125284</v>
      </c>
      <c r="DD113" s="67">
        <f t="shared" si="330"/>
        <v>2122332.1376666669</v>
      </c>
      <c r="DE113" s="67">
        <f t="shared" si="331"/>
        <v>2165883.353627319</v>
      </c>
      <c r="DF113" s="67">
        <f t="shared" si="360"/>
        <v>2073417.7802940898</v>
      </c>
      <c r="DG113" s="67">
        <f t="shared" si="361"/>
        <v>2168854.376862993</v>
      </c>
      <c r="DH113" s="67">
        <f t="shared" si="362"/>
        <v>2264038.4171894044</v>
      </c>
      <c r="DI113" s="67">
        <f>$O113</f>
        <v>2231706.7866854034</v>
      </c>
      <c r="DJ113" s="67">
        <f t="shared" si="363"/>
        <v>2192205.7278938433</v>
      </c>
      <c r="DK113" s="67">
        <f>$Q113</f>
        <v>2333396.2198661654</v>
      </c>
      <c r="DL113" s="67">
        <f>$R113</f>
        <v>2458233.5001276033</v>
      </c>
      <c r="DM113" s="67">
        <f>$S113</f>
        <v>2605648.0564912567</v>
      </c>
      <c r="DN113" s="67">
        <f>$T113</f>
        <v>2670961.6125002499</v>
      </c>
      <c r="DO113" s="67">
        <f>$U113</f>
        <v>2793906.5022012717</v>
      </c>
      <c r="DP113" s="67">
        <f>$V113</f>
        <v>2996409.7466547713</v>
      </c>
    </row>
    <row r="114" spans="2:120" s="64" customFormat="1" x14ac:dyDescent="0.3">
      <c r="C114" s="65" t="s">
        <v>131</v>
      </c>
      <c r="D114" s="77"/>
      <c r="E114" s="69">
        <v>170606.95697048769</v>
      </c>
      <c r="F114" s="69">
        <v>165476.25005307901</v>
      </c>
      <c r="G114" s="69">
        <v>165903.52648747197</v>
      </c>
      <c r="H114" s="69">
        <v>168003.84393747195</v>
      </c>
      <c r="I114" s="69">
        <v>172864.82595413862</v>
      </c>
      <c r="J114" s="69">
        <v>170261.476</v>
      </c>
      <c r="K114" s="69">
        <v>183883.15389099999</v>
      </c>
      <c r="L114" s="69">
        <v>188494.20194533336</v>
      </c>
      <c r="M114" s="69">
        <v>199743.90694549997</v>
      </c>
      <c r="N114" s="69">
        <v>200461.76710093333</v>
      </c>
      <c r="O114" s="69">
        <v>205775.90021849997</v>
      </c>
      <c r="P114" s="69">
        <v>219662.56314359687</v>
      </c>
      <c r="Q114" s="69">
        <v>236582.7268075</v>
      </c>
      <c r="R114" s="69">
        <v>259687.12407856667</v>
      </c>
      <c r="S114" s="69">
        <v>283434.7845528</v>
      </c>
      <c r="T114" s="69">
        <v>307941.76904353336</v>
      </c>
      <c r="U114" s="69">
        <v>339823.97917113337</v>
      </c>
      <c r="V114" s="69">
        <v>353878.40350963332</v>
      </c>
      <c r="W114" s="182">
        <f t="shared" si="215"/>
        <v>0.36271062635577445</v>
      </c>
      <c r="X114" s="36"/>
      <c r="Y114" s="67">
        <f t="shared" si="307"/>
        <v>170606.95697048769</v>
      </c>
      <c r="Z114" s="67">
        <f t="shared" si="308"/>
        <v>165476.25005307901</v>
      </c>
      <c r="AA114" s="67">
        <f t="shared" si="309"/>
        <v>165903.52648747197</v>
      </c>
      <c r="AB114" s="67">
        <f t="shared" si="334"/>
        <v>168003.84393747195</v>
      </c>
      <c r="AC114" s="67">
        <f t="shared" si="335"/>
        <v>172864.82595413862</v>
      </c>
      <c r="AD114" s="67">
        <f t="shared" si="310"/>
        <v>170261.476</v>
      </c>
      <c r="AE114" s="67">
        <f t="shared" si="311"/>
        <v>183883.15389099999</v>
      </c>
      <c r="AF114" s="67">
        <f t="shared" si="336"/>
        <v>188494.20194533336</v>
      </c>
      <c r="AG114" s="67">
        <f t="shared" si="337"/>
        <v>199743.90694549997</v>
      </c>
      <c r="AH114" s="67">
        <f t="shared" si="338"/>
        <v>200461.76710093333</v>
      </c>
      <c r="AI114" s="67">
        <f>$O114</f>
        <v>205775.90021849997</v>
      </c>
      <c r="AJ114" s="67">
        <f t="shared" si="339"/>
        <v>219662.56314359687</v>
      </c>
      <c r="AK114" s="67">
        <f>$Q114</f>
        <v>236582.7268075</v>
      </c>
      <c r="AL114" s="67">
        <f>$R114</f>
        <v>259687.12407856667</v>
      </c>
      <c r="AM114" s="67">
        <f>$S114</f>
        <v>283434.7845528</v>
      </c>
      <c r="AN114" s="67">
        <f>$T114</f>
        <v>307941.76904353336</v>
      </c>
      <c r="AO114" s="67">
        <f>$U114</f>
        <v>339823.97917113337</v>
      </c>
      <c r="AP114" s="67">
        <f>$V114</f>
        <v>353878.40350963332</v>
      </c>
      <c r="AQ114" s="182"/>
      <c r="AS114" s="67">
        <f t="shared" si="312"/>
        <v>170606.95697048769</v>
      </c>
      <c r="AT114" s="67">
        <f t="shared" si="313"/>
        <v>165476.25005307901</v>
      </c>
      <c r="AU114" s="67">
        <f t="shared" si="314"/>
        <v>165903.52648747197</v>
      </c>
      <c r="AV114" s="67">
        <f t="shared" si="340"/>
        <v>168003.84393747195</v>
      </c>
      <c r="AW114" s="67">
        <f t="shared" si="341"/>
        <v>172864.82595413862</v>
      </c>
      <c r="AX114" s="67">
        <f t="shared" si="315"/>
        <v>170261.476</v>
      </c>
      <c r="AY114" s="67">
        <f t="shared" si="316"/>
        <v>183883.15389099999</v>
      </c>
      <c r="AZ114" s="67">
        <f t="shared" si="342"/>
        <v>188494.20194533336</v>
      </c>
      <c r="BA114" s="67">
        <f t="shared" si="343"/>
        <v>199743.90694549997</v>
      </c>
      <c r="BB114" s="67">
        <f t="shared" si="344"/>
        <v>200461.76710093333</v>
      </c>
      <c r="BC114" s="67">
        <f>$O114</f>
        <v>205775.90021849997</v>
      </c>
      <c r="BD114" s="67">
        <f t="shared" si="345"/>
        <v>219662.56314359687</v>
      </c>
      <c r="BE114" s="67">
        <f>$Q114</f>
        <v>236582.7268075</v>
      </c>
      <c r="BF114" s="67">
        <f>$R114</f>
        <v>259687.12407856667</v>
      </c>
      <c r="BG114" s="67">
        <f>$S114</f>
        <v>283434.7845528</v>
      </c>
      <c r="BH114" s="67">
        <f>$T114</f>
        <v>307941.76904353336</v>
      </c>
      <c r="BI114" s="67">
        <f>$U114</f>
        <v>339823.97917113337</v>
      </c>
      <c r="BJ114" s="67">
        <f>$V114</f>
        <v>353878.40350963332</v>
      </c>
      <c r="BL114" s="67">
        <f t="shared" si="317"/>
        <v>170606.95697048769</v>
      </c>
      <c r="BM114" s="67">
        <f t="shared" si="318"/>
        <v>165476.25005307901</v>
      </c>
      <c r="BN114" s="67">
        <f t="shared" si="319"/>
        <v>165903.52648747197</v>
      </c>
      <c r="BO114" s="67">
        <f t="shared" si="346"/>
        <v>168003.84393747195</v>
      </c>
      <c r="BP114" s="67">
        <f t="shared" si="347"/>
        <v>172864.82595413862</v>
      </c>
      <c r="BQ114" s="67">
        <f t="shared" si="320"/>
        <v>170261.476</v>
      </c>
      <c r="BR114" s="67">
        <f t="shared" si="321"/>
        <v>183883.15389099999</v>
      </c>
      <c r="BS114" s="67">
        <f t="shared" si="348"/>
        <v>188494.20194533336</v>
      </c>
      <c r="BT114" s="67">
        <f t="shared" si="349"/>
        <v>199743.90694549997</v>
      </c>
      <c r="BU114" s="67">
        <f t="shared" si="350"/>
        <v>200461.76710093333</v>
      </c>
      <c r="BV114" s="67">
        <f>$O114</f>
        <v>205775.90021849997</v>
      </c>
      <c r="BW114" s="67">
        <f t="shared" si="351"/>
        <v>219662.56314359687</v>
      </c>
      <c r="BX114" s="67">
        <f>$Q114</f>
        <v>236582.7268075</v>
      </c>
      <c r="BY114" s="67">
        <f>$R114</f>
        <v>259687.12407856667</v>
      </c>
      <c r="BZ114" s="67">
        <f>$S114</f>
        <v>283434.7845528</v>
      </c>
      <c r="CA114" s="67">
        <f>$T114</f>
        <v>307941.76904353336</v>
      </c>
      <c r="CB114" s="67">
        <f>$U114</f>
        <v>339823.97917113337</v>
      </c>
      <c r="CC114" s="67">
        <f>$V114</f>
        <v>353878.40350963332</v>
      </c>
      <c r="CE114" s="67">
        <f t="shared" si="322"/>
        <v>170606.95697048769</v>
      </c>
      <c r="CF114" s="67">
        <f t="shared" si="323"/>
        <v>165476.25005307901</v>
      </c>
      <c r="CG114" s="67">
        <f t="shared" si="324"/>
        <v>165903.52648747197</v>
      </c>
      <c r="CH114" s="67">
        <f t="shared" si="352"/>
        <v>168003.84393747195</v>
      </c>
      <c r="CI114" s="67">
        <f t="shared" si="353"/>
        <v>172864.82595413862</v>
      </c>
      <c r="CJ114" s="67">
        <f t="shared" si="325"/>
        <v>170261.476</v>
      </c>
      <c r="CK114" s="67">
        <f t="shared" si="326"/>
        <v>183883.15389099999</v>
      </c>
      <c r="CL114" s="67">
        <f t="shared" si="354"/>
        <v>188494.20194533336</v>
      </c>
      <c r="CM114" s="67">
        <f t="shared" si="355"/>
        <v>199743.90694549997</v>
      </c>
      <c r="CN114" s="67">
        <f t="shared" si="356"/>
        <v>200461.76710093333</v>
      </c>
      <c r="CO114" s="67">
        <f>$O114</f>
        <v>205775.90021849997</v>
      </c>
      <c r="CP114" s="67">
        <f t="shared" si="357"/>
        <v>219662.56314359687</v>
      </c>
      <c r="CQ114" s="67">
        <f>$Q114</f>
        <v>236582.7268075</v>
      </c>
      <c r="CR114" s="67">
        <f>$R114</f>
        <v>259687.12407856667</v>
      </c>
      <c r="CS114" s="67">
        <f>$S114</f>
        <v>283434.7845528</v>
      </c>
      <c r="CT114" s="67">
        <f>$T114</f>
        <v>307941.76904353336</v>
      </c>
      <c r="CU114" s="67">
        <f>$U114</f>
        <v>339823.97917113337</v>
      </c>
      <c r="CV114" s="67">
        <f>$V114</f>
        <v>353878.40350963332</v>
      </c>
      <c r="CW114" s="182"/>
      <c r="CY114" s="67">
        <f t="shared" si="327"/>
        <v>170606.95697048769</v>
      </c>
      <c r="CZ114" s="67">
        <f t="shared" si="328"/>
        <v>165476.25005307901</v>
      </c>
      <c r="DA114" s="67">
        <f t="shared" si="329"/>
        <v>165903.52648747197</v>
      </c>
      <c r="DB114" s="67">
        <f t="shared" si="358"/>
        <v>168003.84393747195</v>
      </c>
      <c r="DC114" s="67">
        <f t="shared" si="359"/>
        <v>172864.82595413862</v>
      </c>
      <c r="DD114" s="67">
        <f t="shared" si="330"/>
        <v>170261.476</v>
      </c>
      <c r="DE114" s="67">
        <f t="shared" si="331"/>
        <v>183883.15389099999</v>
      </c>
      <c r="DF114" s="67">
        <f t="shared" si="360"/>
        <v>188494.20194533336</v>
      </c>
      <c r="DG114" s="67">
        <f t="shared" si="361"/>
        <v>199743.90694549997</v>
      </c>
      <c r="DH114" s="67">
        <f t="shared" si="362"/>
        <v>200461.76710093333</v>
      </c>
      <c r="DI114" s="67">
        <f>$O114</f>
        <v>205775.90021849997</v>
      </c>
      <c r="DJ114" s="67">
        <f t="shared" si="363"/>
        <v>219662.56314359687</v>
      </c>
      <c r="DK114" s="67">
        <f>$Q114</f>
        <v>236582.7268075</v>
      </c>
      <c r="DL114" s="67">
        <f>$R114</f>
        <v>259687.12407856667</v>
      </c>
      <c r="DM114" s="67">
        <f>$S114</f>
        <v>283434.7845528</v>
      </c>
      <c r="DN114" s="67">
        <f>$T114</f>
        <v>307941.76904353336</v>
      </c>
      <c r="DO114" s="67">
        <f>$U114</f>
        <v>339823.97917113337</v>
      </c>
      <c r="DP114" s="67">
        <f>$V114</f>
        <v>353878.40350963332</v>
      </c>
    </row>
    <row r="115" spans="2:120" s="64" customFormat="1" x14ac:dyDescent="0.3">
      <c r="C115" s="65" t="s">
        <v>191</v>
      </c>
      <c r="D115" s="77"/>
      <c r="E115" s="69"/>
      <c r="F115" s="69"/>
      <c r="G115" s="69">
        <f>G110</f>
        <v>-3414</v>
      </c>
      <c r="H115" s="69">
        <f>H110</f>
        <v>1000</v>
      </c>
      <c r="I115" s="69">
        <f>I110</f>
        <v>7181</v>
      </c>
      <c r="J115" s="69">
        <f>J110</f>
        <v>10966</v>
      </c>
      <c r="K115" s="69">
        <v>11332.311586933336</v>
      </c>
      <c r="L115" s="69">
        <v>7331.5254410666676</v>
      </c>
      <c r="M115" s="69">
        <v>8880.4774197333372</v>
      </c>
      <c r="N115" s="69">
        <v>11273.455666933338</v>
      </c>
      <c r="O115" s="69">
        <v>9057.6041464000009</v>
      </c>
      <c r="P115" s="69">
        <v>2463.1004135999997</v>
      </c>
      <c r="Q115" s="69">
        <v>2937.8858048000006</v>
      </c>
      <c r="R115" s="69">
        <v>11507.806720266666</v>
      </c>
      <c r="S115" s="69">
        <v>21738.174424000001</v>
      </c>
      <c r="T115" s="69">
        <v>12632.807901333334</v>
      </c>
      <c r="U115" s="69">
        <v>17175.308786666657</v>
      </c>
      <c r="V115" s="69">
        <v>26278.099271999996</v>
      </c>
      <c r="W115" s="182">
        <f t="shared" si="215"/>
        <v>1.2835019661671083</v>
      </c>
      <c r="X115" s="36"/>
      <c r="Y115" s="67">
        <f t="shared" si="307"/>
        <v>0</v>
      </c>
      <c r="Z115" s="67">
        <f t="shared" si="308"/>
        <v>0</v>
      </c>
      <c r="AA115" s="67">
        <f t="shared" si="309"/>
        <v>-3414</v>
      </c>
      <c r="AB115" s="67">
        <f t="shared" si="334"/>
        <v>1000</v>
      </c>
      <c r="AC115" s="67">
        <f t="shared" si="335"/>
        <v>7181</v>
      </c>
      <c r="AD115" s="67">
        <f t="shared" si="310"/>
        <v>10966</v>
      </c>
      <c r="AE115" s="67">
        <f t="shared" si="311"/>
        <v>11332.311586933336</v>
      </c>
      <c r="AF115" s="67">
        <f t="shared" si="336"/>
        <v>7331.5254410666676</v>
      </c>
      <c r="AG115" s="67">
        <f t="shared" si="337"/>
        <v>8880.4774197333372</v>
      </c>
      <c r="AH115" s="67">
        <f t="shared" si="338"/>
        <v>11273.455666933338</v>
      </c>
      <c r="AI115" s="67">
        <f>$O115</f>
        <v>9057.6041464000009</v>
      </c>
      <c r="AJ115" s="67">
        <f t="shared" si="339"/>
        <v>2463.1004135999997</v>
      </c>
      <c r="AK115" s="67">
        <f>$Q115</f>
        <v>2937.8858048000006</v>
      </c>
      <c r="AL115" s="67">
        <f>$R115</f>
        <v>11507.806720266666</v>
      </c>
      <c r="AM115" s="67">
        <f>$S115</f>
        <v>21738.174424000001</v>
      </c>
      <c r="AN115" s="67">
        <f>$T115</f>
        <v>12632.807901333334</v>
      </c>
      <c r="AO115" s="67">
        <f>$U115</f>
        <v>17175.308786666657</v>
      </c>
      <c r="AP115" s="67">
        <f>$V115</f>
        <v>26278.099271999996</v>
      </c>
      <c r="AQ115" s="182"/>
      <c r="AS115" s="67">
        <f t="shared" si="312"/>
        <v>0</v>
      </c>
      <c r="AT115" s="67">
        <f t="shared" si="313"/>
        <v>0</v>
      </c>
      <c r="AU115" s="67">
        <f t="shared" si="314"/>
        <v>-3414</v>
      </c>
      <c r="AV115" s="67">
        <f t="shared" si="340"/>
        <v>1000</v>
      </c>
      <c r="AW115" s="67">
        <f t="shared" si="341"/>
        <v>7181</v>
      </c>
      <c r="AX115" s="67">
        <f t="shared" si="315"/>
        <v>10966</v>
      </c>
      <c r="AY115" s="67">
        <f t="shared" si="316"/>
        <v>11332.311586933336</v>
      </c>
      <c r="AZ115" s="67">
        <f t="shared" si="342"/>
        <v>7331.5254410666676</v>
      </c>
      <c r="BA115" s="67">
        <f t="shared" si="343"/>
        <v>8880.4774197333372</v>
      </c>
      <c r="BB115" s="67">
        <f t="shared" si="344"/>
        <v>11273.455666933338</v>
      </c>
      <c r="BC115" s="67">
        <f>$O115</f>
        <v>9057.6041464000009</v>
      </c>
      <c r="BD115" s="67">
        <f t="shared" si="345"/>
        <v>2463.1004135999997</v>
      </c>
      <c r="BE115" s="67">
        <f>$Q115</f>
        <v>2937.8858048000006</v>
      </c>
      <c r="BF115" s="67">
        <f>$R115</f>
        <v>11507.806720266666</v>
      </c>
      <c r="BG115" s="67">
        <f>$S115</f>
        <v>21738.174424000001</v>
      </c>
      <c r="BH115" s="67">
        <f>$T115</f>
        <v>12632.807901333334</v>
      </c>
      <c r="BI115" s="67">
        <f>$U115</f>
        <v>17175.308786666657</v>
      </c>
      <c r="BJ115" s="67">
        <f>$V115</f>
        <v>26278.099271999996</v>
      </c>
      <c r="BL115" s="67">
        <f t="shared" si="317"/>
        <v>0</v>
      </c>
      <c r="BM115" s="67">
        <f t="shared" si="318"/>
        <v>0</v>
      </c>
      <c r="BN115" s="67">
        <f t="shared" si="319"/>
        <v>-3414</v>
      </c>
      <c r="BO115" s="67">
        <f t="shared" si="346"/>
        <v>1000</v>
      </c>
      <c r="BP115" s="67">
        <f t="shared" si="347"/>
        <v>7181</v>
      </c>
      <c r="BQ115" s="67">
        <f t="shared" si="320"/>
        <v>10966</v>
      </c>
      <c r="BR115" s="67">
        <f t="shared" si="321"/>
        <v>11332.311586933336</v>
      </c>
      <c r="BS115" s="67">
        <f t="shared" si="348"/>
        <v>7331.5254410666676</v>
      </c>
      <c r="BT115" s="67">
        <f t="shared" si="349"/>
        <v>8880.4774197333372</v>
      </c>
      <c r="BU115" s="67">
        <f t="shared" si="350"/>
        <v>11273.455666933338</v>
      </c>
      <c r="BV115" s="67">
        <f>$O115</f>
        <v>9057.6041464000009</v>
      </c>
      <c r="BW115" s="67">
        <f t="shared" si="351"/>
        <v>2463.1004135999997</v>
      </c>
      <c r="BX115" s="67">
        <f>$Q115</f>
        <v>2937.8858048000006</v>
      </c>
      <c r="BY115" s="67">
        <f>$R115</f>
        <v>11507.806720266666</v>
      </c>
      <c r="BZ115" s="67">
        <f>$S115</f>
        <v>21738.174424000001</v>
      </c>
      <c r="CA115" s="67">
        <f>$T115</f>
        <v>12632.807901333334</v>
      </c>
      <c r="CB115" s="67">
        <f>$U115</f>
        <v>17175.308786666657</v>
      </c>
      <c r="CC115" s="67">
        <f>$V115</f>
        <v>26278.099271999996</v>
      </c>
      <c r="CE115" s="67">
        <f t="shared" si="322"/>
        <v>0</v>
      </c>
      <c r="CF115" s="67">
        <f t="shared" si="323"/>
        <v>0</v>
      </c>
      <c r="CG115" s="67">
        <f t="shared" si="324"/>
        <v>-3414</v>
      </c>
      <c r="CH115" s="67">
        <f t="shared" si="352"/>
        <v>1000</v>
      </c>
      <c r="CI115" s="67">
        <f t="shared" si="353"/>
        <v>7181</v>
      </c>
      <c r="CJ115" s="67">
        <f t="shared" si="325"/>
        <v>10966</v>
      </c>
      <c r="CK115" s="67">
        <f t="shared" si="326"/>
        <v>11332.311586933336</v>
      </c>
      <c r="CL115" s="67">
        <f t="shared" si="354"/>
        <v>7331.5254410666676</v>
      </c>
      <c r="CM115" s="67">
        <f t="shared" si="355"/>
        <v>8880.4774197333372</v>
      </c>
      <c r="CN115" s="67">
        <f t="shared" si="356"/>
        <v>11273.455666933338</v>
      </c>
      <c r="CO115" s="67">
        <f>$O115</f>
        <v>9057.6041464000009</v>
      </c>
      <c r="CP115" s="67">
        <f t="shared" si="357"/>
        <v>2463.1004135999997</v>
      </c>
      <c r="CQ115" s="67">
        <f>$Q115</f>
        <v>2937.8858048000006</v>
      </c>
      <c r="CR115" s="67">
        <f>$R115</f>
        <v>11507.806720266666</v>
      </c>
      <c r="CS115" s="67">
        <f>$S115</f>
        <v>21738.174424000001</v>
      </c>
      <c r="CT115" s="67">
        <f>$T115</f>
        <v>12632.807901333334</v>
      </c>
      <c r="CU115" s="67">
        <f>$U115</f>
        <v>17175.308786666657</v>
      </c>
      <c r="CV115" s="67">
        <f>$V115</f>
        <v>26278.099271999996</v>
      </c>
      <c r="CW115" s="182"/>
      <c r="CY115" s="67">
        <f t="shared" si="327"/>
        <v>0</v>
      </c>
      <c r="CZ115" s="67">
        <f t="shared" si="328"/>
        <v>0</v>
      </c>
      <c r="DA115" s="67">
        <f t="shared" si="329"/>
        <v>-3414</v>
      </c>
      <c r="DB115" s="67">
        <f t="shared" si="358"/>
        <v>1000</v>
      </c>
      <c r="DC115" s="67">
        <f t="shared" si="359"/>
        <v>7181</v>
      </c>
      <c r="DD115" s="67">
        <f t="shared" si="330"/>
        <v>10966</v>
      </c>
      <c r="DE115" s="67">
        <f t="shared" si="331"/>
        <v>11332.311586933336</v>
      </c>
      <c r="DF115" s="67">
        <f t="shared" si="360"/>
        <v>7331.5254410666676</v>
      </c>
      <c r="DG115" s="67">
        <f t="shared" si="361"/>
        <v>8880.4774197333372</v>
      </c>
      <c r="DH115" s="67">
        <f t="shared" si="362"/>
        <v>11273.455666933338</v>
      </c>
      <c r="DI115" s="67">
        <f>$O115</f>
        <v>9057.6041464000009</v>
      </c>
      <c r="DJ115" s="67">
        <f t="shared" si="363"/>
        <v>2463.1004135999997</v>
      </c>
      <c r="DK115" s="67">
        <f>$Q115</f>
        <v>2937.8858048000006</v>
      </c>
      <c r="DL115" s="67">
        <f>$R115</f>
        <v>11507.806720266666</v>
      </c>
      <c r="DM115" s="67">
        <f>$S115</f>
        <v>21738.174424000001</v>
      </c>
      <c r="DN115" s="67">
        <f>$T115</f>
        <v>12632.807901333334</v>
      </c>
      <c r="DO115" s="67">
        <f>$U115</f>
        <v>17175.308786666657</v>
      </c>
      <c r="DP115" s="67">
        <f>$V115</f>
        <v>26278.099271999996</v>
      </c>
    </row>
    <row r="116" spans="2:120" x14ac:dyDescent="0.3">
      <c r="C116" s="39" t="s">
        <v>104</v>
      </c>
      <c r="D116" s="109"/>
      <c r="E116" s="40">
        <f t="shared" ref="E116:R116" si="365">E90</f>
        <v>0</v>
      </c>
      <c r="F116" s="40">
        <f t="shared" si="365"/>
        <v>0.30941273332827257</v>
      </c>
      <c r="G116" s="40">
        <f t="shared" si="365"/>
        <v>0.21154875365386636</v>
      </c>
      <c r="H116" s="40">
        <f t="shared" si="365"/>
        <v>0.20889178888344079</v>
      </c>
      <c r="I116" s="40">
        <f t="shared" si="365"/>
        <v>0.20365846419758482</v>
      </c>
      <c r="J116" s="40">
        <f t="shared" si="365"/>
        <v>0.23280428552026605</v>
      </c>
      <c r="K116" s="40">
        <f t="shared" si="365"/>
        <v>0.26809956119597134</v>
      </c>
      <c r="L116" s="40">
        <f t="shared" si="365"/>
        <v>0.18398053323434857</v>
      </c>
      <c r="M116" s="40">
        <f t="shared" si="365"/>
        <v>0.13217713245487381</v>
      </c>
      <c r="N116" s="40">
        <f t="shared" si="365"/>
        <v>0.28207524761851405</v>
      </c>
      <c r="O116" s="40">
        <f t="shared" si="365"/>
        <v>0.22242562655559323</v>
      </c>
      <c r="P116" s="40">
        <f t="shared" si="365"/>
        <v>0.2827278134153054</v>
      </c>
      <c r="Q116" s="40">
        <f t="shared" si="365"/>
        <v>0.20136846860242055</v>
      </c>
      <c r="R116" s="40">
        <f t="shared" si="365"/>
        <v>0.36540980601623013</v>
      </c>
      <c r="S116" s="40">
        <f t="shared" ref="S116:V117" si="366">S90</f>
        <v>6.2758414873936727E-2</v>
      </c>
      <c r="T116" s="40">
        <f t="shared" si="366"/>
        <v>0.19230199171661078</v>
      </c>
      <c r="U116" s="40">
        <f t="shared" si="366"/>
        <v>0.28445772241569273</v>
      </c>
      <c r="V116" s="40">
        <f t="shared" si="366"/>
        <v>0.29453412048468658</v>
      </c>
      <c r="W116" s="169"/>
      <c r="Y116" s="40">
        <f t="shared" ref="Y116:AL116" si="367">Y90</f>
        <v>0</v>
      </c>
      <c r="Z116" s="40">
        <f t="shared" si="367"/>
        <v>0.33991067243077794</v>
      </c>
      <c r="AA116" s="40">
        <f t="shared" si="367"/>
        <v>0.20193284878167564</v>
      </c>
      <c r="AB116" s="40">
        <f t="shared" si="367"/>
        <v>0.20552511193080436</v>
      </c>
      <c r="AC116" s="40">
        <f t="shared" si="367"/>
        <v>0.20208486589877456</v>
      </c>
      <c r="AD116" s="40">
        <f t="shared" si="367"/>
        <v>0.2720412333223306</v>
      </c>
      <c r="AE116" s="40">
        <f t="shared" si="367"/>
        <v>0.26767383889027047</v>
      </c>
      <c r="AF116" s="40">
        <f t="shared" si="367"/>
        <v>0.18756900611758648</v>
      </c>
      <c r="AG116" s="40">
        <f t="shared" si="367"/>
        <v>0.12171054308813488</v>
      </c>
      <c r="AH116" s="40">
        <f t="shared" si="367"/>
        <v>0.31212575824658928</v>
      </c>
      <c r="AI116" s="40">
        <f t="shared" si="367"/>
        <v>0.21680109782465812</v>
      </c>
      <c r="AJ116" s="40">
        <f t="shared" si="367"/>
        <v>0.29982945880259776</v>
      </c>
      <c r="AK116" s="40">
        <f t="shared" si="367"/>
        <v>0.20142711512166697</v>
      </c>
      <c r="AL116" s="40">
        <f t="shared" si="367"/>
        <v>0.34979175733658707</v>
      </c>
      <c r="AM116" s="40">
        <f t="shared" ref="AM116:AP117" si="368">AM90</f>
        <v>3.109306692439337E-2</v>
      </c>
      <c r="AN116" s="40">
        <f t="shared" si="368"/>
        <v>0.13391698012843903</v>
      </c>
      <c r="AO116" s="40">
        <f t="shared" si="368"/>
        <v>0.29348875219894405</v>
      </c>
      <c r="AP116" s="40">
        <f t="shared" si="368"/>
        <v>0.29606230409674805</v>
      </c>
      <c r="AQ116" s="169"/>
      <c r="AS116" s="40">
        <f t="shared" ref="AS116:BJ116" si="369">AS90</f>
        <v>0</v>
      </c>
      <c r="AT116" s="40">
        <f t="shared" si="369"/>
        <v>-0.15753012292398449</v>
      </c>
      <c r="AU116" s="40">
        <f t="shared" si="369"/>
        <v>0.26653454806058685</v>
      </c>
      <c r="AV116" s="40">
        <f t="shared" si="369"/>
        <v>0.14394544188172143</v>
      </c>
      <c r="AW116" s="40">
        <f t="shared" si="369"/>
        <v>7.9912567539300303E-2</v>
      </c>
      <c r="AX116" s="40">
        <f t="shared" si="369"/>
        <v>-3.3844248464211156E-2</v>
      </c>
      <c r="AY116" s="40">
        <f t="shared" si="369"/>
        <v>0.32664768543115696</v>
      </c>
      <c r="AZ116" s="40">
        <f t="shared" si="369"/>
        <v>0.19212177301539479</v>
      </c>
      <c r="BA116" s="40">
        <f t="shared" si="369"/>
        <v>0.28051354839909698</v>
      </c>
      <c r="BB116" s="40">
        <f t="shared" si="369"/>
        <v>9.1711511477303345E-2</v>
      </c>
      <c r="BC116" s="40">
        <f t="shared" si="369"/>
        <v>0.47498550084299823</v>
      </c>
      <c r="BD116" s="40">
        <f t="shared" si="369"/>
        <v>0.2952825277101177</v>
      </c>
      <c r="BE116" s="40">
        <f t="shared" si="369"/>
        <v>0.29130198102013388</v>
      </c>
      <c r="BF116" s="40">
        <f t="shared" si="369"/>
        <v>0.34958712562112992</v>
      </c>
      <c r="BG116" s="40">
        <f t="shared" si="369"/>
        <v>0.45306237732540916</v>
      </c>
      <c r="BH116" s="40">
        <f t="shared" si="369"/>
        <v>0.73960591626768313</v>
      </c>
      <c r="BI116" s="40">
        <f t="shared" si="369"/>
        <v>0.16411840470091613</v>
      </c>
      <c r="BJ116" s="40">
        <f t="shared" si="369"/>
        <v>0.3131843175661142</v>
      </c>
      <c r="BL116" s="40">
        <f t="shared" ref="BL116:CC116" si="370">BL90</f>
        <v>0</v>
      </c>
      <c r="BM116" s="40">
        <f t="shared" si="370"/>
        <v>0</v>
      </c>
      <c r="BN116" s="40">
        <f t="shared" si="370"/>
        <v>0</v>
      </c>
      <c r="BO116" s="40">
        <f t="shared" si="370"/>
        <v>0</v>
      </c>
      <c r="BP116" s="40">
        <f t="shared" si="370"/>
        <v>6.0477571590759034</v>
      </c>
      <c r="BQ116" s="40">
        <f t="shared" si="370"/>
        <v>1.6696506261971662</v>
      </c>
      <c r="BR116" s="40">
        <f t="shared" si="370"/>
        <v>1.4435899967321122</v>
      </c>
      <c r="BS116" s="40">
        <f t="shared" si="370"/>
        <v>0.98934227898549998</v>
      </c>
      <c r="BT116" s="40">
        <f t="shared" si="370"/>
        <v>1.3647128683346961</v>
      </c>
      <c r="BU116" s="40">
        <f t="shared" si="370"/>
        <v>0.99640690256531894</v>
      </c>
      <c r="BV116" s="40">
        <f t="shared" si="370"/>
        <v>0.18545140669982363</v>
      </c>
      <c r="BW116" s="40">
        <f t="shared" si="370"/>
        <v>-8.641733637101348</v>
      </c>
      <c r="BX116" s="40">
        <f t="shared" si="370"/>
        <v>6.7852810759111142</v>
      </c>
      <c r="BY116" s="40">
        <f t="shared" si="370"/>
        <v>5.2830334562635146</v>
      </c>
      <c r="BZ116" s="40">
        <f t="shared" si="370"/>
        <v>1.3124405973383433</v>
      </c>
      <c r="CA116" s="40">
        <f t="shared" si="370"/>
        <v>1.9226633858996873</v>
      </c>
      <c r="CB116" s="40">
        <f t="shared" si="370"/>
        <v>2.1202324288301839</v>
      </c>
      <c r="CC116" s="40">
        <f t="shared" si="370"/>
        <v>0.96135146220324275</v>
      </c>
      <c r="CE116" s="40">
        <f t="shared" ref="CE116:CV116" si="371">CE90</f>
        <v>0</v>
      </c>
      <c r="CF116" s="40">
        <f t="shared" si="371"/>
        <v>0</v>
      </c>
      <c r="CG116" s="40">
        <f t="shared" si="371"/>
        <v>0</v>
      </c>
      <c r="CH116" s="40">
        <f t="shared" si="371"/>
        <v>0.2506066933648976</v>
      </c>
      <c r="CI116" s="40">
        <f t="shared" si="371"/>
        <v>0.21888532574455027</v>
      </c>
      <c r="CJ116" s="40">
        <f t="shared" si="371"/>
        <v>5.1202607939020352E-2</v>
      </c>
      <c r="CK116" s="40">
        <f t="shared" si="371"/>
        <v>0.3849356658519974</v>
      </c>
      <c r="CL116" s="40">
        <f t="shared" si="371"/>
        <v>0.22495282909090913</v>
      </c>
      <c r="CM116" s="40">
        <f t="shared" si="371"/>
        <v>0.32632501253172291</v>
      </c>
      <c r="CN116" s="40">
        <f t="shared" si="371"/>
        <v>0.1397541665947572</v>
      </c>
      <c r="CO116" s="40">
        <f t="shared" si="371"/>
        <v>0.46498238118824375</v>
      </c>
      <c r="CP116" s="40">
        <f t="shared" si="371"/>
        <v>0.24444286683002961</v>
      </c>
      <c r="CQ116" s="40">
        <f t="shared" si="371"/>
        <v>0.34832714756298311</v>
      </c>
      <c r="CR116" s="40">
        <f t="shared" si="371"/>
        <v>0.59347806994804964</v>
      </c>
      <c r="CS116" s="40">
        <f t="shared" si="371"/>
        <v>0.49919523518935177</v>
      </c>
      <c r="CT116" s="40">
        <f t="shared" si="371"/>
        <v>0.77895184135152207</v>
      </c>
      <c r="CU116" s="40">
        <f t="shared" si="371"/>
        <v>0.25849593093655959</v>
      </c>
      <c r="CV116" s="40">
        <f t="shared" si="371"/>
        <v>0.35507630587717626</v>
      </c>
      <c r="CW116" s="169"/>
      <c r="CY116" s="40">
        <f t="shared" ref="CY116:DP116" si="372">CY90</f>
        <v>0</v>
      </c>
      <c r="CZ116" s="40">
        <f t="shared" si="372"/>
        <v>0</v>
      </c>
      <c r="DA116" s="40">
        <f t="shared" si="372"/>
        <v>0</v>
      </c>
      <c r="DB116" s="40">
        <f t="shared" si="372"/>
        <v>0</v>
      </c>
      <c r="DC116" s="40">
        <f t="shared" si="372"/>
        <v>0</v>
      </c>
      <c r="DD116" s="40">
        <f t="shared" si="372"/>
        <v>0</v>
      </c>
      <c r="DE116" s="40">
        <f t="shared" si="372"/>
        <v>0</v>
      </c>
      <c r="DF116" s="40">
        <f t="shared" si="372"/>
        <v>0</v>
      </c>
      <c r="DG116" s="40">
        <f t="shared" si="372"/>
        <v>0</v>
      </c>
      <c r="DH116" s="40">
        <f t="shared" si="372"/>
        <v>0</v>
      </c>
      <c r="DI116" s="40">
        <f t="shared" si="372"/>
        <v>0</v>
      </c>
      <c r="DJ116" s="40">
        <f t="shared" si="372"/>
        <v>0</v>
      </c>
      <c r="DK116" s="40">
        <f t="shared" si="372"/>
        <v>0</v>
      </c>
      <c r="DL116" s="40">
        <f t="shared" si="372"/>
        <v>0</v>
      </c>
      <c r="DM116" s="40">
        <f t="shared" si="372"/>
        <v>0</v>
      </c>
      <c r="DN116" s="40">
        <f t="shared" si="372"/>
        <v>0</v>
      </c>
      <c r="DO116" s="40">
        <f t="shared" si="372"/>
        <v>0</v>
      </c>
      <c r="DP116" s="40">
        <f t="shared" si="372"/>
        <v>0</v>
      </c>
    </row>
    <row r="117" spans="2:120" x14ac:dyDescent="0.3">
      <c r="C117" s="39" t="s">
        <v>132</v>
      </c>
      <c r="D117" s="109"/>
      <c r="E117" s="40">
        <f t="shared" ref="E117:R117" si="373">E91</f>
        <v>0</v>
      </c>
      <c r="F117" s="40">
        <f t="shared" si="373"/>
        <v>0.30924047670577409</v>
      </c>
      <c r="G117" s="40">
        <f t="shared" si="373"/>
        <v>0.21900735110079944</v>
      </c>
      <c r="H117" s="40">
        <f t="shared" si="373"/>
        <v>0.2078649917324156</v>
      </c>
      <c r="I117" s="40">
        <f t="shared" si="373"/>
        <v>0.20208536857661705</v>
      </c>
      <c r="J117" s="40">
        <f t="shared" si="373"/>
        <v>0.23351983600673396</v>
      </c>
      <c r="K117" s="40">
        <f t="shared" si="373"/>
        <v>0.26012545226162381</v>
      </c>
      <c r="L117" s="40">
        <f t="shared" si="373"/>
        <v>0.18398825664079874</v>
      </c>
      <c r="M117" s="40">
        <f t="shared" si="373"/>
        <v>0.13165784177347481</v>
      </c>
      <c r="N117" s="40">
        <f t="shared" si="373"/>
        <v>0.28199010614742015</v>
      </c>
      <c r="O117" s="40">
        <f t="shared" si="373"/>
        <v>0.22221043935787707</v>
      </c>
      <c r="P117" s="40">
        <f t="shared" si="373"/>
        <v>0.28476398017482912</v>
      </c>
      <c r="Q117" s="40">
        <f t="shared" si="373"/>
        <v>0.20249903522929241</v>
      </c>
      <c r="R117" s="40">
        <f t="shared" si="373"/>
        <v>0.37248008632439628</v>
      </c>
      <c r="S117" s="40">
        <f t="shared" si="366"/>
        <v>6.2326063287745689E-2</v>
      </c>
      <c r="T117" s="40">
        <f t="shared" si="366"/>
        <v>0.18989103349274788</v>
      </c>
      <c r="U117" s="40">
        <f t="shared" si="366"/>
        <v>0.2830624998299352</v>
      </c>
      <c r="V117" s="40">
        <f t="shared" si="366"/>
        <v>0.292984942439596</v>
      </c>
      <c r="W117" s="169"/>
      <c r="Y117" s="40">
        <f t="shared" ref="Y117:AL117" si="374">Y91</f>
        <v>0</v>
      </c>
      <c r="Z117" s="40">
        <f t="shared" si="374"/>
        <v>0.33982318320130273</v>
      </c>
      <c r="AA117" s="40">
        <f t="shared" si="374"/>
        <v>0.20975346461610972</v>
      </c>
      <c r="AB117" s="40">
        <f t="shared" si="374"/>
        <v>0.20461029917814966</v>
      </c>
      <c r="AC117" s="40">
        <f t="shared" si="374"/>
        <v>0.20082149432578558</v>
      </c>
      <c r="AD117" s="40">
        <f t="shared" si="374"/>
        <v>0.27288271761851446</v>
      </c>
      <c r="AE117" s="40">
        <f t="shared" si="374"/>
        <v>0.25964437526282452</v>
      </c>
      <c r="AF117" s="40">
        <f t="shared" si="374"/>
        <v>0.18739077039752122</v>
      </c>
      <c r="AG117" s="40">
        <f t="shared" si="374"/>
        <v>0.12134655341793485</v>
      </c>
      <c r="AH117" s="40">
        <f t="shared" si="374"/>
        <v>0.31234217292077193</v>
      </c>
      <c r="AI117" s="40">
        <f t="shared" si="374"/>
        <v>0.21679138494120165</v>
      </c>
      <c r="AJ117" s="40">
        <f t="shared" si="374"/>
        <v>0.30237331810683693</v>
      </c>
      <c r="AK117" s="40">
        <f t="shared" si="374"/>
        <v>0.20294636599992627</v>
      </c>
      <c r="AL117" s="40">
        <f t="shared" si="374"/>
        <v>0.35775543990211051</v>
      </c>
      <c r="AM117" s="40">
        <f t="shared" si="368"/>
        <v>3.106762859266491E-2</v>
      </c>
      <c r="AN117" s="40">
        <f t="shared" si="368"/>
        <v>0.13228354327131722</v>
      </c>
      <c r="AO117" s="40">
        <f t="shared" si="368"/>
        <v>0.29200769855463449</v>
      </c>
      <c r="AP117" s="40">
        <f t="shared" si="368"/>
        <v>0.29455411617216726</v>
      </c>
      <c r="AQ117" s="169"/>
      <c r="AS117" s="40">
        <f t="shared" ref="AS117:BJ117" si="375">AS91</f>
        <v>0</v>
      </c>
      <c r="AT117" s="40">
        <f t="shared" si="375"/>
        <v>-0.15690421419880232</v>
      </c>
      <c r="AU117" s="40">
        <f t="shared" si="375"/>
        <v>0.26276904102633442</v>
      </c>
      <c r="AV117" s="40">
        <f t="shared" si="375"/>
        <v>0.14435683887700987</v>
      </c>
      <c r="AW117" s="40">
        <f t="shared" si="375"/>
        <v>7.9312141650407009E-2</v>
      </c>
      <c r="AX117" s="40">
        <f t="shared" si="375"/>
        <v>-3.4322887284541491E-2</v>
      </c>
      <c r="AY117" s="40">
        <f t="shared" si="375"/>
        <v>0.31983215708445867</v>
      </c>
      <c r="AZ117" s="40">
        <f t="shared" si="375"/>
        <v>0.19339327702868725</v>
      </c>
      <c r="BA117" s="40">
        <f t="shared" si="375"/>
        <v>0.27676616942974941</v>
      </c>
      <c r="BB117" s="40">
        <f t="shared" si="375"/>
        <v>9.0721253269507404E-2</v>
      </c>
      <c r="BC117" s="40">
        <f t="shared" si="375"/>
        <v>0.47370833177922467</v>
      </c>
      <c r="BD117" s="40">
        <f t="shared" si="375"/>
        <v>0.29527530685468067</v>
      </c>
      <c r="BE117" s="40">
        <f t="shared" si="375"/>
        <v>0.28848015376722652</v>
      </c>
      <c r="BF117" s="40">
        <f t="shared" si="375"/>
        <v>0.34299345792586544</v>
      </c>
      <c r="BG117" s="40">
        <f t="shared" si="375"/>
        <v>0.434514898909798</v>
      </c>
      <c r="BH117" s="40">
        <f t="shared" si="375"/>
        <v>0.73289982430460598</v>
      </c>
      <c r="BI117" s="40">
        <f t="shared" si="375"/>
        <v>0.16347162618505723</v>
      </c>
      <c r="BJ117" s="40">
        <f t="shared" si="375"/>
        <v>0.31262994633261343</v>
      </c>
      <c r="BL117" s="40">
        <f t="shared" ref="BL117:CC117" si="376">BL91</f>
        <v>0</v>
      </c>
      <c r="BM117" s="40">
        <f t="shared" si="376"/>
        <v>0</v>
      </c>
      <c r="BN117" s="40">
        <f t="shared" si="376"/>
        <v>0</v>
      </c>
      <c r="BO117" s="40">
        <f t="shared" si="376"/>
        <v>17.668232016000008</v>
      </c>
      <c r="BP117" s="40">
        <f t="shared" si="376"/>
        <v>3.4449729368054567</v>
      </c>
      <c r="BQ117" s="40">
        <f t="shared" si="376"/>
        <v>1.3815041908444272</v>
      </c>
      <c r="BR117" s="40">
        <f t="shared" si="376"/>
        <v>1.2628002880277838</v>
      </c>
      <c r="BS117" s="40">
        <f t="shared" si="376"/>
        <v>1.0997277247157689</v>
      </c>
      <c r="BT117" s="40">
        <f t="shared" si="376"/>
        <v>1.3361408608092931</v>
      </c>
      <c r="BU117" s="40">
        <f t="shared" si="376"/>
        <v>0.98292098105303505</v>
      </c>
      <c r="BV117" s="40">
        <f t="shared" si="376"/>
        <v>0.15036525725639338</v>
      </c>
      <c r="BW117" s="40">
        <f t="shared" si="376"/>
        <v>-4.4091197578612764</v>
      </c>
      <c r="BX117" s="40">
        <f t="shared" si="376"/>
        <v>4.7937417001675477</v>
      </c>
      <c r="BY117" s="40">
        <f t="shared" si="376"/>
        <v>6.0832495231878374</v>
      </c>
      <c r="BZ117" s="40">
        <f t="shared" si="376"/>
        <v>0.93099033346867432</v>
      </c>
      <c r="CA117" s="40">
        <f t="shared" si="376"/>
        <v>1.5977155461906205</v>
      </c>
      <c r="CB117" s="40">
        <f t="shared" si="376"/>
        <v>2.1182070682911265</v>
      </c>
      <c r="CC117" s="40">
        <f t="shared" si="376"/>
        <v>0.89296424970138821</v>
      </c>
      <c r="CE117" s="40">
        <f t="shared" ref="CE117:CV117" si="377">CE91</f>
        <v>0</v>
      </c>
      <c r="CF117" s="40">
        <f t="shared" si="377"/>
        <v>0</v>
      </c>
      <c r="CG117" s="40">
        <f t="shared" si="377"/>
        <v>0</v>
      </c>
      <c r="CH117" s="40">
        <f t="shared" si="377"/>
        <v>0.24804604954139275</v>
      </c>
      <c r="CI117" s="40">
        <f t="shared" si="377"/>
        <v>0.21354913404902401</v>
      </c>
      <c r="CJ117" s="40">
        <f t="shared" si="377"/>
        <v>5.1348226618530717E-2</v>
      </c>
      <c r="CK117" s="40">
        <f t="shared" si="377"/>
        <v>0.37457171703805198</v>
      </c>
      <c r="CL117" s="40">
        <f t="shared" si="377"/>
        <v>0.22732556034007018</v>
      </c>
      <c r="CM117" s="40">
        <f t="shared" si="377"/>
        <v>0.32186038530704186</v>
      </c>
      <c r="CN117" s="40">
        <f t="shared" si="377"/>
        <v>0.13822480013211291</v>
      </c>
      <c r="CO117" s="40">
        <f t="shared" si="377"/>
        <v>0.46007585121635469</v>
      </c>
      <c r="CP117" s="40">
        <f t="shared" si="377"/>
        <v>0.24310935158379873</v>
      </c>
      <c r="CQ117" s="40">
        <f t="shared" si="377"/>
        <v>0.3437402994378837</v>
      </c>
      <c r="CR117" s="40">
        <f t="shared" si="377"/>
        <v>0.58657381220938065</v>
      </c>
      <c r="CS117" s="40">
        <f t="shared" si="377"/>
        <v>0.46987999033158612</v>
      </c>
      <c r="CT117" s="40">
        <f t="shared" si="377"/>
        <v>0.76697941660651792</v>
      </c>
      <c r="CU117" s="40">
        <f t="shared" si="377"/>
        <v>0.25751434824892211</v>
      </c>
      <c r="CV117" s="40">
        <f t="shared" si="377"/>
        <v>0.35274522076113352</v>
      </c>
      <c r="CW117" s="169"/>
      <c r="CY117" s="40">
        <f t="shared" ref="CY117:DP117" si="378">CY91</f>
        <v>0</v>
      </c>
      <c r="CZ117" s="40">
        <f t="shared" si="378"/>
        <v>0</v>
      </c>
      <c r="DA117" s="40">
        <f t="shared" si="378"/>
        <v>0</v>
      </c>
      <c r="DB117" s="40">
        <f t="shared" si="378"/>
        <v>0</v>
      </c>
      <c r="DC117" s="40">
        <f t="shared" si="378"/>
        <v>0</v>
      </c>
      <c r="DD117" s="40">
        <f t="shared" si="378"/>
        <v>0</v>
      </c>
      <c r="DE117" s="40">
        <f t="shared" si="378"/>
        <v>0</v>
      </c>
      <c r="DF117" s="40">
        <f t="shared" si="378"/>
        <v>0</v>
      </c>
      <c r="DG117" s="40">
        <f t="shared" si="378"/>
        <v>0</v>
      </c>
      <c r="DH117" s="40">
        <f t="shared" si="378"/>
        <v>0</v>
      </c>
      <c r="DI117" s="40">
        <f t="shared" si="378"/>
        <v>0</v>
      </c>
      <c r="DJ117" s="40">
        <f t="shared" si="378"/>
        <v>0</v>
      </c>
      <c r="DK117" s="40">
        <f t="shared" si="378"/>
        <v>0</v>
      </c>
      <c r="DL117" s="40">
        <f t="shared" si="378"/>
        <v>0</v>
      </c>
      <c r="DM117" s="40">
        <f t="shared" si="378"/>
        <v>0</v>
      </c>
      <c r="DN117" s="40">
        <f t="shared" si="378"/>
        <v>0</v>
      </c>
      <c r="DO117" s="40">
        <f t="shared" si="378"/>
        <v>0</v>
      </c>
      <c r="DP117" s="40">
        <f t="shared" si="378"/>
        <v>0</v>
      </c>
    </row>
    <row r="118" spans="2:120" s="64" customFormat="1" x14ac:dyDescent="0.3">
      <c r="C118" s="65"/>
      <c r="D118" s="77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184"/>
      <c r="X118" s="36"/>
      <c r="Y118" s="67"/>
      <c r="Z118" s="67"/>
      <c r="AA118" s="67"/>
      <c r="AB118" s="67"/>
      <c r="AC118" s="67"/>
      <c r="AD118" s="67"/>
      <c r="AE118" s="67"/>
      <c r="AF118" s="66"/>
      <c r="AG118" s="66"/>
      <c r="AH118" s="66"/>
      <c r="AI118" s="66"/>
      <c r="AJ118" s="66"/>
      <c r="AK118" s="66"/>
      <c r="AL118" s="66"/>
      <c r="AM118" s="66"/>
      <c r="AN118" s="66"/>
      <c r="AO118" s="66"/>
      <c r="AP118" s="66"/>
      <c r="AQ118" s="184"/>
      <c r="AS118" s="67"/>
      <c r="AT118" s="67"/>
      <c r="AU118" s="67"/>
      <c r="AV118" s="67"/>
      <c r="AW118" s="67"/>
      <c r="AX118" s="67"/>
      <c r="AY118" s="67"/>
      <c r="AZ118" s="66"/>
      <c r="BA118" s="66"/>
      <c r="BB118" s="66"/>
      <c r="BC118" s="66"/>
      <c r="BD118" s="66"/>
      <c r="BE118" s="66"/>
      <c r="BF118" s="66"/>
      <c r="BG118" s="66"/>
      <c r="BH118" s="66"/>
      <c r="BI118" s="66"/>
      <c r="BJ118" s="66"/>
      <c r="BL118" s="67"/>
      <c r="BM118" s="67"/>
      <c r="BN118" s="67"/>
      <c r="BO118" s="67"/>
      <c r="BP118" s="67"/>
      <c r="BQ118" s="67"/>
      <c r="BR118" s="67"/>
      <c r="BS118" s="66"/>
      <c r="BT118" s="66"/>
      <c r="BU118" s="66"/>
      <c r="BV118" s="66"/>
      <c r="BW118" s="66"/>
      <c r="BX118" s="66"/>
      <c r="BY118" s="66"/>
      <c r="BZ118" s="66"/>
      <c r="CA118" s="66"/>
      <c r="CB118" s="66"/>
      <c r="CC118" s="66"/>
      <c r="CE118" s="67"/>
      <c r="CF118" s="67"/>
      <c r="CG118" s="67"/>
      <c r="CH118" s="67"/>
      <c r="CI118" s="67"/>
      <c r="CJ118" s="67"/>
      <c r="CK118" s="67"/>
      <c r="CL118" s="66"/>
      <c r="CM118" s="66"/>
      <c r="CN118" s="66"/>
      <c r="CO118" s="66"/>
      <c r="CP118" s="66"/>
      <c r="CQ118" s="66"/>
      <c r="CR118" s="66"/>
      <c r="CS118" s="66"/>
      <c r="CT118" s="66"/>
      <c r="CU118" s="66"/>
      <c r="CV118" s="66"/>
      <c r="CW118" s="184"/>
      <c r="CY118" s="67"/>
      <c r="CZ118" s="67"/>
      <c r="DA118" s="67"/>
      <c r="DB118" s="67"/>
      <c r="DC118" s="67"/>
      <c r="DD118" s="67"/>
      <c r="DE118" s="67"/>
      <c r="DF118" s="66"/>
      <c r="DG118" s="66"/>
      <c r="DH118" s="66"/>
      <c r="DI118" s="66"/>
      <c r="DJ118" s="66"/>
      <c r="DK118" s="66"/>
      <c r="DL118" s="66"/>
      <c r="DM118" s="66"/>
      <c r="DN118" s="66"/>
      <c r="DO118" s="66"/>
      <c r="DP118" s="66"/>
    </row>
    <row r="119" spans="2:120" s="82" customFormat="1" x14ac:dyDescent="0.3">
      <c r="B119" s="81"/>
      <c r="C119" s="30" t="s">
        <v>116</v>
      </c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185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185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30"/>
      <c r="BX119" s="30"/>
      <c r="BY119" s="30"/>
      <c r="BZ119" s="30"/>
      <c r="CA119" s="30"/>
      <c r="CB119" s="30"/>
      <c r="CC119" s="30"/>
      <c r="CE119" s="30"/>
      <c r="CF119" s="30"/>
      <c r="CG119" s="30"/>
      <c r="CH119" s="30"/>
      <c r="CI119" s="30"/>
      <c r="CJ119" s="30"/>
      <c r="CK119" s="30"/>
      <c r="CL119" s="30"/>
      <c r="CM119" s="30"/>
      <c r="CN119" s="30"/>
      <c r="CO119" s="30"/>
      <c r="CP119" s="30"/>
      <c r="CQ119" s="30"/>
      <c r="CR119" s="30"/>
      <c r="CS119" s="30"/>
      <c r="CT119" s="30"/>
      <c r="CU119" s="30"/>
      <c r="CV119" s="30"/>
      <c r="CW119" s="185"/>
      <c r="CY119" s="30"/>
      <c r="CZ119" s="30"/>
      <c r="DA119" s="30"/>
      <c r="DB119" s="30"/>
      <c r="DC119" s="30"/>
      <c r="DD119" s="30"/>
      <c r="DE119" s="30"/>
      <c r="DF119" s="30"/>
      <c r="DG119" s="30"/>
      <c r="DH119" s="30"/>
      <c r="DI119" s="30"/>
      <c r="DJ119" s="30"/>
      <c r="DK119" s="30"/>
      <c r="DL119" s="30"/>
      <c r="DM119" s="30"/>
      <c r="DN119" s="30"/>
      <c r="DO119" s="30"/>
      <c r="DP119" s="30"/>
    </row>
    <row r="120" spans="2:120" s="85" customFormat="1" x14ac:dyDescent="0.3">
      <c r="B120" s="84"/>
      <c r="C120" s="63" t="s">
        <v>105</v>
      </c>
      <c r="D120" s="63"/>
      <c r="E120" s="63" t="str">
        <f t="shared" ref="E120:V120" si="379">E3</f>
        <v>Q3-2020</v>
      </c>
      <c r="F120" s="63" t="str">
        <f t="shared" si="379"/>
        <v>Q4-2020</v>
      </c>
      <c r="G120" s="63" t="str">
        <f t="shared" si="379"/>
        <v>Q1-2021</v>
      </c>
      <c r="H120" s="63" t="str">
        <f t="shared" si="379"/>
        <v>Q2-2021</v>
      </c>
      <c r="I120" s="63" t="str">
        <f t="shared" si="379"/>
        <v>Q3-2021</v>
      </c>
      <c r="J120" s="63" t="str">
        <f t="shared" si="379"/>
        <v>Q4-2021</v>
      </c>
      <c r="K120" s="63" t="str">
        <f t="shared" si="379"/>
        <v>Q1-2022</v>
      </c>
      <c r="L120" s="63" t="str">
        <f t="shared" si="379"/>
        <v>Q2-2022</v>
      </c>
      <c r="M120" s="63" t="str">
        <f t="shared" si="379"/>
        <v>Q3-2022</v>
      </c>
      <c r="N120" s="63" t="str">
        <f t="shared" si="379"/>
        <v>Q4-2022</v>
      </c>
      <c r="O120" s="63" t="str">
        <f t="shared" si="379"/>
        <v>Q1-2023</v>
      </c>
      <c r="P120" s="63" t="str">
        <f t="shared" si="379"/>
        <v>Q2-2023</v>
      </c>
      <c r="Q120" s="63" t="str">
        <f t="shared" si="379"/>
        <v>Q3-2023</v>
      </c>
      <c r="R120" s="63" t="str">
        <f t="shared" si="379"/>
        <v>Q4-2023</v>
      </c>
      <c r="S120" s="63" t="str">
        <f t="shared" si="379"/>
        <v>Q1-2024</v>
      </c>
      <c r="T120" s="63" t="str">
        <f t="shared" si="379"/>
        <v>Q2-2024</v>
      </c>
      <c r="U120" s="63" t="str">
        <f t="shared" si="379"/>
        <v>Q3-2024</v>
      </c>
      <c r="V120" s="63" t="str">
        <f t="shared" si="379"/>
        <v>Q4-2024</v>
      </c>
      <c r="W120" s="186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  <c r="AI120" s="63"/>
      <c r="AJ120" s="63"/>
      <c r="AK120" s="63"/>
      <c r="AL120" s="63"/>
      <c r="AM120" s="63"/>
      <c r="AN120" s="63"/>
      <c r="AO120" s="63"/>
      <c r="AP120" s="63"/>
      <c r="AQ120" s="186"/>
      <c r="AS120" s="63"/>
      <c r="AT120" s="63"/>
      <c r="AU120" s="63"/>
      <c r="AV120" s="63"/>
      <c r="AW120" s="63"/>
      <c r="AX120" s="63"/>
      <c r="AY120" s="63"/>
      <c r="AZ120" s="63"/>
      <c r="BA120" s="63"/>
      <c r="BB120" s="63"/>
      <c r="BC120" s="63"/>
      <c r="BD120" s="63"/>
      <c r="BE120" s="63"/>
      <c r="BF120" s="63"/>
      <c r="BG120" s="63"/>
      <c r="BH120" s="63"/>
      <c r="BI120" s="63"/>
      <c r="BJ120" s="63"/>
      <c r="BL120" s="63"/>
      <c r="BM120" s="63"/>
      <c r="BN120" s="63"/>
      <c r="BO120" s="63"/>
      <c r="BP120" s="63"/>
      <c r="BQ120" s="63"/>
      <c r="BR120" s="63"/>
      <c r="BS120" s="63"/>
      <c r="BT120" s="63"/>
      <c r="BU120" s="63"/>
      <c r="BV120" s="63"/>
      <c r="BW120" s="63"/>
      <c r="BX120" s="63"/>
      <c r="BY120" s="63"/>
      <c r="BZ120" s="63"/>
      <c r="CA120" s="63"/>
      <c r="CB120" s="63"/>
      <c r="CC120" s="63"/>
      <c r="CE120" s="63"/>
      <c r="CF120" s="63"/>
      <c r="CG120" s="63"/>
      <c r="CH120" s="63"/>
      <c r="CI120" s="63"/>
      <c r="CJ120" s="63"/>
      <c r="CK120" s="63"/>
      <c r="CL120" s="63"/>
      <c r="CM120" s="63"/>
      <c r="CN120" s="63"/>
      <c r="CO120" s="63"/>
      <c r="CP120" s="63"/>
      <c r="CQ120" s="63"/>
      <c r="CR120" s="63"/>
      <c r="CS120" s="63"/>
      <c r="CT120" s="63"/>
      <c r="CU120" s="63"/>
      <c r="CV120" s="63"/>
      <c r="CW120" s="186"/>
      <c r="CY120" s="63"/>
      <c r="CZ120" s="63"/>
      <c r="DA120" s="63"/>
      <c r="DB120" s="63"/>
      <c r="DC120" s="63"/>
      <c r="DD120" s="63"/>
      <c r="DE120" s="63"/>
      <c r="DF120" s="63"/>
      <c r="DG120" s="63"/>
      <c r="DH120" s="63"/>
      <c r="DI120" s="63"/>
      <c r="DJ120" s="63"/>
      <c r="DK120" s="63"/>
      <c r="DL120" s="63"/>
      <c r="DM120" s="63"/>
      <c r="DN120" s="63"/>
      <c r="DO120" s="63"/>
      <c r="DP120" s="63"/>
    </row>
    <row r="121" spans="2:120" x14ac:dyDescent="0.3">
      <c r="C121" s="71"/>
      <c r="D121" s="120"/>
      <c r="K121" s="201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AF121" s="132"/>
      <c r="AG121" s="132"/>
      <c r="AH121" s="132"/>
      <c r="AI121" s="132"/>
      <c r="AJ121" s="132"/>
      <c r="AK121" s="132"/>
      <c r="AL121" s="132"/>
      <c r="AM121" s="132"/>
      <c r="AN121" s="132"/>
      <c r="AO121" s="132"/>
      <c r="AP121" s="132"/>
      <c r="AZ121" s="132"/>
      <c r="BA121" s="132"/>
      <c r="BB121" s="132"/>
      <c r="BC121" s="132"/>
      <c r="BD121" s="132"/>
      <c r="BE121" s="132"/>
      <c r="BF121" s="132"/>
      <c r="BG121" s="132"/>
      <c r="BH121" s="132"/>
      <c r="BI121" s="132"/>
      <c r="BJ121" s="132"/>
      <c r="BS121" s="132"/>
      <c r="BT121" s="132"/>
      <c r="BU121" s="132"/>
      <c r="BV121" s="132"/>
      <c r="BW121" s="132"/>
      <c r="BX121" s="132"/>
      <c r="BY121" s="132"/>
      <c r="BZ121" s="132"/>
      <c r="CA121" s="132"/>
      <c r="CB121" s="132"/>
      <c r="CC121" s="132"/>
      <c r="CL121" s="132"/>
      <c r="CM121" s="132"/>
      <c r="CN121" s="132"/>
      <c r="CO121" s="132"/>
      <c r="CP121" s="132"/>
      <c r="CQ121" s="132"/>
      <c r="CR121" s="132"/>
      <c r="CS121" s="132"/>
      <c r="CT121" s="132"/>
      <c r="CU121" s="132"/>
      <c r="CV121" s="132"/>
      <c r="DF121" s="132"/>
      <c r="DG121" s="132"/>
      <c r="DH121" s="132"/>
      <c r="DI121" s="132"/>
      <c r="DJ121" s="132"/>
      <c r="DK121" s="132"/>
      <c r="DL121" s="132"/>
      <c r="DM121" s="132"/>
      <c r="DN121" s="132"/>
      <c r="DO121" s="132"/>
      <c r="DP121" s="132"/>
    </row>
    <row r="122" spans="2:120" x14ac:dyDescent="0.3">
      <c r="C122" s="79" t="s">
        <v>110</v>
      </c>
      <c r="D122" s="121"/>
      <c r="E122" s="100">
        <f>E123</f>
        <v>2671795.4866252132</v>
      </c>
      <c r="F122" s="100">
        <f>F123</f>
        <v>2300289.3419891861</v>
      </c>
      <c r="G122" s="100">
        <f t="shared" ref="G122:V122" si="380">G123</f>
        <v>2647846.3545352798</v>
      </c>
      <c r="H122" s="100">
        <f t="shared" si="380"/>
        <v>2658503.6791994432</v>
      </c>
      <c r="I122" s="100">
        <f t="shared" si="380"/>
        <v>2900602.1748300008</v>
      </c>
      <c r="J122" s="100">
        <f t="shared" si="380"/>
        <v>3126330.6469800007</v>
      </c>
      <c r="K122" s="100">
        <f t="shared" si="380"/>
        <v>3950766.1322699981</v>
      </c>
      <c r="L122" s="100">
        <f t="shared" si="380"/>
        <v>4632348.9132400015</v>
      </c>
      <c r="M122" s="100">
        <f t="shared" si="380"/>
        <v>6153526.7341000028</v>
      </c>
      <c r="N122" s="100">
        <f t="shared" si="380"/>
        <v>5792031.0701398309</v>
      </c>
      <c r="O122" s="100">
        <f t="shared" si="380"/>
        <v>6656768.8277499974</v>
      </c>
      <c r="P122" s="100">
        <f t="shared" si="380"/>
        <v>6482723.3862586711</v>
      </c>
      <c r="Q122" s="100">
        <f t="shared" si="380"/>
        <v>7053544.3574656304</v>
      </c>
      <c r="R122" s="100">
        <f t="shared" si="380"/>
        <v>8354568.9297779948</v>
      </c>
      <c r="S122" s="100">
        <f t="shared" si="380"/>
        <v>8842172.9218599945</v>
      </c>
      <c r="T122" s="100">
        <f t="shared" si="380"/>
        <v>8116323.7262507882</v>
      </c>
      <c r="U122" s="100">
        <f t="shared" si="380"/>
        <v>8897723.1690299939</v>
      </c>
      <c r="V122" s="100">
        <f t="shared" si="380"/>
        <v>8725704.3984800037</v>
      </c>
      <c r="W122" s="187">
        <f t="shared" si="215"/>
        <v>4.4423054237924697E-2</v>
      </c>
      <c r="Y122" s="100">
        <f t="shared" ref="Y122:BO122" si="381">Y123</f>
        <v>2671795.4866252132</v>
      </c>
      <c r="Z122" s="100">
        <f t="shared" si="381"/>
        <v>2300289.3419891861</v>
      </c>
      <c r="AA122" s="100">
        <f t="shared" si="381"/>
        <v>2647846.3545352798</v>
      </c>
      <c r="AB122" s="100">
        <f t="shared" si="381"/>
        <v>2658503.6791994432</v>
      </c>
      <c r="AC122" s="100">
        <f t="shared" si="381"/>
        <v>2900602.1748300008</v>
      </c>
      <c r="AD122" s="100">
        <f t="shared" si="381"/>
        <v>3126330.6469800007</v>
      </c>
      <c r="AE122" s="100">
        <f t="shared" si="381"/>
        <v>3950766.1322699981</v>
      </c>
      <c r="AF122" s="100">
        <f t="shared" si="381"/>
        <v>4632348.9132400015</v>
      </c>
      <c r="AG122" s="100">
        <f t="shared" si="381"/>
        <v>6153526.7341000028</v>
      </c>
      <c r="AH122" s="100">
        <f t="shared" si="381"/>
        <v>5792031.0701398309</v>
      </c>
      <c r="AI122" s="100">
        <f t="shared" si="381"/>
        <v>6656768.8277499974</v>
      </c>
      <c r="AJ122" s="100">
        <f t="shared" si="381"/>
        <v>6482723.3862586711</v>
      </c>
      <c r="AK122" s="100">
        <f t="shared" si="381"/>
        <v>7053544.3574656304</v>
      </c>
      <c r="AL122" s="100">
        <f t="shared" si="381"/>
        <v>8354568.9297779948</v>
      </c>
      <c r="AM122" s="100">
        <f t="shared" si="381"/>
        <v>8842172.9218599945</v>
      </c>
      <c r="AN122" s="100">
        <f t="shared" si="381"/>
        <v>8116323.7262507882</v>
      </c>
      <c r="AO122" s="100">
        <f t="shared" si="381"/>
        <v>8897723.1690299939</v>
      </c>
      <c r="AP122" s="100">
        <f t="shared" si="381"/>
        <v>8725704.3984800037</v>
      </c>
      <c r="AQ122" s="187">
        <f>AP122/AL122-1</f>
        <v>4.4423054237924697E-2</v>
      </c>
      <c r="AS122" s="100">
        <f t="shared" si="381"/>
        <v>2671795.4866252132</v>
      </c>
      <c r="AT122" s="100">
        <f t="shared" si="381"/>
        <v>2300289.3419891861</v>
      </c>
      <c r="AU122" s="100">
        <f t="shared" si="381"/>
        <v>2647846.3545352798</v>
      </c>
      <c r="AV122" s="100">
        <f t="shared" si="381"/>
        <v>2658503.6791994432</v>
      </c>
      <c r="AW122" s="100">
        <f t="shared" si="381"/>
        <v>2900602.1748300008</v>
      </c>
      <c r="AX122" s="100">
        <f t="shared" si="381"/>
        <v>3126330.6469800007</v>
      </c>
      <c r="AY122" s="100">
        <f t="shared" si="381"/>
        <v>3950766.1322699981</v>
      </c>
      <c r="AZ122" s="100">
        <f t="shared" si="381"/>
        <v>4632348.9132400015</v>
      </c>
      <c r="BA122" s="100">
        <f t="shared" si="381"/>
        <v>6153526.7341000028</v>
      </c>
      <c r="BB122" s="100">
        <f t="shared" si="381"/>
        <v>5792031.0701398309</v>
      </c>
      <c r="BC122" s="100">
        <f t="shared" si="381"/>
        <v>6656768.8277499974</v>
      </c>
      <c r="BD122" s="100">
        <f t="shared" si="381"/>
        <v>6482723.3862586711</v>
      </c>
      <c r="BE122" s="100">
        <f t="shared" si="381"/>
        <v>7053544.3574656304</v>
      </c>
      <c r="BF122" s="100">
        <f t="shared" si="381"/>
        <v>8354568.9297779948</v>
      </c>
      <c r="BG122" s="100">
        <f t="shared" si="381"/>
        <v>8842172.9218599945</v>
      </c>
      <c r="BH122" s="100">
        <f t="shared" si="381"/>
        <v>8116323.7262507882</v>
      </c>
      <c r="BI122" s="100">
        <f t="shared" si="381"/>
        <v>8897723.1690299939</v>
      </c>
      <c r="BJ122" s="100">
        <f t="shared" si="381"/>
        <v>8725704.3984800037</v>
      </c>
      <c r="BL122" s="100">
        <f t="shared" si="381"/>
        <v>2671795.4866252132</v>
      </c>
      <c r="BM122" s="100">
        <f t="shared" si="381"/>
        <v>2300289.3419891861</v>
      </c>
      <c r="BN122" s="100">
        <f t="shared" si="381"/>
        <v>2647846.3545352798</v>
      </c>
      <c r="BO122" s="100">
        <f t="shared" si="381"/>
        <v>2658503.6791994432</v>
      </c>
      <c r="BP122" s="100">
        <f t="shared" ref="BP122:CC122" si="382">BP123</f>
        <v>2900602.1748300008</v>
      </c>
      <c r="BQ122" s="100">
        <f t="shared" si="382"/>
        <v>3126330.6469800007</v>
      </c>
      <c r="BR122" s="100">
        <f t="shared" si="382"/>
        <v>3950766.1322699981</v>
      </c>
      <c r="BS122" s="100">
        <f t="shared" si="382"/>
        <v>4632348.9132400015</v>
      </c>
      <c r="BT122" s="100">
        <f t="shared" si="382"/>
        <v>6153526.7341000028</v>
      </c>
      <c r="BU122" s="100">
        <f t="shared" si="382"/>
        <v>5792031.0701398309</v>
      </c>
      <c r="BV122" s="100">
        <f t="shared" si="382"/>
        <v>6656768.8277499974</v>
      </c>
      <c r="BW122" s="100">
        <f t="shared" si="382"/>
        <v>6482723.3862586711</v>
      </c>
      <c r="BX122" s="100">
        <f t="shared" si="382"/>
        <v>7053544.3574656304</v>
      </c>
      <c r="BY122" s="100">
        <f t="shared" si="382"/>
        <v>8354568.9297779948</v>
      </c>
      <c r="BZ122" s="100">
        <f t="shared" si="382"/>
        <v>8842172.9218599945</v>
      </c>
      <c r="CA122" s="100">
        <f t="shared" si="382"/>
        <v>8116323.7262507882</v>
      </c>
      <c r="CB122" s="100">
        <f t="shared" si="382"/>
        <v>8897723.1690299939</v>
      </c>
      <c r="CC122" s="100">
        <f t="shared" si="382"/>
        <v>8725704.3984800037</v>
      </c>
      <c r="CE122" s="100">
        <f t="shared" ref="CE122:CV122" si="383">CE123</f>
        <v>2671795.4866252132</v>
      </c>
      <c r="CF122" s="100">
        <f t="shared" si="383"/>
        <v>2300289.3419891861</v>
      </c>
      <c r="CG122" s="100">
        <f t="shared" si="383"/>
        <v>2647846.3545352798</v>
      </c>
      <c r="CH122" s="100">
        <f t="shared" si="383"/>
        <v>2658503.6791994432</v>
      </c>
      <c r="CI122" s="100">
        <f t="shared" si="383"/>
        <v>2900602.1748300008</v>
      </c>
      <c r="CJ122" s="100">
        <f t="shared" si="383"/>
        <v>3126330.6469800007</v>
      </c>
      <c r="CK122" s="100">
        <f t="shared" si="383"/>
        <v>3950766.1322699981</v>
      </c>
      <c r="CL122" s="100">
        <f t="shared" si="383"/>
        <v>4632348.9132400015</v>
      </c>
      <c r="CM122" s="100">
        <f t="shared" si="383"/>
        <v>6153526.7341000028</v>
      </c>
      <c r="CN122" s="100">
        <f t="shared" si="383"/>
        <v>5792031.0701398309</v>
      </c>
      <c r="CO122" s="100">
        <f t="shared" si="383"/>
        <v>6656768.8277499974</v>
      </c>
      <c r="CP122" s="100">
        <f t="shared" si="383"/>
        <v>6482723.3862586711</v>
      </c>
      <c r="CQ122" s="100">
        <f t="shared" si="383"/>
        <v>7053544.3574656304</v>
      </c>
      <c r="CR122" s="100">
        <f t="shared" si="383"/>
        <v>8354568.9297779948</v>
      </c>
      <c r="CS122" s="100">
        <f t="shared" si="383"/>
        <v>8842172.9218599945</v>
      </c>
      <c r="CT122" s="100">
        <f t="shared" si="383"/>
        <v>8116323.7262507882</v>
      </c>
      <c r="CU122" s="100">
        <f t="shared" si="383"/>
        <v>8897723.1690299939</v>
      </c>
      <c r="CV122" s="100">
        <f t="shared" si="383"/>
        <v>8725704.3984800037</v>
      </c>
      <c r="CW122" s="187">
        <f>CV122/CR122-1</f>
        <v>4.4423054237924697E-2</v>
      </c>
      <c r="CY122" s="100">
        <f t="shared" ref="CY122:DP122" si="384">CY123</f>
        <v>2671795.4866252132</v>
      </c>
      <c r="CZ122" s="100">
        <f t="shared" si="384"/>
        <v>2300289.3419891861</v>
      </c>
      <c r="DA122" s="100">
        <f t="shared" si="384"/>
        <v>2647846.3545352798</v>
      </c>
      <c r="DB122" s="100">
        <f t="shared" si="384"/>
        <v>2658503.6791994432</v>
      </c>
      <c r="DC122" s="100">
        <f t="shared" si="384"/>
        <v>2900602.1748300008</v>
      </c>
      <c r="DD122" s="100">
        <f t="shared" si="384"/>
        <v>3126330.6469800007</v>
      </c>
      <c r="DE122" s="100">
        <f t="shared" si="384"/>
        <v>3950766.1322699981</v>
      </c>
      <c r="DF122" s="100">
        <f t="shared" si="384"/>
        <v>4632348.9132400015</v>
      </c>
      <c r="DG122" s="100">
        <f t="shared" si="384"/>
        <v>6153526.7341000028</v>
      </c>
      <c r="DH122" s="100">
        <f t="shared" si="384"/>
        <v>5792031.0701398309</v>
      </c>
      <c r="DI122" s="100">
        <f t="shared" si="384"/>
        <v>6656768.8277499974</v>
      </c>
      <c r="DJ122" s="100">
        <f t="shared" si="384"/>
        <v>6482723.3862586711</v>
      </c>
      <c r="DK122" s="100">
        <f t="shared" si="384"/>
        <v>7053544.3574656304</v>
      </c>
      <c r="DL122" s="100">
        <f t="shared" si="384"/>
        <v>8354568.9297779948</v>
      </c>
      <c r="DM122" s="100">
        <f t="shared" si="384"/>
        <v>8842172.9218599945</v>
      </c>
      <c r="DN122" s="100">
        <f t="shared" si="384"/>
        <v>8116323.7262507882</v>
      </c>
      <c r="DO122" s="100">
        <f t="shared" si="384"/>
        <v>8897723.1690299939</v>
      </c>
      <c r="DP122" s="100">
        <f t="shared" si="384"/>
        <v>8725704.3984800037</v>
      </c>
    </row>
    <row r="123" spans="2:120" x14ac:dyDescent="0.3">
      <c r="C123" s="65" t="s">
        <v>106</v>
      </c>
      <c r="D123" s="77">
        <v>26</v>
      </c>
      <c r="E123" s="69">
        <v>2671795.4866252132</v>
      </c>
      <c r="F123" s="69">
        <v>2300289.3419891861</v>
      </c>
      <c r="G123" s="69">
        <f t="shared" ref="G123:M123" si="385">G130-G125</f>
        <v>2647846.3545352798</v>
      </c>
      <c r="H123" s="69">
        <f t="shared" si="385"/>
        <v>2658503.6791994432</v>
      </c>
      <c r="I123" s="69">
        <f t="shared" si="385"/>
        <v>2900602.1748300008</v>
      </c>
      <c r="J123" s="69">
        <f t="shared" si="385"/>
        <v>3126330.6469800007</v>
      </c>
      <c r="K123" s="69">
        <f t="shared" si="385"/>
        <v>3950766.1322699981</v>
      </c>
      <c r="L123" s="69">
        <f t="shared" si="385"/>
        <v>4632348.9132400015</v>
      </c>
      <c r="M123" s="69">
        <f t="shared" si="385"/>
        <v>6153526.7341000028</v>
      </c>
      <c r="N123" s="69">
        <v>5792031.0701398309</v>
      </c>
      <c r="O123" s="69">
        <v>6656768.8277499974</v>
      </c>
      <c r="P123" s="69">
        <v>6482723.3862586711</v>
      </c>
      <c r="Q123" s="69">
        <v>7053544.3574656304</v>
      </c>
      <c r="R123" s="69">
        <v>8354568.9297779948</v>
      </c>
      <c r="S123" s="69">
        <v>8842172.9218599945</v>
      </c>
      <c r="T123" s="69">
        <v>8116323.7262507882</v>
      </c>
      <c r="U123" s="69">
        <v>8897723.1690299939</v>
      </c>
      <c r="V123" s="69">
        <v>8725704.3984800037</v>
      </c>
      <c r="W123" s="182">
        <f t="shared" si="215"/>
        <v>4.4423054237924697E-2</v>
      </c>
      <c r="X123" s="197"/>
      <c r="Y123" s="67">
        <f>$E123</f>
        <v>2671795.4866252132</v>
      </c>
      <c r="Z123" s="67">
        <f>$F123</f>
        <v>2300289.3419891861</v>
      </c>
      <c r="AA123" s="67">
        <f>$G123</f>
        <v>2647846.3545352798</v>
      </c>
      <c r="AB123" s="67">
        <f>$H123</f>
        <v>2658503.6791994432</v>
      </c>
      <c r="AC123" s="67">
        <f>$I123</f>
        <v>2900602.1748300008</v>
      </c>
      <c r="AD123" s="67">
        <f>$J123</f>
        <v>3126330.6469800007</v>
      </c>
      <c r="AE123" s="67">
        <f>$K123</f>
        <v>3950766.1322699981</v>
      </c>
      <c r="AF123" s="70">
        <f>$L123</f>
        <v>4632348.9132400015</v>
      </c>
      <c r="AG123" s="70">
        <f>$M123</f>
        <v>6153526.7341000028</v>
      </c>
      <c r="AH123" s="70">
        <f>$N123</f>
        <v>5792031.0701398309</v>
      </c>
      <c r="AI123" s="70">
        <f>$O123</f>
        <v>6656768.8277499974</v>
      </c>
      <c r="AJ123" s="70">
        <f>$P123</f>
        <v>6482723.3862586711</v>
      </c>
      <c r="AK123" s="70">
        <f>$Q123</f>
        <v>7053544.3574656304</v>
      </c>
      <c r="AL123" s="70">
        <f>$R123</f>
        <v>8354568.9297779948</v>
      </c>
      <c r="AM123" s="70">
        <f>$S123</f>
        <v>8842172.9218599945</v>
      </c>
      <c r="AN123" s="70">
        <f>$T123</f>
        <v>8116323.7262507882</v>
      </c>
      <c r="AO123" s="70">
        <f>$U123</f>
        <v>8897723.1690299939</v>
      </c>
      <c r="AP123" s="70">
        <f>$V123</f>
        <v>8725704.3984800037</v>
      </c>
      <c r="AQ123" s="182"/>
      <c r="AR123" s="64"/>
      <c r="AS123" s="67">
        <f>$E123</f>
        <v>2671795.4866252132</v>
      </c>
      <c r="AT123" s="67">
        <f>$F123</f>
        <v>2300289.3419891861</v>
      </c>
      <c r="AU123" s="67">
        <f>$G123</f>
        <v>2647846.3545352798</v>
      </c>
      <c r="AV123" s="67">
        <f>$H123</f>
        <v>2658503.6791994432</v>
      </c>
      <c r="AW123" s="67">
        <f>$I123</f>
        <v>2900602.1748300008</v>
      </c>
      <c r="AX123" s="67">
        <f>$J123</f>
        <v>3126330.6469800007</v>
      </c>
      <c r="AY123" s="67">
        <f>$K123</f>
        <v>3950766.1322699981</v>
      </c>
      <c r="AZ123" s="70">
        <f>$L123</f>
        <v>4632348.9132400015</v>
      </c>
      <c r="BA123" s="70">
        <f>$M123</f>
        <v>6153526.7341000028</v>
      </c>
      <c r="BB123" s="70">
        <f>$N123</f>
        <v>5792031.0701398309</v>
      </c>
      <c r="BC123" s="70">
        <f>$O123</f>
        <v>6656768.8277499974</v>
      </c>
      <c r="BD123" s="70">
        <f>$P123</f>
        <v>6482723.3862586711</v>
      </c>
      <c r="BE123" s="70">
        <f>$Q123</f>
        <v>7053544.3574656304</v>
      </c>
      <c r="BF123" s="70">
        <f>$R123</f>
        <v>8354568.9297779948</v>
      </c>
      <c r="BG123" s="70">
        <f>$S123</f>
        <v>8842172.9218599945</v>
      </c>
      <c r="BH123" s="70">
        <f>$T123</f>
        <v>8116323.7262507882</v>
      </c>
      <c r="BI123" s="70">
        <f>$U123</f>
        <v>8897723.1690299939</v>
      </c>
      <c r="BJ123" s="70">
        <f>$V123</f>
        <v>8725704.3984800037</v>
      </c>
      <c r="BK123" s="64"/>
      <c r="BL123" s="67">
        <f>$E123</f>
        <v>2671795.4866252132</v>
      </c>
      <c r="BM123" s="67">
        <f>$F123</f>
        <v>2300289.3419891861</v>
      </c>
      <c r="BN123" s="67">
        <f>$G123</f>
        <v>2647846.3545352798</v>
      </c>
      <c r="BO123" s="67">
        <f>$H123</f>
        <v>2658503.6791994432</v>
      </c>
      <c r="BP123" s="67">
        <f>$I123</f>
        <v>2900602.1748300008</v>
      </c>
      <c r="BQ123" s="67">
        <f>$J123</f>
        <v>3126330.6469800007</v>
      </c>
      <c r="BR123" s="67">
        <f>$K123</f>
        <v>3950766.1322699981</v>
      </c>
      <c r="BS123" s="70">
        <f>$L123</f>
        <v>4632348.9132400015</v>
      </c>
      <c r="BT123" s="70">
        <f>$M123</f>
        <v>6153526.7341000028</v>
      </c>
      <c r="BU123" s="70">
        <f>$N123</f>
        <v>5792031.0701398309</v>
      </c>
      <c r="BV123" s="70">
        <f>$O123</f>
        <v>6656768.8277499974</v>
      </c>
      <c r="BW123" s="70">
        <f>$P123</f>
        <v>6482723.3862586711</v>
      </c>
      <c r="BX123" s="70">
        <f>$Q123</f>
        <v>7053544.3574656304</v>
      </c>
      <c r="BY123" s="70">
        <f>$R123</f>
        <v>8354568.9297779948</v>
      </c>
      <c r="BZ123" s="70">
        <f>$S123</f>
        <v>8842172.9218599945</v>
      </c>
      <c r="CA123" s="70">
        <f>$T123</f>
        <v>8116323.7262507882</v>
      </c>
      <c r="CB123" s="70">
        <f>$U123</f>
        <v>8897723.1690299939</v>
      </c>
      <c r="CC123" s="70">
        <f>$V123</f>
        <v>8725704.3984800037</v>
      </c>
      <c r="CD123" s="64"/>
      <c r="CE123" s="67">
        <f>$E123</f>
        <v>2671795.4866252132</v>
      </c>
      <c r="CF123" s="67">
        <f>$F123</f>
        <v>2300289.3419891861</v>
      </c>
      <c r="CG123" s="67">
        <f>$G123</f>
        <v>2647846.3545352798</v>
      </c>
      <c r="CH123" s="67">
        <f>$H123</f>
        <v>2658503.6791994432</v>
      </c>
      <c r="CI123" s="67">
        <f>$I123</f>
        <v>2900602.1748300008</v>
      </c>
      <c r="CJ123" s="67">
        <f>$J123</f>
        <v>3126330.6469800007</v>
      </c>
      <c r="CK123" s="67">
        <f>$K123</f>
        <v>3950766.1322699981</v>
      </c>
      <c r="CL123" s="70">
        <f>$L123</f>
        <v>4632348.9132400015</v>
      </c>
      <c r="CM123" s="70">
        <f>$M123</f>
        <v>6153526.7341000028</v>
      </c>
      <c r="CN123" s="70">
        <f>$N123</f>
        <v>5792031.0701398309</v>
      </c>
      <c r="CO123" s="70">
        <f>$O123</f>
        <v>6656768.8277499974</v>
      </c>
      <c r="CP123" s="70">
        <f>$P123</f>
        <v>6482723.3862586711</v>
      </c>
      <c r="CQ123" s="70">
        <f>$Q123</f>
        <v>7053544.3574656304</v>
      </c>
      <c r="CR123" s="70">
        <f>$R123</f>
        <v>8354568.9297779948</v>
      </c>
      <c r="CS123" s="70">
        <f>$S123</f>
        <v>8842172.9218599945</v>
      </c>
      <c r="CT123" s="70">
        <f>$T123</f>
        <v>8116323.7262507882</v>
      </c>
      <c r="CU123" s="70">
        <f>$U123</f>
        <v>8897723.1690299939</v>
      </c>
      <c r="CV123" s="70">
        <f>$V123</f>
        <v>8725704.3984800037</v>
      </c>
      <c r="CW123" s="182"/>
      <c r="CX123" s="64"/>
      <c r="CY123" s="67">
        <f>$E123</f>
        <v>2671795.4866252132</v>
      </c>
      <c r="CZ123" s="67">
        <f>$F123</f>
        <v>2300289.3419891861</v>
      </c>
      <c r="DA123" s="67">
        <f>$G123</f>
        <v>2647846.3545352798</v>
      </c>
      <c r="DB123" s="67">
        <f>$H123</f>
        <v>2658503.6791994432</v>
      </c>
      <c r="DC123" s="67">
        <f>$I123</f>
        <v>2900602.1748300008</v>
      </c>
      <c r="DD123" s="67">
        <f>$J123</f>
        <v>3126330.6469800007</v>
      </c>
      <c r="DE123" s="67">
        <f>$K123</f>
        <v>3950766.1322699981</v>
      </c>
      <c r="DF123" s="70">
        <f>$L123</f>
        <v>4632348.9132400015</v>
      </c>
      <c r="DG123" s="70">
        <f>$M123</f>
        <v>6153526.7341000028</v>
      </c>
      <c r="DH123" s="70">
        <f>$N123</f>
        <v>5792031.0701398309</v>
      </c>
      <c r="DI123" s="70">
        <f>$O123</f>
        <v>6656768.8277499974</v>
      </c>
      <c r="DJ123" s="70">
        <f>$P123</f>
        <v>6482723.3862586711</v>
      </c>
      <c r="DK123" s="70">
        <f>$Q123</f>
        <v>7053544.3574656304</v>
      </c>
      <c r="DL123" s="70">
        <f>$R123</f>
        <v>8354568.9297779948</v>
      </c>
      <c r="DM123" s="70">
        <f>$S123</f>
        <v>8842172.9218599945</v>
      </c>
      <c r="DN123" s="70">
        <f>$T123</f>
        <v>8116323.7262507882</v>
      </c>
      <c r="DO123" s="70">
        <f>$U123</f>
        <v>8897723.1690299939</v>
      </c>
      <c r="DP123" s="70">
        <f>$V123</f>
        <v>8725704.3984800037</v>
      </c>
    </row>
    <row r="124" spans="2:120" x14ac:dyDescent="0.3">
      <c r="C124" s="71"/>
      <c r="D124" s="120"/>
      <c r="K124" s="42"/>
      <c r="L124" s="42"/>
      <c r="M124" s="42"/>
      <c r="N124" s="42"/>
      <c r="O124" s="169"/>
      <c r="P124" s="169"/>
      <c r="Q124" s="169"/>
      <c r="R124" s="169"/>
      <c r="S124" s="169"/>
      <c r="T124" s="169"/>
      <c r="U124" s="169"/>
      <c r="V124" s="169"/>
      <c r="AF124" s="71"/>
      <c r="AG124" s="71"/>
      <c r="AH124" s="71"/>
      <c r="AI124" s="71"/>
      <c r="AJ124" s="71"/>
      <c r="AK124" s="71"/>
      <c r="AL124" s="71"/>
      <c r="AM124" s="71"/>
      <c r="AN124" s="71"/>
      <c r="AO124" s="71"/>
      <c r="AP124" s="71"/>
      <c r="AZ124" s="71"/>
      <c r="BA124" s="71"/>
      <c r="BB124" s="71"/>
      <c r="BC124" s="71"/>
      <c r="BD124" s="71"/>
      <c r="BE124" s="71"/>
      <c r="BF124" s="71"/>
      <c r="BG124" s="71"/>
      <c r="BH124" s="71"/>
      <c r="BI124" s="71"/>
      <c r="BJ124" s="71"/>
      <c r="BS124" s="71"/>
      <c r="BT124" s="71"/>
      <c r="BU124" s="71"/>
      <c r="BV124" s="71"/>
      <c r="BW124" s="71"/>
      <c r="BX124" s="71"/>
      <c r="BY124" s="71"/>
      <c r="BZ124" s="71"/>
      <c r="CA124" s="71"/>
      <c r="CB124" s="71"/>
      <c r="CC124" s="71"/>
      <c r="CL124" s="71"/>
      <c r="CM124" s="71"/>
      <c r="CN124" s="71"/>
      <c r="CO124" s="71"/>
      <c r="CP124" s="71"/>
      <c r="CQ124" s="71"/>
      <c r="CR124" s="71"/>
      <c r="CS124" s="71"/>
      <c r="CT124" s="71"/>
      <c r="CU124" s="71"/>
      <c r="CV124" s="71"/>
      <c r="DF124" s="71"/>
      <c r="DG124" s="71"/>
      <c r="DH124" s="71"/>
      <c r="DI124" s="71"/>
      <c r="DJ124" s="71"/>
      <c r="DK124" s="71"/>
      <c r="DL124" s="71"/>
      <c r="DM124" s="71"/>
      <c r="DN124" s="71"/>
      <c r="DO124" s="71"/>
      <c r="DP124" s="71"/>
    </row>
    <row r="125" spans="2:120" x14ac:dyDescent="0.3">
      <c r="C125" s="80" t="s">
        <v>140</v>
      </c>
      <c r="D125" s="122"/>
      <c r="E125" s="100">
        <f t="shared" ref="E125:L125" si="386">SUM(E126:E128)</f>
        <v>4643017.8829300003</v>
      </c>
      <c r="F125" s="100">
        <f t="shared" si="386"/>
        <v>5425275.1045700004</v>
      </c>
      <c r="G125" s="100">
        <f t="shared" si="386"/>
        <v>6081136.3755799998</v>
      </c>
      <c r="H125" s="100">
        <f t="shared" si="386"/>
        <v>6309113.8501799991</v>
      </c>
      <c r="I125" s="100">
        <f t="shared" si="386"/>
        <v>6740373.9361899998</v>
      </c>
      <c r="J125" s="100">
        <f t="shared" si="386"/>
        <v>7185558.1615800001</v>
      </c>
      <c r="K125" s="100">
        <f t="shared" si="386"/>
        <v>7519460.7190800002</v>
      </c>
      <c r="L125" s="100">
        <f t="shared" si="386"/>
        <v>7750868.9041100675</v>
      </c>
      <c r="M125" s="100">
        <f t="shared" ref="M125:V125" si="387">SUM(M126:M128)</f>
        <v>7525533.3488800433</v>
      </c>
      <c r="N125" s="100">
        <f t="shared" si="387"/>
        <v>9047763.6490500905</v>
      </c>
      <c r="O125" s="100">
        <f t="shared" si="387"/>
        <v>10130157.49987014</v>
      </c>
      <c r="P125" s="100">
        <f t="shared" si="387"/>
        <v>11647241.858480211</v>
      </c>
      <c r="Q125" s="100">
        <f t="shared" si="387"/>
        <v>12628040.713820262</v>
      </c>
      <c r="R125" s="100">
        <f t="shared" si="387"/>
        <v>12798075.542949991</v>
      </c>
      <c r="S125" s="100">
        <f t="shared" si="387"/>
        <v>12011367.004119981</v>
      </c>
      <c r="T125" s="100">
        <f t="shared" si="387"/>
        <v>12243417.612149997</v>
      </c>
      <c r="U125" s="100">
        <f t="shared" si="387"/>
        <v>11924032.578379994</v>
      </c>
      <c r="V125" s="100">
        <f t="shared" si="387"/>
        <v>12391804.69226999</v>
      </c>
      <c r="W125" s="187">
        <f t="shared" si="215"/>
        <v>-3.1744682965541782E-2</v>
      </c>
      <c r="Y125" s="100">
        <f t="shared" ref="Y125:AD125" si="388">SUM(Y126:Y128)</f>
        <v>4643017.8829300003</v>
      </c>
      <c r="Z125" s="100">
        <f t="shared" si="388"/>
        <v>5425275.1045700004</v>
      </c>
      <c r="AA125" s="100">
        <f>SUM(AA126:AA128)</f>
        <v>6081136.3755799998</v>
      </c>
      <c r="AB125" s="100">
        <f>SUM(AB126:AB128)</f>
        <v>6309113.8501799991</v>
      </c>
      <c r="AC125" s="100">
        <f>SUM(AC126:AC128)</f>
        <v>6740373.9361899998</v>
      </c>
      <c r="AD125" s="100">
        <f t="shared" si="388"/>
        <v>7185558.1615800001</v>
      </c>
      <c r="AE125" s="100">
        <f t="shared" ref="AE125:AJ125" si="389">SUM(AE126:AE128)</f>
        <v>7519460.7190800002</v>
      </c>
      <c r="AF125" s="100">
        <f t="shared" si="389"/>
        <v>7750868.9041100675</v>
      </c>
      <c r="AG125" s="100">
        <f t="shared" si="389"/>
        <v>7525533.3488800433</v>
      </c>
      <c r="AH125" s="100">
        <f t="shared" si="389"/>
        <v>9047763.6490500905</v>
      </c>
      <c r="AI125" s="100">
        <f t="shared" si="389"/>
        <v>10130157.49987014</v>
      </c>
      <c r="AJ125" s="100">
        <f t="shared" si="389"/>
        <v>11647241.858480211</v>
      </c>
      <c r="AK125" s="100">
        <f t="shared" ref="AK125:AP125" si="390">SUM(AK126:AK128)</f>
        <v>12628040.713820262</v>
      </c>
      <c r="AL125" s="100">
        <f t="shared" si="390"/>
        <v>12798075.542949991</v>
      </c>
      <c r="AM125" s="100">
        <f t="shared" si="390"/>
        <v>12011367.004119981</v>
      </c>
      <c r="AN125" s="100">
        <f t="shared" si="390"/>
        <v>12243417.612149997</v>
      </c>
      <c r="AO125" s="100">
        <f t="shared" si="390"/>
        <v>11924032.578379994</v>
      </c>
      <c r="AP125" s="100">
        <f t="shared" si="390"/>
        <v>12391804.69226999</v>
      </c>
      <c r="AQ125" s="187">
        <f>AP125/AL125-1</f>
        <v>-3.1744682965541782E-2</v>
      </c>
      <c r="AS125" s="100">
        <f t="shared" ref="AS125:AX125" si="391">SUM(AS126:AS128)</f>
        <v>4643017.8829300003</v>
      </c>
      <c r="AT125" s="100">
        <f t="shared" si="391"/>
        <v>5425275.1045700004</v>
      </c>
      <c r="AU125" s="100">
        <f t="shared" si="391"/>
        <v>6081136.3755799998</v>
      </c>
      <c r="AV125" s="100">
        <f t="shared" si="391"/>
        <v>6309113.8501799991</v>
      </c>
      <c r="AW125" s="100">
        <f t="shared" si="391"/>
        <v>6740373.9361899998</v>
      </c>
      <c r="AX125" s="100">
        <f t="shared" si="391"/>
        <v>7185558.1615800001</v>
      </c>
      <c r="AY125" s="100">
        <f t="shared" ref="AY125:BG125" si="392">SUM(AY126:AY128)</f>
        <v>7519460.7190800002</v>
      </c>
      <c r="AZ125" s="100">
        <f t="shared" si="392"/>
        <v>7750868.9041100675</v>
      </c>
      <c r="BA125" s="100">
        <f t="shared" si="392"/>
        <v>7525533.3488800433</v>
      </c>
      <c r="BB125" s="100">
        <f t="shared" si="392"/>
        <v>9047763.6490500905</v>
      </c>
      <c r="BC125" s="100">
        <f t="shared" si="392"/>
        <v>10130157.49987014</v>
      </c>
      <c r="BD125" s="100">
        <f t="shared" si="392"/>
        <v>11647241.858480211</v>
      </c>
      <c r="BE125" s="100">
        <f t="shared" si="392"/>
        <v>12628040.713820262</v>
      </c>
      <c r="BF125" s="100">
        <f t="shared" si="392"/>
        <v>12798075.542949991</v>
      </c>
      <c r="BG125" s="100">
        <f t="shared" si="392"/>
        <v>12011367.004119981</v>
      </c>
      <c r="BH125" s="100">
        <f>SUM(BH126:BH128)</f>
        <v>12243417.612149997</v>
      </c>
      <c r="BI125" s="100">
        <f>SUM(BI126:BI128)</f>
        <v>11924032.578379994</v>
      </c>
      <c r="BJ125" s="100">
        <f>SUM(BJ126:BJ128)</f>
        <v>12391804.69226999</v>
      </c>
      <c r="BK125" s="100"/>
      <c r="BL125" s="100">
        <f t="shared" ref="BL125:BQ125" si="393">SUM(BL126:BL128)</f>
        <v>4643017.8829300003</v>
      </c>
      <c r="BM125" s="100">
        <f t="shared" si="393"/>
        <v>5425275.1045700004</v>
      </c>
      <c r="BN125" s="100">
        <f t="shared" si="393"/>
        <v>6081136.3755799998</v>
      </c>
      <c r="BO125" s="100">
        <f t="shared" si="393"/>
        <v>6309113.8501799991</v>
      </c>
      <c r="BP125" s="100">
        <f t="shared" si="393"/>
        <v>6740373.9361899998</v>
      </c>
      <c r="BQ125" s="100">
        <f t="shared" si="393"/>
        <v>7185558.1615800001</v>
      </c>
      <c r="BR125" s="100">
        <f t="shared" ref="BR125:BZ125" si="394">SUM(BR126:BR128)</f>
        <v>7519460.7190800002</v>
      </c>
      <c r="BS125" s="100">
        <f t="shared" si="394"/>
        <v>7750868.9041100675</v>
      </c>
      <c r="BT125" s="100">
        <f t="shared" si="394"/>
        <v>7525533.3488800433</v>
      </c>
      <c r="BU125" s="100">
        <f t="shared" si="394"/>
        <v>9047763.6490500905</v>
      </c>
      <c r="BV125" s="100">
        <f t="shared" si="394"/>
        <v>10130157.49987014</v>
      </c>
      <c r="BW125" s="100">
        <f t="shared" si="394"/>
        <v>11647241.858480211</v>
      </c>
      <c r="BX125" s="100">
        <f t="shared" si="394"/>
        <v>12628040.713820262</v>
      </c>
      <c r="BY125" s="100">
        <f t="shared" si="394"/>
        <v>12798075.542949991</v>
      </c>
      <c r="BZ125" s="100">
        <f t="shared" si="394"/>
        <v>12011367.004119981</v>
      </c>
      <c r="CA125" s="100">
        <f>SUM(CA126:CA128)</f>
        <v>12243417.612149997</v>
      </c>
      <c r="CB125" s="100">
        <f>SUM(CB126:CB128)</f>
        <v>11924032.578379994</v>
      </c>
      <c r="CC125" s="100">
        <f>SUM(CC126:CC128)</f>
        <v>12391804.69226999</v>
      </c>
      <c r="CD125" s="100"/>
      <c r="CE125" s="100">
        <f t="shared" ref="CE125:CJ125" si="395">SUM(CE126:CE128)</f>
        <v>4643017.8829300003</v>
      </c>
      <c r="CF125" s="100">
        <f t="shared" si="395"/>
        <v>5425275.1045700004</v>
      </c>
      <c r="CG125" s="100">
        <f t="shared" si="395"/>
        <v>6081136.3755799998</v>
      </c>
      <c r="CH125" s="100">
        <f t="shared" si="395"/>
        <v>6309113.8501799991</v>
      </c>
      <c r="CI125" s="100">
        <f t="shared" si="395"/>
        <v>6740373.9361899998</v>
      </c>
      <c r="CJ125" s="100">
        <f t="shared" si="395"/>
        <v>7185558.1615800001</v>
      </c>
      <c r="CK125" s="100">
        <f t="shared" ref="CK125:CS125" si="396">SUM(CK126:CK128)</f>
        <v>7519460.7190800002</v>
      </c>
      <c r="CL125" s="100">
        <f t="shared" si="396"/>
        <v>7750868.9041100675</v>
      </c>
      <c r="CM125" s="100">
        <f t="shared" si="396"/>
        <v>7525533.3488800433</v>
      </c>
      <c r="CN125" s="100">
        <f t="shared" si="396"/>
        <v>9047763.6490500905</v>
      </c>
      <c r="CO125" s="100">
        <f t="shared" si="396"/>
        <v>10130157.49987014</v>
      </c>
      <c r="CP125" s="100">
        <f t="shared" si="396"/>
        <v>11647241.858480211</v>
      </c>
      <c r="CQ125" s="100">
        <f t="shared" si="396"/>
        <v>12628040.713820262</v>
      </c>
      <c r="CR125" s="100">
        <f t="shared" si="396"/>
        <v>12798075.542949991</v>
      </c>
      <c r="CS125" s="100">
        <f t="shared" si="396"/>
        <v>12011367.004119981</v>
      </c>
      <c r="CT125" s="100">
        <f>SUM(CT126:CT128)</f>
        <v>12243417.612149997</v>
      </c>
      <c r="CU125" s="100">
        <f>SUM(CU126:CU128)</f>
        <v>11924032.578379994</v>
      </c>
      <c r="CV125" s="100">
        <f>SUM(CV126:CV128)</f>
        <v>12391804.69226999</v>
      </c>
      <c r="CW125" s="187">
        <f>CV125/CR125-1</f>
        <v>-3.1744682965541782E-2</v>
      </c>
      <c r="CX125" s="100"/>
      <c r="CY125" s="100">
        <f t="shared" ref="CY125:DD125" si="397">SUM(CY126:CY128)</f>
        <v>4643017.8829300003</v>
      </c>
      <c r="CZ125" s="100">
        <f t="shared" si="397"/>
        <v>5425275.1045700004</v>
      </c>
      <c r="DA125" s="100">
        <f t="shared" si="397"/>
        <v>6081136.3755799998</v>
      </c>
      <c r="DB125" s="100">
        <f t="shared" si="397"/>
        <v>6309113.8501799991</v>
      </c>
      <c r="DC125" s="100">
        <f t="shared" si="397"/>
        <v>6740373.9361899998</v>
      </c>
      <c r="DD125" s="100">
        <f t="shared" si="397"/>
        <v>7185558.1615800001</v>
      </c>
      <c r="DE125" s="100">
        <f t="shared" ref="DE125:DM125" si="398">SUM(DE126:DE128)</f>
        <v>7519460.7190800002</v>
      </c>
      <c r="DF125" s="100">
        <f t="shared" si="398"/>
        <v>7750868.9041100675</v>
      </c>
      <c r="DG125" s="100">
        <f t="shared" si="398"/>
        <v>7525533.3488800433</v>
      </c>
      <c r="DH125" s="100">
        <f t="shared" si="398"/>
        <v>9047763.6490500905</v>
      </c>
      <c r="DI125" s="100">
        <f t="shared" si="398"/>
        <v>10130157.49987014</v>
      </c>
      <c r="DJ125" s="100">
        <f t="shared" si="398"/>
        <v>11647241.858480211</v>
      </c>
      <c r="DK125" s="100">
        <f t="shared" si="398"/>
        <v>12628040.713820262</v>
      </c>
      <c r="DL125" s="100">
        <f t="shared" si="398"/>
        <v>12798075.542949991</v>
      </c>
      <c r="DM125" s="100">
        <f t="shared" si="398"/>
        <v>12011367.004119981</v>
      </c>
      <c r="DN125" s="100">
        <f>SUM(DN126:DN128)</f>
        <v>12243417.612149997</v>
      </c>
      <c r="DO125" s="100">
        <f>SUM(DO126:DO128)</f>
        <v>11924032.578379994</v>
      </c>
      <c r="DP125" s="100">
        <f>SUM(DP126:DP128)</f>
        <v>12391804.69226999</v>
      </c>
    </row>
    <row r="126" spans="2:120" x14ac:dyDescent="0.3">
      <c r="C126" s="71" t="s">
        <v>49</v>
      </c>
      <c r="D126" s="120">
        <v>29</v>
      </c>
      <c r="E126" s="69">
        <v>3100013.7529600002</v>
      </c>
      <c r="F126" s="69">
        <v>3981261.2712900001</v>
      </c>
      <c r="G126" s="69">
        <v>3414449.49107</v>
      </c>
      <c r="H126" s="69">
        <v>2923993.5471599996</v>
      </c>
      <c r="I126" s="69">
        <v>2470589.952</v>
      </c>
      <c r="J126" s="69">
        <v>2062076.8849999998</v>
      </c>
      <c r="K126" s="69">
        <v>1732296.4911</v>
      </c>
      <c r="L126" s="69">
        <v>1446514.2739399527</v>
      </c>
      <c r="M126" s="69">
        <v>1170685.4780199644</v>
      </c>
      <c r="N126" s="69">
        <v>1864869.5036599662</v>
      </c>
      <c r="O126" s="69">
        <v>3280393.3976099393</v>
      </c>
      <c r="P126" s="69">
        <v>4546740.7121499674</v>
      </c>
      <c r="Q126" s="69">
        <v>5403608.5819700593</v>
      </c>
      <c r="R126" s="69">
        <v>5998726.2465499686</v>
      </c>
      <c r="S126" s="69">
        <v>5323065.8950299574</v>
      </c>
      <c r="T126" s="69">
        <v>5672030.0144699765</v>
      </c>
      <c r="U126" s="69">
        <v>4967071.055399972</v>
      </c>
      <c r="V126" s="69">
        <v>5413218.825049961</v>
      </c>
      <c r="W126" s="182">
        <f t="shared" si="215"/>
        <v>-9.7605291096047098E-2</v>
      </c>
      <c r="Y126" s="67">
        <f>$E126</f>
        <v>3100013.7529600002</v>
      </c>
      <c r="Z126" s="67">
        <f>$F126</f>
        <v>3981261.2712900001</v>
      </c>
      <c r="AA126" s="67">
        <f>$G126</f>
        <v>3414449.49107</v>
      </c>
      <c r="AB126" s="67">
        <f>$H126</f>
        <v>2923993.5471599996</v>
      </c>
      <c r="AC126" s="67">
        <f>$I126</f>
        <v>2470589.952</v>
      </c>
      <c r="AD126" s="67">
        <f>$J126</f>
        <v>2062076.8849999998</v>
      </c>
      <c r="AE126" s="67">
        <f>$K126</f>
        <v>1732296.4911</v>
      </c>
      <c r="AF126" s="70">
        <f>$L126</f>
        <v>1446514.2739399527</v>
      </c>
      <c r="AG126" s="70">
        <f>$M126</f>
        <v>1170685.4780199644</v>
      </c>
      <c r="AH126" s="70">
        <f>$N126</f>
        <v>1864869.5036599662</v>
      </c>
      <c r="AI126" s="70">
        <f>$O126</f>
        <v>3280393.3976099393</v>
      </c>
      <c r="AJ126" s="70">
        <f>$P126</f>
        <v>4546740.7121499674</v>
      </c>
      <c r="AK126" s="70">
        <f>$Q126</f>
        <v>5403608.5819700593</v>
      </c>
      <c r="AL126" s="70">
        <f>$R126</f>
        <v>5998726.2465499686</v>
      </c>
      <c r="AM126" s="70">
        <f>$S126</f>
        <v>5323065.8950299574</v>
      </c>
      <c r="AN126" s="70">
        <f>$T126</f>
        <v>5672030.0144699765</v>
      </c>
      <c r="AO126" s="70">
        <f>$U126</f>
        <v>4967071.055399972</v>
      </c>
      <c r="AP126" s="70">
        <f>$V126</f>
        <v>5413218.825049961</v>
      </c>
      <c r="AQ126" s="182">
        <f>AP126/AL126-1</f>
        <v>-9.7605291096047098E-2</v>
      </c>
      <c r="AR126" s="64"/>
      <c r="AS126" s="67">
        <f>$E126</f>
        <v>3100013.7529600002</v>
      </c>
      <c r="AT126" s="67">
        <f>$F126</f>
        <v>3981261.2712900001</v>
      </c>
      <c r="AU126" s="67">
        <f>$G126</f>
        <v>3414449.49107</v>
      </c>
      <c r="AV126" s="67">
        <f>$H126</f>
        <v>2923993.5471599996</v>
      </c>
      <c r="AW126" s="67">
        <f>$I126</f>
        <v>2470589.952</v>
      </c>
      <c r="AX126" s="67">
        <f>$J126</f>
        <v>2062076.8849999998</v>
      </c>
      <c r="AY126" s="67">
        <f>$K126</f>
        <v>1732296.4911</v>
      </c>
      <c r="AZ126" s="70">
        <f>$L126</f>
        <v>1446514.2739399527</v>
      </c>
      <c r="BA126" s="70">
        <f>$M126</f>
        <v>1170685.4780199644</v>
      </c>
      <c r="BB126" s="70">
        <f>$N126</f>
        <v>1864869.5036599662</v>
      </c>
      <c r="BC126" s="70">
        <f>$O126</f>
        <v>3280393.3976099393</v>
      </c>
      <c r="BD126" s="70">
        <f>$P126</f>
        <v>4546740.7121499674</v>
      </c>
      <c r="BE126" s="70">
        <f>$Q126</f>
        <v>5403608.5819700593</v>
      </c>
      <c r="BF126" s="70">
        <f>$R126</f>
        <v>5998726.2465499686</v>
      </c>
      <c r="BG126" s="70">
        <f>$S126</f>
        <v>5323065.8950299574</v>
      </c>
      <c r="BH126" s="70">
        <f>$T126</f>
        <v>5672030.0144699765</v>
      </c>
      <c r="BI126" s="70">
        <f>$U126</f>
        <v>4967071.055399972</v>
      </c>
      <c r="BJ126" s="70">
        <f>$V126</f>
        <v>5413218.825049961</v>
      </c>
      <c r="BK126" s="64"/>
      <c r="BL126" s="67">
        <f>$E126</f>
        <v>3100013.7529600002</v>
      </c>
      <c r="BM126" s="67">
        <f>$F126</f>
        <v>3981261.2712900001</v>
      </c>
      <c r="BN126" s="67">
        <f>$G126</f>
        <v>3414449.49107</v>
      </c>
      <c r="BO126" s="67">
        <f>$H126</f>
        <v>2923993.5471599996</v>
      </c>
      <c r="BP126" s="67">
        <f>$I126</f>
        <v>2470589.952</v>
      </c>
      <c r="BQ126" s="67">
        <f>$J126</f>
        <v>2062076.8849999998</v>
      </c>
      <c r="BR126" s="67">
        <f>$K126</f>
        <v>1732296.4911</v>
      </c>
      <c r="BS126" s="70">
        <f>$L126</f>
        <v>1446514.2739399527</v>
      </c>
      <c r="BT126" s="70">
        <f>$M126</f>
        <v>1170685.4780199644</v>
      </c>
      <c r="BU126" s="70">
        <f>$N126</f>
        <v>1864869.5036599662</v>
      </c>
      <c r="BV126" s="70">
        <f>$O126</f>
        <v>3280393.3976099393</v>
      </c>
      <c r="BW126" s="70">
        <f>$P126</f>
        <v>4546740.7121499674</v>
      </c>
      <c r="BX126" s="70">
        <f>$Q126</f>
        <v>5403608.5819700593</v>
      </c>
      <c r="BY126" s="70">
        <f>$R126</f>
        <v>5998726.2465499686</v>
      </c>
      <c r="BZ126" s="70">
        <f>$S126</f>
        <v>5323065.8950299574</v>
      </c>
      <c r="CA126" s="70">
        <f>$T126</f>
        <v>5672030.0144699765</v>
      </c>
      <c r="CB126" s="70">
        <f>$U126</f>
        <v>4967071.055399972</v>
      </c>
      <c r="CC126" s="70">
        <f>$V126</f>
        <v>5413218.825049961</v>
      </c>
      <c r="CD126" s="64"/>
      <c r="CE126" s="67">
        <f>$E126</f>
        <v>3100013.7529600002</v>
      </c>
      <c r="CF126" s="67">
        <f>$F126</f>
        <v>3981261.2712900001</v>
      </c>
      <c r="CG126" s="67">
        <f>$G126</f>
        <v>3414449.49107</v>
      </c>
      <c r="CH126" s="67">
        <f>$H126</f>
        <v>2923993.5471599996</v>
      </c>
      <c r="CI126" s="67">
        <f>$I126</f>
        <v>2470589.952</v>
      </c>
      <c r="CJ126" s="67">
        <f>$J126</f>
        <v>2062076.8849999998</v>
      </c>
      <c r="CK126" s="67">
        <f>$K126</f>
        <v>1732296.4911</v>
      </c>
      <c r="CL126" s="70">
        <f>$L126</f>
        <v>1446514.2739399527</v>
      </c>
      <c r="CM126" s="70">
        <f>$M126</f>
        <v>1170685.4780199644</v>
      </c>
      <c r="CN126" s="70">
        <f>$N126</f>
        <v>1864869.5036599662</v>
      </c>
      <c r="CO126" s="70">
        <f>$O126</f>
        <v>3280393.3976099393</v>
      </c>
      <c r="CP126" s="70">
        <f>$P126</f>
        <v>4546740.7121499674</v>
      </c>
      <c r="CQ126" s="70">
        <f>$Q126</f>
        <v>5403608.5819700593</v>
      </c>
      <c r="CR126" s="70">
        <f>$R126</f>
        <v>5998726.2465499686</v>
      </c>
      <c r="CS126" s="70">
        <f>$S126</f>
        <v>5323065.8950299574</v>
      </c>
      <c r="CT126" s="70">
        <f>$T126</f>
        <v>5672030.0144699765</v>
      </c>
      <c r="CU126" s="70">
        <f>$U126</f>
        <v>4967071.055399972</v>
      </c>
      <c r="CV126" s="70">
        <f>$V126</f>
        <v>5413218.825049961</v>
      </c>
      <c r="CW126" s="182">
        <f>CV126/CR126-1</f>
        <v>-9.7605291096047098E-2</v>
      </c>
      <c r="CX126" s="64"/>
      <c r="CY126" s="67">
        <f>$E126</f>
        <v>3100013.7529600002</v>
      </c>
      <c r="CZ126" s="67">
        <f>$F126</f>
        <v>3981261.2712900001</v>
      </c>
      <c r="DA126" s="67">
        <f>$G126</f>
        <v>3414449.49107</v>
      </c>
      <c r="DB126" s="67">
        <f>$H126</f>
        <v>2923993.5471599996</v>
      </c>
      <c r="DC126" s="67">
        <f>$I126</f>
        <v>2470589.952</v>
      </c>
      <c r="DD126" s="67">
        <f>$J126</f>
        <v>2062076.8849999998</v>
      </c>
      <c r="DE126" s="67">
        <f>$K126</f>
        <v>1732296.4911</v>
      </c>
      <c r="DF126" s="70">
        <f>$L126</f>
        <v>1446514.2739399527</v>
      </c>
      <c r="DG126" s="70">
        <f>$M126</f>
        <v>1170685.4780199644</v>
      </c>
      <c r="DH126" s="70">
        <f>$N126</f>
        <v>1864869.5036599662</v>
      </c>
      <c r="DI126" s="70">
        <f>$O126</f>
        <v>3280393.3976099393</v>
      </c>
      <c r="DJ126" s="70">
        <f>$P126</f>
        <v>4546740.7121499674</v>
      </c>
      <c r="DK126" s="70">
        <f>$Q126</f>
        <v>5403608.5819700593</v>
      </c>
      <c r="DL126" s="70">
        <f>$R126</f>
        <v>5998726.2465499686</v>
      </c>
      <c r="DM126" s="70">
        <f>$S126</f>
        <v>5323065.8950299574</v>
      </c>
      <c r="DN126" s="70">
        <f>$T126</f>
        <v>5672030.0144699765</v>
      </c>
      <c r="DO126" s="70">
        <f>$U126</f>
        <v>4967071.055399972</v>
      </c>
      <c r="DP126" s="70">
        <f>$V126</f>
        <v>5413218.825049961</v>
      </c>
    </row>
    <row r="127" spans="2:120" x14ac:dyDescent="0.3">
      <c r="C127" s="71" t="s">
        <v>50</v>
      </c>
      <c r="D127" s="120" t="s">
        <v>151</v>
      </c>
      <c r="E127" s="69">
        <v>1226767.8650299998</v>
      </c>
      <c r="F127" s="69">
        <v>1284381.9724900001</v>
      </c>
      <c r="G127" s="69">
        <v>2562087.2941700001</v>
      </c>
      <c r="H127" s="69">
        <v>3325794.4621599996</v>
      </c>
      <c r="I127" s="69">
        <v>4201595.5350000001</v>
      </c>
      <c r="J127" s="69">
        <v>5076517.6180000007</v>
      </c>
      <c r="K127" s="69">
        <v>5757836.0058199996</v>
      </c>
      <c r="L127" s="69">
        <v>6273020.0723201148</v>
      </c>
      <c r="M127" s="69">
        <v>6314485.0692500789</v>
      </c>
      <c r="N127" s="69">
        <v>7135359.0317901243</v>
      </c>
      <c r="O127" s="69">
        <v>6761227.3906102004</v>
      </c>
      <c r="P127" s="69">
        <v>7056958.0177602442</v>
      </c>
      <c r="Q127" s="69">
        <v>7186014.6069202023</v>
      </c>
      <c r="R127" s="69">
        <v>6745142.9991400242</v>
      </c>
      <c r="S127" s="69">
        <v>6623606.911420024</v>
      </c>
      <c r="T127" s="69">
        <v>6505403.2891100198</v>
      </c>
      <c r="U127" s="69">
        <v>6838789.4973500241</v>
      </c>
      <c r="V127" s="69">
        <v>6908075.0035100309</v>
      </c>
      <c r="W127" s="182">
        <f t="shared" si="215"/>
        <v>2.415545591706203E-2</v>
      </c>
      <c r="Y127" s="67">
        <f>$E127</f>
        <v>1226767.8650299998</v>
      </c>
      <c r="Z127" s="67">
        <f>$F127</f>
        <v>1284381.9724900001</v>
      </c>
      <c r="AA127" s="67">
        <f>$G127</f>
        <v>2562087.2941700001</v>
      </c>
      <c r="AB127" s="67">
        <f>$H127</f>
        <v>3325794.4621599996</v>
      </c>
      <c r="AC127" s="67">
        <f>$I127</f>
        <v>4201595.5350000001</v>
      </c>
      <c r="AD127" s="67">
        <f>$J127</f>
        <v>5076517.6180000007</v>
      </c>
      <c r="AE127" s="67">
        <f>$K127</f>
        <v>5757836.0058199996</v>
      </c>
      <c r="AF127" s="70">
        <f>$L127</f>
        <v>6273020.0723201148</v>
      </c>
      <c r="AG127" s="70">
        <f>$M127</f>
        <v>6314485.0692500789</v>
      </c>
      <c r="AH127" s="70">
        <f>$N127</f>
        <v>7135359.0317901243</v>
      </c>
      <c r="AI127" s="70">
        <f>$O127</f>
        <v>6761227.3906102004</v>
      </c>
      <c r="AJ127" s="70">
        <f>$P127</f>
        <v>7056958.0177602442</v>
      </c>
      <c r="AK127" s="70">
        <f>$Q127</f>
        <v>7186014.6069202023</v>
      </c>
      <c r="AL127" s="70">
        <f>$R127</f>
        <v>6745142.9991400242</v>
      </c>
      <c r="AM127" s="70">
        <f>$S127</f>
        <v>6623606.911420024</v>
      </c>
      <c r="AN127" s="70">
        <f>$T127</f>
        <v>6505403.2891100198</v>
      </c>
      <c r="AO127" s="70">
        <f>$U127</f>
        <v>6838789.4973500241</v>
      </c>
      <c r="AP127" s="70">
        <f>$V127</f>
        <v>6908075.0035100309</v>
      </c>
      <c r="AQ127" s="182">
        <f>AP127/AL127-1</f>
        <v>2.415545591706203E-2</v>
      </c>
      <c r="AR127" s="64"/>
      <c r="AS127" s="67">
        <f>$E127</f>
        <v>1226767.8650299998</v>
      </c>
      <c r="AT127" s="67">
        <f>$F127</f>
        <v>1284381.9724900001</v>
      </c>
      <c r="AU127" s="67">
        <f>$G127</f>
        <v>2562087.2941700001</v>
      </c>
      <c r="AV127" s="67">
        <f>$H127</f>
        <v>3325794.4621599996</v>
      </c>
      <c r="AW127" s="67">
        <f>$I127</f>
        <v>4201595.5350000001</v>
      </c>
      <c r="AX127" s="67">
        <f>$J127</f>
        <v>5076517.6180000007</v>
      </c>
      <c r="AY127" s="67">
        <f>$K127</f>
        <v>5757836.0058199996</v>
      </c>
      <c r="AZ127" s="70">
        <f>$L127</f>
        <v>6273020.0723201148</v>
      </c>
      <c r="BA127" s="70">
        <f>$M127</f>
        <v>6314485.0692500789</v>
      </c>
      <c r="BB127" s="70">
        <f>$N127</f>
        <v>7135359.0317901243</v>
      </c>
      <c r="BC127" s="70">
        <f>$O127</f>
        <v>6761227.3906102004</v>
      </c>
      <c r="BD127" s="70">
        <f>$P127</f>
        <v>7056958.0177602442</v>
      </c>
      <c r="BE127" s="70">
        <f>$Q127</f>
        <v>7186014.6069202023</v>
      </c>
      <c r="BF127" s="70">
        <f>$R127</f>
        <v>6745142.9991400242</v>
      </c>
      <c r="BG127" s="70">
        <f>$S127</f>
        <v>6623606.911420024</v>
      </c>
      <c r="BH127" s="70">
        <f>$T127</f>
        <v>6505403.2891100198</v>
      </c>
      <c r="BI127" s="70">
        <f>$U127</f>
        <v>6838789.4973500241</v>
      </c>
      <c r="BJ127" s="70">
        <f>$V127</f>
        <v>6908075.0035100309</v>
      </c>
      <c r="BK127" s="64"/>
      <c r="BL127" s="67">
        <f>$E127</f>
        <v>1226767.8650299998</v>
      </c>
      <c r="BM127" s="67">
        <f>$F127</f>
        <v>1284381.9724900001</v>
      </c>
      <c r="BN127" s="67">
        <f>$G127</f>
        <v>2562087.2941700001</v>
      </c>
      <c r="BO127" s="67">
        <f>$H127</f>
        <v>3325794.4621599996</v>
      </c>
      <c r="BP127" s="67">
        <f>$I127</f>
        <v>4201595.5350000001</v>
      </c>
      <c r="BQ127" s="67">
        <f>$J127</f>
        <v>5076517.6180000007</v>
      </c>
      <c r="BR127" s="67">
        <f>$K127</f>
        <v>5757836.0058199996</v>
      </c>
      <c r="BS127" s="70">
        <f>$L127</f>
        <v>6273020.0723201148</v>
      </c>
      <c r="BT127" s="70">
        <f>$M127</f>
        <v>6314485.0692500789</v>
      </c>
      <c r="BU127" s="70">
        <f>$N127</f>
        <v>7135359.0317901243</v>
      </c>
      <c r="BV127" s="70">
        <f>$O127</f>
        <v>6761227.3906102004</v>
      </c>
      <c r="BW127" s="70">
        <f>$P127</f>
        <v>7056958.0177602442</v>
      </c>
      <c r="BX127" s="70">
        <f>$Q127</f>
        <v>7186014.6069202023</v>
      </c>
      <c r="BY127" s="70">
        <f>$R127</f>
        <v>6745142.9991400242</v>
      </c>
      <c r="BZ127" s="70">
        <f>$S127</f>
        <v>6623606.911420024</v>
      </c>
      <c r="CA127" s="70">
        <f>$T127</f>
        <v>6505403.2891100198</v>
      </c>
      <c r="CB127" s="70">
        <f>$U127</f>
        <v>6838789.4973500241</v>
      </c>
      <c r="CC127" s="70">
        <f>$V127</f>
        <v>6908075.0035100309</v>
      </c>
      <c r="CD127" s="64"/>
      <c r="CE127" s="67">
        <f>$E127</f>
        <v>1226767.8650299998</v>
      </c>
      <c r="CF127" s="67">
        <f>$F127</f>
        <v>1284381.9724900001</v>
      </c>
      <c r="CG127" s="67">
        <f>$G127</f>
        <v>2562087.2941700001</v>
      </c>
      <c r="CH127" s="67">
        <f>$H127</f>
        <v>3325794.4621599996</v>
      </c>
      <c r="CI127" s="67">
        <f>$I127</f>
        <v>4201595.5350000001</v>
      </c>
      <c r="CJ127" s="67">
        <f>$J127</f>
        <v>5076517.6180000007</v>
      </c>
      <c r="CK127" s="67">
        <f>$K127</f>
        <v>5757836.0058199996</v>
      </c>
      <c r="CL127" s="70">
        <f>$L127</f>
        <v>6273020.0723201148</v>
      </c>
      <c r="CM127" s="70">
        <f>$M127</f>
        <v>6314485.0692500789</v>
      </c>
      <c r="CN127" s="70">
        <f>$N127</f>
        <v>7135359.0317901243</v>
      </c>
      <c r="CO127" s="70">
        <f>$O127</f>
        <v>6761227.3906102004</v>
      </c>
      <c r="CP127" s="70">
        <f>$P127</f>
        <v>7056958.0177602442</v>
      </c>
      <c r="CQ127" s="70">
        <f>$Q127</f>
        <v>7186014.6069202023</v>
      </c>
      <c r="CR127" s="70">
        <f>$R127</f>
        <v>6745142.9991400242</v>
      </c>
      <c r="CS127" s="70">
        <f>$S127</f>
        <v>6623606.911420024</v>
      </c>
      <c r="CT127" s="70">
        <f>$T127</f>
        <v>6505403.2891100198</v>
      </c>
      <c r="CU127" s="70">
        <f>$U127</f>
        <v>6838789.4973500241</v>
      </c>
      <c r="CV127" s="70">
        <f>$V127</f>
        <v>6908075.0035100309</v>
      </c>
      <c r="CW127" s="182">
        <f>CV127/CR127-1</f>
        <v>2.415545591706203E-2</v>
      </c>
      <c r="CX127" s="64"/>
      <c r="CY127" s="67">
        <f>$E127</f>
        <v>1226767.8650299998</v>
      </c>
      <c r="CZ127" s="67">
        <f>$F127</f>
        <v>1284381.9724900001</v>
      </c>
      <c r="DA127" s="67">
        <f>$G127</f>
        <v>2562087.2941700001</v>
      </c>
      <c r="DB127" s="67">
        <f>$H127</f>
        <v>3325794.4621599996</v>
      </c>
      <c r="DC127" s="67">
        <f>$I127</f>
        <v>4201595.5350000001</v>
      </c>
      <c r="DD127" s="67">
        <f>$J127</f>
        <v>5076517.6180000007</v>
      </c>
      <c r="DE127" s="67">
        <f>$K127</f>
        <v>5757836.0058199996</v>
      </c>
      <c r="DF127" s="70">
        <f>$L127</f>
        <v>6273020.0723201148</v>
      </c>
      <c r="DG127" s="70">
        <f>$M127</f>
        <v>6314485.0692500789</v>
      </c>
      <c r="DH127" s="70">
        <f>$N127</f>
        <v>7135359.0317901243</v>
      </c>
      <c r="DI127" s="70">
        <f>$O127</f>
        <v>6761227.3906102004</v>
      </c>
      <c r="DJ127" s="70">
        <f>$P127</f>
        <v>7056958.0177602442</v>
      </c>
      <c r="DK127" s="70">
        <f>$Q127</f>
        <v>7186014.6069202023</v>
      </c>
      <c r="DL127" s="70">
        <f>$R127</f>
        <v>6745142.9991400242</v>
      </c>
      <c r="DM127" s="70">
        <f>$S127</f>
        <v>6623606.911420024</v>
      </c>
      <c r="DN127" s="70">
        <f>$T127</f>
        <v>6505403.2891100198</v>
      </c>
      <c r="DO127" s="70">
        <f>$U127</f>
        <v>6838789.4973500241</v>
      </c>
      <c r="DP127" s="70">
        <f>$V127</f>
        <v>6908075.0035100309</v>
      </c>
    </row>
    <row r="128" spans="2:120" x14ac:dyDescent="0.3">
      <c r="C128" s="71" t="s">
        <v>94</v>
      </c>
      <c r="D128" s="120">
        <v>14</v>
      </c>
      <c r="E128" s="69">
        <v>316236.26494000002</v>
      </c>
      <c r="F128" s="69">
        <v>159631.86079000001</v>
      </c>
      <c r="G128" s="69">
        <v>104599.59034</v>
      </c>
      <c r="H128" s="69">
        <v>59325.840860000004</v>
      </c>
      <c r="I128" s="69">
        <v>68188.449189999999</v>
      </c>
      <c r="J128" s="69">
        <v>46963.658580000003</v>
      </c>
      <c r="K128" s="69">
        <v>29328.222160000383</v>
      </c>
      <c r="L128" s="69">
        <v>31334.557849999997</v>
      </c>
      <c r="M128" s="69">
        <v>40362.801610000002</v>
      </c>
      <c r="N128" s="69">
        <v>47535.113599999997</v>
      </c>
      <c r="O128" s="69">
        <v>88536.711650000012</v>
      </c>
      <c r="P128" s="69">
        <v>43543.128570000001</v>
      </c>
      <c r="Q128" s="69">
        <v>38417.52493</v>
      </c>
      <c r="R128" s="69">
        <v>54206.297259999999</v>
      </c>
      <c r="S128" s="69">
        <v>64694.197669999994</v>
      </c>
      <c r="T128" s="69">
        <v>65984.308570000008</v>
      </c>
      <c r="U128" s="69">
        <v>118172.02563</v>
      </c>
      <c r="V128" s="69">
        <v>70510.863709999991</v>
      </c>
      <c r="W128" s="182">
        <f t="shared" si="215"/>
        <v>0.30078731206810327</v>
      </c>
      <c r="Y128" s="67">
        <f>$E128</f>
        <v>316236.26494000002</v>
      </c>
      <c r="Z128" s="67">
        <f>$F128</f>
        <v>159631.86079000001</v>
      </c>
      <c r="AA128" s="67">
        <f>$G128</f>
        <v>104599.59034</v>
      </c>
      <c r="AB128" s="67">
        <f>$H128</f>
        <v>59325.840860000004</v>
      </c>
      <c r="AC128" s="67">
        <f>$I128</f>
        <v>68188.449189999999</v>
      </c>
      <c r="AD128" s="67">
        <f>$J128</f>
        <v>46963.658580000003</v>
      </c>
      <c r="AE128" s="67">
        <f>$K128</f>
        <v>29328.222160000383</v>
      </c>
      <c r="AF128" s="70">
        <f>$L128</f>
        <v>31334.557849999997</v>
      </c>
      <c r="AG128" s="70">
        <f>$M128</f>
        <v>40362.801610000002</v>
      </c>
      <c r="AH128" s="70">
        <f>$N128</f>
        <v>47535.113599999997</v>
      </c>
      <c r="AI128" s="70">
        <f>$O128</f>
        <v>88536.711650000012</v>
      </c>
      <c r="AJ128" s="70">
        <f>$P128</f>
        <v>43543.128570000001</v>
      </c>
      <c r="AK128" s="70">
        <f>$Q128</f>
        <v>38417.52493</v>
      </c>
      <c r="AL128" s="70">
        <f>$R128</f>
        <v>54206.297259999999</v>
      </c>
      <c r="AM128" s="70">
        <f>$S128</f>
        <v>64694.197669999994</v>
      </c>
      <c r="AN128" s="70">
        <f>$T128</f>
        <v>65984.308570000008</v>
      </c>
      <c r="AO128" s="70">
        <f>$U128</f>
        <v>118172.02563</v>
      </c>
      <c r="AP128" s="70">
        <f>$V128</f>
        <v>70510.863709999991</v>
      </c>
      <c r="AQ128" s="182">
        <f>AP128/AL128-1</f>
        <v>0.30078731206810327</v>
      </c>
      <c r="AR128" s="64"/>
      <c r="AS128" s="67">
        <f>$E128</f>
        <v>316236.26494000002</v>
      </c>
      <c r="AT128" s="67">
        <f>$F128</f>
        <v>159631.86079000001</v>
      </c>
      <c r="AU128" s="67">
        <f>$G128</f>
        <v>104599.59034</v>
      </c>
      <c r="AV128" s="67">
        <f>$H128</f>
        <v>59325.840860000004</v>
      </c>
      <c r="AW128" s="67">
        <f>$I128</f>
        <v>68188.449189999999</v>
      </c>
      <c r="AX128" s="67">
        <f>$J128</f>
        <v>46963.658580000003</v>
      </c>
      <c r="AY128" s="67">
        <f>$K128</f>
        <v>29328.222160000383</v>
      </c>
      <c r="AZ128" s="70">
        <f>$L128</f>
        <v>31334.557849999997</v>
      </c>
      <c r="BA128" s="70">
        <f>$M128</f>
        <v>40362.801610000002</v>
      </c>
      <c r="BB128" s="70">
        <f>$N128</f>
        <v>47535.113599999997</v>
      </c>
      <c r="BC128" s="70">
        <f>$O128</f>
        <v>88536.711650000012</v>
      </c>
      <c r="BD128" s="70">
        <f>$P128</f>
        <v>43543.128570000001</v>
      </c>
      <c r="BE128" s="70">
        <f>$Q128</f>
        <v>38417.52493</v>
      </c>
      <c r="BF128" s="70">
        <f>$R128</f>
        <v>54206.297259999999</v>
      </c>
      <c r="BG128" s="70">
        <f>$S128</f>
        <v>64694.197669999994</v>
      </c>
      <c r="BH128" s="70">
        <f>$T128</f>
        <v>65984.308570000008</v>
      </c>
      <c r="BI128" s="70">
        <f>$U128</f>
        <v>118172.02563</v>
      </c>
      <c r="BJ128" s="70">
        <f>$V128</f>
        <v>70510.863709999991</v>
      </c>
      <c r="BK128" s="64"/>
      <c r="BL128" s="67">
        <f>$E128</f>
        <v>316236.26494000002</v>
      </c>
      <c r="BM128" s="67">
        <f>$F128</f>
        <v>159631.86079000001</v>
      </c>
      <c r="BN128" s="67">
        <f>$G128</f>
        <v>104599.59034</v>
      </c>
      <c r="BO128" s="67">
        <f>$H128</f>
        <v>59325.840860000004</v>
      </c>
      <c r="BP128" s="67">
        <f>$I128</f>
        <v>68188.449189999999</v>
      </c>
      <c r="BQ128" s="67">
        <f>$J128</f>
        <v>46963.658580000003</v>
      </c>
      <c r="BR128" s="67">
        <f>$K128</f>
        <v>29328.222160000383</v>
      </c>
      <c r="BS128" s="70">
        <f>$L128</f>
        <v>31334.557849999997</v>
      </c>
      <c r="BT128" s="70">
        <f>$M128</f>
        <v>40362.801610000002</v>
      </c>
      <c r="BU128" s="70">
        <f>$N128</f>
        <v>47535.113599999997</v>
      </c>
      <c r="BV128" s="70">
        <f>$O128</f>
        <v>88536.711650000012</v>
      </c>
      <c r="BW128" s="70">
        <f>$P128</f>
        <v>43543.128570000001</v>
      </c>
      <c r="BX128" s="70">
        <f>$Q128</f>
        <v>38417.52493</v>
      </c>
      <c r="BY128" s="70">
        <f>$R128</f>
        <v>54206.297259999999</v>
      </c>
      <c r="BZ128" s="70">
        <f>$S128</f>
        <v>64694.197669999994</v>
      </c>
      <c r="CA128" s="70">
        <f>$T128</f>
        <v>65984.308570000008</v>
      </c>
      <c r="CB128" s="70">
        <f>$U128</f>
        <v>118172.02563</v>
      </c>
      <c r="CC128" s="70">
        <f>$V128</f>
        <v>70510.863709999991</v>
      </c>
      <c r="CD128" s="64"/>
      <c r="CE128" s="67">
        <f>$E128</f>
        <v>316236.26494000002</v>
      </c>
      <c r="CF128" s="67">
        <f>$F128</f>
        <v>159631.86079000001</v>
      </c>
      <c r="CG128" s="67">
        <f>$G128</f>
        <v>104599.59034</v>
      </c>
      <c r="CH128" s="67">
        <f>$H128</f>
        <v>59325.840860000004</v>
      </c>
      <c r="CI128" s="67">
        <f>$I128</f>
        <v>68188.449189999999</v>
      </c>
      <c r="CJ128" s="67">
        <f>$J128</f>
        <v>46963.658580000003</v>
      </c>
      <c r="CK128" s="67">
        <f>$K128</f>
        <v>29328.222160000383</v>
      </c>
      <c r="CL128" s="70">
        <f>$L128</f>
        <v>31334.557849999997</v>
      </c>
      <c r="CM128" s="70">
        <f>$M128</f>
        <v>40362.801610000002</v>
      </c>
      <c r="CN128" s="70">
        <f>$N128</f>
        <v>47535.113599999997</v>
      </c>
      <c r="CO128" s="70">
        <f>$O128</f>
        <v>88536.711650000012</v>
      </c>
      <c r="CP128" s="70">
        <f>$P128</f>
        <v>43543.128570000001</v>
      </c>
      <c r="CQ128" s="70">
        <f>$Q128</f>
        <v>38417.52493</v>
      </c>
      <c r="CR128" s="70">
        <f>$R128</f>
        <v>54206.297259999999</v>
      </c>
      <c r="CS128" s="70">
        <f>$S128</f>
        <v>64694.197669999994</v>
      </c>
      <c r="CT128" s="70">
        <f>$T128</f>
        <v>65984.308570000008</v>
      </c>
      <c r="CU128" s="70">
        <f>$U128</f>
        <v>118172.02563</v>
      </c>
      <c r="CV128" s="70">
        <f>$V128</f>
        <v>70510.863709999991</v>
      </c>
      <c r="CW128" s="182">
        <f>CV128/CR128-1</f>
        <v>0.30078731206810327</v>
      </c>
      <c r="CX128" s="64"/>
      <c r="CY128" s="67">
        <f>$E128</f>
        <v>316236.26494000002</v>
      </c>
      <c r="CZ128" s="67">
        <f>$F128</f>
        <v>159631.86079000001</v>
      </c>
      <c r="DA128" s="67">
        <f>$G128</f>
        <v>104599.59034</v>
      </c>
      <c r="DB128" s="67">
        <f>$H128</f>
        <v>59325.840860000004</v>
      </c>
      <c r="DC128" s="67">
        <f>$I128</f>
        <v>68188.449189999999</v>
      </c>
      <c r="DD128" s="67">
        <f>$J128</f>
        <v>46963.658580000003</v>
      </c>
      <c r="DE128" s="67">
        <f>$K128</f>
        <v>29328.222160000383</v>
      </c>
      <c r="DF128" s="70">
        <f>$L128</f>
        <v>31334.557849999997</v>
      </c>
      <c r="DG128" s="70">
        <f>$M128</f>
        <v>40362.801610000002</v>
      </c>
      <c r="DH128" s="70">
        <f>$N128</f>
        <v>47535.113599999997</v>
      </c>
      <c r="DI128" s="70">
        <f>$O128</f>
        <v>88536.711650000012</v>
      </c>
      <c r="DJ128" s="70">
        <f>$P128</f>
        <v>43543.128570000001</v>
      </c>
      <c r="DK128" s="70">
        <f>$Q128</f>
        <v>38417.52493</v>
      </c>
      <c r="DL128" s="70">
        <f>$R128</f>
        <v>54206.297259999999</v>
      </c>
      <c r="DM128" s="70">
        <f>$S128</f>
        <v>64694.197669999994</v>
      </c>
      <c r="DN128" s="70">
        <f>$T128</f>
        <v>65984.308570000008</v>
      </c>
      <c r="DO128" s="70">
        <f>$U128</f>
        <v>118172.02563</v>
      </c>
      <c r="DP128" s="70">
        <f>$V128</f>
        <v>70510.863709999991</v>
      </c>
    </row>
    <row r="129" spans="2:120" x14ac:dyDescent="0.3">
      <c r="C129" s="101"/>
      <c r="D129" s="123"/>
      <c r="K129" s="42"/>
      <c r="L129" s="42"/>
      <c r="M129" s="42"/>
      <c r="N129" s="42"/>
      <c r="O129" s="42"/>
      <c r="P129" s="42"/>
      <c r="Q129" s="42"/>
    </row>
    <row r="130" spans="2:120" ht="13.5" thickBot="1" x14ac:dyDescent="0.35">
      <c r="C130" s="78" t="s">
        <v>141</v>
      </c>
      <c r="D130" s="124"/>
      <c r="E130" s="72">
        <f>E125+E122</f>
        <v>7314813.3695552135</v>
      </c>
      <c r="F130" s="72">
        <f>F125+F122</f>
        <v>7725564.446559187</v>
      </c>
      <c r="G130" s="72">
        <v>8728982.7301152796</v>
      </c>
      <c r="H130" s="72">
        <v>8967617.5293794423</v>
      </c>
      <c r="I130" s="72">
        <v>9640976.1110200007</v>
      </c>
      <c r="J130" s="72">
        <v>10311888.808560001</v>
      </c>
      <c r="K130" s="72">
        <v>11470226.851349998</v>
      </c>
      <c r="L130" s="72">
        <v>12383217.817350069</v>
      </c>
      <c r="M130" s="72">
        <v>13679060.082980046</v>
      </c>
      <c r="N130" s="72">
        <f t="shared" ref="N130:S130" si="399">N122+N125</f>
        <v>14839794.719189921</v>
      </c>
      <c r="O130" s="72">
        <f t="shared" si="399"/>
        <v>16786926.327620137</v>
      </c>
      <c r="P130" s="72">
        <f t="shared" si="399"/>
        <v>18129965.244738884</v>
      </c>
      <c r="Q130" s="72">
        <f t="shared" si="399"/>
        <v>19681585.071285892</v>
      </c>
      <c r="R130" s="72">
        <f t="shared" si="399"/>
        <v>21152644.472727984</v>
      </c>
      <c r="S130" s="72">
        <f t="shared" si="399"/>
        <v>20853539.925979976</v>
      </c>
      <c r="T130" s="72">
        <f>T122+T125</f>
        <v>20359741.338400785</v>
      </c>
      <c r="U130" s="72">
        <f>U122+U125</f>
        <v>20821755.747409988</v>
      </c>
      <c r="V130" s="72">
        <f>V122+V125</f>
        <v>21117509.090749994</v>
      </c>
      <c r="W130" s="200">
        <f t="shared" si="215"/>
        <v>-1.6610396881245881E-3</v>
      </c>
      <c r="Y130" s="72">
        <f t="shared" ref="Y130:AP130" si="400">Y125+Y122</f>
        <v>7314813.3695552135</v>
      </c>
      <c r="Z130" s="72">
        <f t="shared" si="400"/>
        <v>7725564.446559187</v>
      </c>
      <c r="AA130" s="72">
        <f t="shared" si="400"/>
        <v>8728982.7301152796</v>
      </c>
      <c r="AB130" s="72">
        <f t="shared" si="400"/>
        <v>8967617.5293794423</v>
      </c>
      <c r="AC130" s="72">
        <f t="shared" si="400"/>
        <v>9640976.1110200007</v>
      </c>
      <c r="AD130" s="72">
        <f t="shared" si="400"/>
        <v>10311888.808560001</v>
      </c>
      <c r="AE130" s="72">
        <f t="shared" si="400"/>
        <v>11470226.851349998</v>
      </c>
      <c r="AF130" s="72">
        <f t="shared" si="400"/>
        <v>12383217.817350069</v>
      </c>
      <c r="AG130" s="72">
        <f t="shared" si="400"/>
        <v>13679060.082980046</v>
      </c>
      <c r="AH130" s="72">
        <f t="shared" si="400"/>
        <v>14839794.719189921</v>
      </c>
      <c r="AI130" s="72">
        <f t="shared" si="400"/>
        <v>16786926.327620137</v>
      </c>
      <c r="AJ130" s="72">
        <f t="shared" si="400"/>
        <v>18129965.244738884</v>
      </c>
      <c r="AK130" s="72">
        <f t="shared" si="400"/>
        <v>19681585.071285892</v>
      </c>
      <c r="AL130" s="72">
        <f t="shared" si="400"/>
        <v>21152644.472727984</v>
      </c>
      <c r="AM130" s="72">
        <f t="shared" si="400"/>
        <v>20853539.925979976</v>
      </c>
      <c r="AN130" s="72">
        <f t="shared" si="400"/>
        <v>20359741.338400785</v>
      </c>
      <c r="AO130" s="72">
        <f t="shared" si="400"/>
        <v>20821755.747409988</v>
      </c>
      <c r="AP130" s="72">
        <f t="shared" si="400"/>
        <v>21117509.090749994</v>
      </c>
      <c r="AQ130" s="200">
        <f>AP130/AL130-1</f>
        <v>-1.6610396881245881E-3</v>
      </c>
      <c r="AS130" s="72">
        <f t="shared" ref="AS130:BJ130" si="401">AS125+AS122</f>
        <v>7314813.3695552135</v>
      </c>
      <c r="AT130" s="72">
        <f t="shared" si="401"/>
        <v>7725564.446559187</v>
      </c>
      <c r="AU130" s="72">
        <f t="shared" si="401"/>
        <v>8728982.7301152796</v>
      </c>
      <c r="AV130" s="72">
        <f t="shared" si="401"/>
        <v>8967617.5293794423</v>
      </c>
      <c r="AW130" s="72">
        <f t="shared" si="401"/>
        <v>9640976.1110200007</v>
      </c>
      <c r="AX130" s="72">
        <f t="shared" si="401"/>
        <v>10311888.808560001</v>
      </c>
      <c r="AY130" s="72">
        <f t="shared" si="401"/>
        <v>11470226.851349998</v>
      </c>
      <c r="AZ130" s="72">
        <f t="shared" si="401"/>
        <v>12383217.817350069</v>
      </c>
      <c r="BA130" s="72">
        <f t="shared" si="401"/>
        <v>13679060.082980046</v>
      </c>
      <c r="BB130" s="72">
        <f t="shared" si="401"/>
        <v>14839794.719189921</v>
      </c>
      <c r="BC130" s="72">
        <f t="shared" si="401"/>
        <v>16786926.327620137</v>
      </c>
      <c r="BD130" s="72">
        <f t="shared" si="401"/>
        <v>18129965.244738884</v>
      </c>
      <c r="BE130" s="72">
        <f t="shared" si="401"/>
        <v>19681585.071285892</v>
      </c>
      <c r="BF130" s="72">
        <f t="shared" si="401"/>
        <v>21152644.472727984</v>
      </c>
      <c r="BG130" s="72">
        <f t="shared" si="401"/>
        <v>20853539.925979976</v>
      </c>
      <c r="BH130" s="72">
        <f t="shared" si="401"/>
        <v>20359741.338400785</v>
      </c>
      <c r="BI130" s="72">
        <f t="shared" si="401"/>
        <v>20821755.747409988</v>
      </c>
      <c r="BJ130" s="72">
        <f t="shared" si="401"/>
        <v>21117509.090749994</v>
      </c>
      <c r="BL130" s="72">
        <f t="shared" ref="BL130:CC130" si="402">BL125+BL122</f>
        <v>7314813.3695552135</v>
      </c>
      <c r="BM130" s="72">
        <f t="shared" si="402"/>
        <v>7725564.446559187</v>
      </c>
      <c r="BN130" s="72">
        <f t="shared" si="402"/>
        <v>8728982.7301152796</v>
      </c>
      <c r="BO130" s="72">
        <f t="shared" si="402"/>
        <v>8967617.5293794423</v>
      </c>
      <c r="BP130" s="72">
        <f t="shared" si="402"/>
        <v>9640976.1110200007</v>
      </c>
      <c r="BQ130" s="72">
        <f t="shared" si="402"/>
        <v>10311888.808560001</v>
      </c>
      <c r="BR130" s="72">
        <f t="shared" si="402"/>
        <v>11470226.851349998</v>
      </c>
      <c r="BS130" s="72">
        <f t="shared" si="402"/>
        <v>12383217.817350069</v>
      </c>
      <c r="BT130" s="72">
        <f t="shared" si="402"/>
        <v>13679060.082980046</v>
      </c>
      <c r="BU130" s="72">
        <f t="shared" si="402"/>
        <v>14839794.719189921</v>
      </c>
      <c r="BV130" s="72">
        <f t="shared" si="402"/>
        <v>16786926.327620137</v>
      </c>
      <c r="BW130" s="72">
        <f t="shared" si="402"/>
        <v>18129965.244738884</v>
      </c>
      <c r="BX130" s="72">
        <f t="shared" si="402"/>
        <v>19681585.071285892</v>
      </c>
      <c r="BY130" s="72">
        <f t="shared" si="402"/>
        <v>21152644.472727984</v>
      </c>
      <c r="BZ130" s="72">
        <f t="shared" si="402"/>
        <v>20853539.925979976</v>
      </c>
      <c r="CA130" s="72">
        <f t="shared" si="402"/>
        <v>20359741.338400785</v>
      </c>
      <c r="CB130" s="72">
        <f t="shared" si="402"/>
        <v>20821755.747409988</v>
      </c>
      <c r="CC130" s="72">
        <f t="shared" si="402"/>
        <v>21117509.090749994</v>
      </c>
      <c r="CE130" s="72">
        <f t="shared" ref="CE130:CV130" si="403">CE125+CE122</f>
        <v>7314813.3695552135</v>
      </c>
      <c r="CF130" s="72">
        <f t="shared" si="403"/>
        <v>7725564.446559187</v>
      </c>
      <c r="CG130" s="72">
        <f t="shared" si="403"/>
        <v>8728982.7301152796</v>
      </c>
      <c r="CH130" s="72">
        <f t="shared" si="403"/>
        <v>8967617.5293794423</v>
      </c>
      <c r="CI130" s="72">
        <f t="shared" si="403"/>
        <v>9640976.1110200007</v>
      </c>
      <c r="CJ130" s="72">
        <f t="shared" si="403"/>
        <v>10311888.808560001</v>
      </c>
      <c r="CK130" s="72">
        <f t="shared" si="403"/>
        <v>11470226.851349998</v>
      </c>
      <c r="CL130" s="72">
        <f t="shared" si="403"/>
        <v>12383217.817350069</v>
      </c>
      <c r="CM130" s="72">
        <f t="shared" si="403"/>
        <v>13679060.082980046</v>
      </c>
      <c r="CN130" s="72">
        <f t="shared" si="403"/>
        <v>14839794.719189921</v>
      </c>
      <c r="CO130" s="72">
        <f t="shared" si="403"/>
        <v>16786926.327620137</v>
      </c>
      <c r="CP130" s="72">
        <f t="shared" si="403"/>
        <v>18129965.244738884</v>
      </c>
      <c r="CQ130" s="72">
        <f t="shared" si="403"/>
        <v>19681585.071285892</v>
      </c>
      <c r="CR130" s="72">
        <f t="shared" si="403"/>
        <v>21152644.472727984</v>
      </c>
      <c r="CS130" s="72">
        <f t="shared" si="403"/>
        <v>20853539.925979976</v>
      </c>
      <c r="CT130" s="72">
        <f t="shared" si="403"/>
        <v>20359741.338400785</v>
      </c>
      <c r="CU130" s="72">
        <f t="shared" si="403"/>
        <v>20821755.747409988</v>
      </c>
      <c r="CV130" s="72">
        <f t="shared" si="403"/>
        <v>21117509.090749994</v>
      </c>
      <c r="CW130" s="200">
        <f>CV130/CR130-1</f>
        <v>-1.6610396881245881E-3</v>
      </c>
      <c r="CY130" s="72">
        <f t="shared" ref="CY130:DP130" si="404">CY125+CY122</f>
        <v>7314813.3695552135</v>
      </c>
      <c r="CZ130" s="72">
        <f t="shared" si="404"/>
        <v>7725564.446559187</v>
      </c>
      <c r="DA130" s="72">
        <f t="shared" si="404"/>
        <v>8728982.7301152796</v>
      </c>
      <c r="DB130" s="72">
        <f t="shared" si="404"/>
        <v>8967617.5293794423</v>
      </c>
      <c r="DC130" s="72">
        <f t="shared" si="404"/>
        <v>9640976.1110200007</v>
      </c>
      <c r="DD130" s="72">
        <f t="shared" si="404"/>
        <v>10311888.808560001</v>
      </c>
      <c r="DE130" s="72">
        <f t="shared" si="404"/>
        <v>11470226.851349998</v>
      </c>
      <c r="DF130" s="72">
        <f t="shared" si="404"/>
        <v>12383217.817350069</v>
      </c>
      <c r="DG130" s="72">
        <f t="shared" si="404"/>
        <v>13679060.082980046</v>
      </c>
      <c r="DH130" s="72">
        <f t="shared" si="404"/>
        <v>14839794.719189921</v>
      </c>
      <c r="DI130" s="72">
        <f t="shared" si="404"/>
        <v>16786926.327620137</v>
      </c>
      <c r="DJ130" s="72">
        <f t="shared" si="404"/>
        <v>18129965.244738884</v>
      </c>
      <c r="DK130" s="72">
        <f t="shared" si="404"/>
        <v>19681585.071285892</v>
      </c>
      <c r="DL130" s="72">
        <f t="shared" si="404"/>
        <v>21152644.472727984</v>
      </c>
      <c r="DM130" s="72">
        <f t="shared" si="404"/>
        <v>20853539.925979976</v>
      </c>
      <c r="DN130" s="72">
        <f t="shared" si="404"/>
        <v>20359741.338400785</v>
      </c>
      <c r="DO130" s="72">
        <f t="shared" si="404"/>
        <v>20821755.747409988</v>
      </c>
      <c r="DP130" s="72">
        <f t="shared" si="404"/>
        <v>21117509.090749994</v>
      </c>
    </row>
    <row r="131" spans="2:120" x14ac:dyDescent="0.3">
      <c r="C131" s="39"/>
      <c r="D131" s="109"/>
      <c r="E131" s="41"/>
      <c r="F131" s="40"/>
      <c r="G131" s="40"/>
      <c r="H131" s="40"/>
      <c r="I131" s="40"/>
      <c r="J131" s="130"/>
      <c r="K131" s="219"/>
      <c r="L131" s="219"/>
      <c r="M131" s="219"/>
      <c r="N131" s="219"/>
      <c r="O131" s="219"/>
      <c r="P131" s="219"/>
      <c r="Q131" s="219"/>
      <c r="R131" s="131"/>
      <c r="S131" s="131"/>
      <c r="T131" s="131"/>
      <c r="U131" s="131"/>
      <c r="V131" s="131"/>
      <c r="W131" s="131"/>
      <c r="Y131" s="40"/>
      <c r="Z131" s="40"/>
      <c r="AA131" s="40"/>
      <c r="AB131" s="40"/>
      <c r="AC131" s="40"/>
      <c r="AD131" s="40"/>
      <c r="AE131" s="40"/>
      <c r="AF131" s="143"/>
      <c r="AG131" s="143"/>
      <c r="AH131" s="143"/>
      <c r="AI131" s="143"/>
      <c r="AJ131" s="143"/>
      <c r="AK131" s="143"/>
      <c r="AL131" s="130"/>
      <c r="AM131" s="143"/>
      <c r="AN131" s="143"/>
      <c r="AO131" s="143"/>
      <c r="AP131" s="143"/>
      <c r="AQ131" s="131"/>
      <c r="AS131" s="40"/>
      <c r="AT131" s="40"/>
      <c r="AU131" s="40"/>
      <c r="AV131" s="40"/>
      <c r="AW131" s="40"/>
      <c r="AX131" s="40"/>
      <c r="AY131" s="40"/>
      <c r="AZ131" s="143"/>
      <c r="BA131" s="143"/>
      <c r="BB131" s="143"/>
      <c r="BC131" s="143"/>
      <c r="BD131" s="143"/>
      <c r="BE131" s="143"/>
      <c r="BF131" s="130"/>
      <c r="BG131" s="143"/>
      <c r="BH131" s="143"/>
      <c r="BI131" s="143"/>
      <c r="BJ131" s="143"/>
      <c r="BL131" s="40"/>
      <c r="BM131" s="40"/>
      <c r="BN131" s="40"/>
      <c r="BO131" s="40"/>
      <c r="BP131" s="40"/>
      <c r="BQ131" s="40"/>
      <c r="BR131" s="40"/>
      <c r="BS131" s="143"/>
      <c r="BT131" s="143"/>
      <c r="BU131" s="143"/>
      <c r="BV131" s="143"/>
      <c r="BW131" s="143"/>
      <c r="BX131" s="143"/>
      <c r="BY131" s="130"/>
      <c r="BZ131" s="143"/>
      <c r="CA131" s="143"/>
      <c r="CB131" s="143"/>
      <c r="CC131" s="143"/>
      <c r="CE131" s="40"/>
      <c r="CF131" s="40"/>
      <c r="CG131" s="40"/>
      <c r="CH131" s="40"/>
      <c r="CI131" s="40"/>
      <c r="CJ131" s="40"/>
      <c r="CK131" s="40"/>
      <c r="CL131" s="143"/>
      <c r="CM131" s="143"/>
      <c r="CN131" s="143"/>
      <c r="CO131" s="143"/>
      <c r="CP131" s="143"/>
      <c r="CQ131" s="143"/>
      <c r="CR131" s="130"/>
      <c r="CS131" s="143"/>
      <c r="CT131" s="143"/>
      <c r="CU131" s="143"/>
      <c r="CV131" s="143"/>
      <c r="CW131" s="131"/>
      <c r="CY131" s="40"/>
      <c r="CZ131" s="40"/>
      <c r="DA131" s="40"/>
      <c r="DB131" s="40"/>
      <c r="DC131" s="40"/>
      <c r="DD131" s="40"/>
      <c r="DE131" s="40"/>
      <c r="DF131" s="143"/>
      <c r="DG131" s="143"/>
      <c r="DH131" s="143"/>
      <c r="DI131" s="143"/>
      <c r="DJ131" s="143"/>
      <c r="DK131" s="143"/>
      <c r="DL131" s="130"/>
      <c r="DM131" s="143"/>
      <c r="DN131" s="143"/>
      <c r="DO131" s="143"/>
      <c r="DP131" s="143"/>
    </row>
    <row r="132" spans="2:120" x14ac:dyDescent="0.3">
      <c r="C132" s="39"/>
      <c r="D132" s="109"/>
      <c r="E132" s="40"/>
      <c r="F132" s="40"/>
      <c r="G132" s="41"/>
      <c r="H132" s="41"/>
      <c r="I132" s="41"/>
      <c r="J132" s="40"/>
      <c r="K132" s="131"/>
      <c r="L132" s="41"/>
      <c r="M132" s="41"/>
      <c r="N132" s="41"/>
      <c r="O132" s="131"/>
      <c r="P132" s="131"/>
      <c r="Q132" s="131"/>
      <c r="R132" s="131"/>
      <c r="S132" s="131"/>
      <c r="T132" s="131"/>
      <c r="U132" s="131"/>
      <c r="V132" s="131"/>
      <c r="W132" s="169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169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  <c r="BF132" s="40"/>
      <c r="BG132" s="40"/>
      <c r="BH132" s="40"/>
      <c r="BI132" s="40"/>
      <c r="BJ132" s="40"/>
      <c r="BL132" s="40"/>
      <c r="BM132" s="40"/>
      <c r="BN132" s="40"/>
      <c r="BO132" s="40"/>
      <c r="BP132" s="40"/>
      <c r="BQ132" s="40"/>
      <c r="BR132" s="40"/>
      <c r="BS132" s="40"/>
      <c r="BT132" s="40"/>
      <c r="BU132" s="40"/>
      <c r="BV132" s="40"/>
      <c r="BW132" s="40"/>
      <c r="BX132" s="40"/>
      <c r="BY132" s="40"/>
      <c r="BZ132" s="40"/>
      <c r="CA132" s="40"/>
      <c r="CB132" s="40"/>
      <c r="CC132" s="40"/>
      <c r="CE132" s="40"/>
      <c r="CF132" s="40"/>
      <c r="CG132" s="40"/>
      <c r="CH132" s="40"/>
      <c r="CI132" s="40"/>
      <c r="CJ132" s="40"/>
      <c r="CK132" s="40"/>
      <c r="CL132" s="40"/>
      <c r="CM132" s="40"/>
      <c r="CN132" s="40"/>
      <c r="CO132" s="40"/>
      <c r="CP132" s="40"/>
      <c r="CQ132" s="40"/>
      <c r="CR132" s="40"/>
      <c r="CS132" s="40"/>
      <c r="CT132" s="40"/>
      <c r="CU132" s="40"/>
      <c r="CV132" s="40"/>
      <c r="CW132" s="169"/>
      <c r="CY132" s="40"/>
      <c r="CZ132" s="40"/>
      <c r="DA132" s="40"/>
      <c r="DB132" s="40"/>
      <c r="DC132" s="40"/>
      <c r="DD132" s="40"/>
      <c r="DE132" s="40"/>
      <c r="DF132" s="40"/>
      <c r="DG132" s="40"/>
      <c r="DH132" s="40"/>
      <c r="DI132" s="40"/>
      <c r="DJ132" s="40"/>
      <c r="DK132" s="40"/>
      <c r="DL132" s="40"/>
      <c r="DM132" s="40"/>
      <c r="DN132" s="40"/>
      <c r="DO132" s="40"/>
      <c r="DP132" s="40"/>
    </row>
    <row r="133" spans="2:120" x14ac:dyDescent="0.3">
      <c r="C133" s="39"/>
      <c r="D133" s="109"/>
      <c r="E133" s="40"/>
      <c r="F133" s="40"/>
      <c r="G133" s="41"/>
      <c r="H133" s="41"/>
      <c r="I133" s="130"/>
      <c r="J133" s="130"/>
      <c r="K133" s="130"/>
      <c r="L133" s="130"/>
      <c r="M133" s="130"/>
      <c r="N133" s="131"/>
      <c r="O133" s="131"/>
      <c r="P133" s="219"/>
      <c r="Q133" s="219"/>
      <c r="R133" s="219"/>
      <c r="S133" s="219"/>
      <c r="T133" s="219"/>
      <c r="U133" s="219"/>
      <c r="V133" s="219"/>
      <c r="W133" s="131"/>
      <c r="Y133" s="40"/>
      <c r="Z133" s="40"/>
      <c r="AA133" s="40"/>
      <c r="AB133" s="40"/>
      <c r="AC133" s="40"/>
      <c r="AD133" s="40"/>
      <c r="AE133" s="40"/>
      <c r="AF133" s="130"/>
      <c r="AG133" s="130"/>
      <c r="AH133" s="130"/>
      <c r="AI133" s="130"/>
      <c r="AJ133" s="130"/>
      <c r="AK133" s="130"/>
      <c r="AL133" s="130"/>
      <c r="AM133" s="130"/>
      <c r="AN133" s="130"/>
      <c r="AO133" s="130"/>
      <c r="AP133" s="130"/>
      <c r="AQ133" s="131"/>
      <c r="AS133" s="40"/>
      <c r="AT133" s="40"/>
      <c r="AU133" s="40"/>
      <c r="AV133" s="40"/>
      <c r="AW133" s="40"/>
      <c r="AX133" s="40"/>
      <c r="AY133" s="40"/>
      <c r="AZ133" s="130"/>
      <c r="BA133" s="130"/>
      <c r="BB133" s="130"/>
      <c r="BC133" s="130"/>
      <c r="BD133" s="130"/>
      <c r="BE133" s="130"/>
      <c r="BF133" s="130"/>
      <c r="BG133" s="130"/>
      <c r="BH133" s="130"/>
      <c r="BI133" s="130"/>
      <c r="BJ133" s="130"/>
      <c r="BL133" s="40"/>
      <c r="BM133" s="40"/>
      <c r="BN133" s="40"/>
      <c r="BO133" s="40"/>
      <c r="BP133" s="40"/>
      <c r="BQ133" s="40"/>
      <c r="BR133" s="40"/>
      <c r="BS133" s="130"/>
      <c r="BT133" s="130"/>
      <c r="BU133" s="130"/>
      <c r="BV133" s="130"/>
      <c r="BW133" s="130"/>
      <c r="BX133" s="130"/>
      <c r="BY133" s="130"/>
      <c r="BZ133" s="130"/>
      <c r="CA133" s="130"/>
      <c r="CB133" s="130"/>
      <c r="CC133" s="130"/>
      <c r="CE133" s="40"/>
      <c r="CF133" s="40"/>
      <c r="CG133" s="40"/>
      <c r="CH133" s="40"/>
      <c r="CI133" s="40"/>
      <c r="CJ133" s="40"/>
      <c r="CK133" s="40"/>
      <c r="CL133" s="130"/>
      <c r="CM133" s="130"/>
      <c r="CN133" s="130"/>
      <c r="CO133" s="130"/>
      <c r="CP133" s="130"/>
      <c r="CQ133" s="130"/>
      <c r="CR133" s="130"/>
      <c r="CS133" s="130"/>
      <c r="CT133" s="130"/>
      <c r="CU133" s="130"/>
      <c r="CV133" s="130"/>
      <c r="CW133" s="131"/>
      <c r="CY133" s="40"/>
      <c r="CZ133" s="40"/>
      <c r="DA133" s="40"/>
      <c r="DB133" s="40"/>
      <c r="DC133" s="40"/>
      <c r="DD133" s="40"/>
      <c r="DE133" s="40"/>
      <c r="DF133" s="130"/>
      <c r="DG133" s="130"/>
      <c r="DH133" s="130"/>
      <c r="DI133" s="130"/>
      <c r="DJ133" s="130"/>
      <c r="DK133" s="130"/>
      <c r="DL133" s="130"/>
      <c r="DM133" s="130"/>
      <c r="DN133" s="130"/>
      <c r="DO133" s="130"/>
      <c r="DP133" s="130"/>
    </row>
    <row r="134" spans="2:120" s="85" customFormat="1" x14ac:dyDescent="0.3">
      <c r="B134" s="84"/>
      <c r="C134" s="63" t="s">
        <v>125</v>
      </c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186"/>
      <c r="Y134" s="63"/>
      <c r="Z134" s="63"/>
      <c r="AA134" s="63"/>
      <c r="AB134" s="63"/>
      <c r="AC134" s="63"/>
      <c r="AD134" s="63"/>
      <c r="AE134" s="63"/>
      <c r="AF134" s="63"/>
      <c r="AG134" s="63"/>
      <c r="AH134" s="63"/>
      <c r="AI134" s="63"/>
      <c r="AJ134" s="63"/>
      <c r="AK134" s="63"/>
      <c r="AL134" s="63"/>
      <c r="AM134" s="63"/>
      <c r="AN134" s="63"/>
      <c r="AO134" s="63"/>
      <c r="AP134" s="63"/>
      <c r="AQ134" s="186"/>
      <c r="AS134" s="63"/>
      <c r="AT134" s="63"/>
      <c r="AU134" s="63"/>
      <c r="AV134" s="63"/>
      <c r="AW134" s="63"/>
      <c r="AX134" s="63"/>
      <c r="AY134" s="63"/>
      <c r="AZ134" s="63"/>
      <c r="BA134" s="63"/>
      <c r="BB134" s="63"/>
      <c r="BC134" s="63"/>
      <c r="BD134" s="63"/>
      <c r="BE134" s="63"/>
      <c r="BF134" s="63"/>
      <c r="BG134" s="63"/>
      <c r="BH134" s="63"/>
      <c r="BI134" s="63"/>
      <c r="BJ134" s="63"/>
      <c r="BL134" s="63"/>
      <c r="BM134" s="63"/>
      <c r="BN134" s="63"/>
      <c r="BO134" s="63"/>
      <c r="BP134" s="63"/>
      <c r="BQ134" s="63"/>
      <c r="BR134" s="63"/>
      <c r="BS134" s="63"/>
      <c r="BT134" s="63"/>
      <c r="BU134" s="63"/>
      <c r="BV134" s="63"/>
      <c r="BW134" s="63"/>
      <c r="BX134" s="63"/>
      <c r="BY134" s="63"/>
      <c r="BZ134" s="63"/>
      <c r="CA134" s="63"/>
      <c r="CB134" s="63"/>
      <c r="CC134" s="63"/>
      <c r="CE134" s="63"/>
      <c r="CF134" s="63"/>
      <c r="CG134" s="63"/>
      <c r="CH134" s="63"/>
      <c r="CI134" s="63"/>
      <c r="CJ134" s="63"/>
      <c r="CK134" s="63"/>
      <c r="CL134" s="63"/>
      <c r="CM134" s="63"/>
      <c r="CN134" s="63"/>
      <c r="CO134" s="63"/>
      <c r="CP134" s="63"/>
      <c r="CQ134" s="63"/>
      <c r="CR134" s="63"/>
      <c r="CS134" s="63"/>
      <c r="CT134" s="63"/>
      <c r="CU134" s="63"/>
      <c r="CV134" s="63"/>
      <c r="CW134" s="186"/>
      <c r="CY134" s="63"/>
      <c r="CZ134" s="63"/>
      <c r="DA134" s="63"/>
      <c r="DB134" s="63"/>
      <c r="DC134" s="63"/>
      <c r="DD134" s="63"/>
      <c r="DE134" s="63"/>
      <c r="DF134" s="63"/>
      <c r="DG134" s="63"/>
      <c r="DH134" s="63"/>
      <c r="DI134" s="63"/>
      <c r="DJ134" s="63"/>
      <c r="DK134" s="63"/>
      <c r="DL134" s="63"/>
      <c r="DM134" s="63"/>
      <c r="DN134" s="63"/>
      <c r="DO134" s="63"/>
      <c r="DP134" s="63"/>
    </row>
    <row r="135" spans="2:120" x14ac:dyDescent="0.3">
      <c r="C135" s="99" t="s">
        <v>124</v>
      </c>
      <c r="D135" s="125"/>
      <c r="E135" s="47">
        <f t="shared" ref="E135:V135" si="405">SUM(E136:E141)</f>
        <v>0</v>
      </c>
      <c r="F135" s="47">
        <f t="shared" si="405"/>
        <v>1187794.1515891498</v>
      </c>
      <c r="G135" s="47">
        <f t="shared" si="405"/>
        <v>1536994.1444975624</v>
      </c>
      <c r="H135" s="47">
        <f t="shared" si="405"/>
        <v>1513345.3428665702</v>
      </c>
      <c r="I135" s="47">
        <f t="shared" si="405"/>
        <v>1646423.8930906665</v>
      </c>
      <c r="J135" s="47">
        <f t="shared" si="405"/>
        <v>1814207.001959</v>
      </c>
      <c r="K135" s="47">
        <f t="shared" si="405"/>
        <v>2412577.949389</v>
      </c>
      <c r="L135" s="47">
        <f t="shared" si="405"/>
        <v>2584351.5255880398</v>
      </c>
      <c r="M135" s="47">
        <f t="shared" si="405"/>
        <v>3156862.0384793598</v>
      </c>
      <c r="N135" s="47">
        <f t="shared" si="405"/>
        <v>3044988.7412800002</v>
      </c>
      <c r="O135" s="47">
        <f t="shared" si="405"/>
        <v>4077312.99940251</v>
      </c>
      <c r="P135" s="47">
        <f t="shared" si="405"/>
        <v>3752082.8140854798</v>
      </c>
      <c r="Q135" s="47">
        <f t="shared" si="405"/>
        <v>4111631.6020198097</v>
      </c>
      <c r="R135" s="47">
        <f t="shared" si="405"/>
        <v>4499093.5467946893</v>
      </c>
      <c r="S135" s="47">
        <f t="shared" si="405"/>
        <v>2571162.7199487998</v>
      </c>
      <c r="T135" s="47">
        <f t="shared" si="405"/>
        <v>2159609.7029400002</v>
      </c>
      <c r="U135" s="47">
        <f t="shared" si="405"/>
        <v>3478289.434369999</v>
      </c>
      <c r="V135" s="47">
        <f t="shared" si="405"/>
        <v>3248345.96460984</v>
      </c>
      <c r="W135" s="173">
        <f t="shared" ref="W135:W184" si="406">V135/R135-1</f>
        <v>-0.27799990579789691</v>
      </c>
      <c r="Y135" s="47">
        <f t="shared" ref="Y135:AP135" si="407">SUM(Y136:Y141)</f>
        <v>0</v>
      </c>
      <c r="Z135" s="47">
        <f t="shared" si="407"/>
        <v>1187794.1515891498</v>
      </c>
      <c r="AA135" s="47">
        <f t="shared" si="407"/>
        <v>1536994.1444975624</v>
      </c>
      <c r="AB135" s="47">
        <f t="shared" si="407"/>
        <v>1513345.3428665702</v>
      </c>
      <c r="AC135" s="47">
        <f t="shared" si="407"/>
        <v>1646423.8930906665</v>
      </c>
      <c r="AD135" s="47">
        <f t="shared" si="407"/>
        <v>1814207.001959</v>
      </c>
      <c r="AE135" s="47">
        <f t="shared" si="407"/>
        <v>2412577.949389</v>
      </c>
      <c r="AF135" s="47">
        <f t="shared" si="407"/>
        <v>2584351.5255880398</v>
      </c>
      <c r="AG135" s="47">
        <f t="shared" si="407"/>
        <v>3156862.0384793598</v>
      </c>
      <c r="AH135" s="47">
        <f t="shared" si="407"/>
        <v>3044988.7412800002</v>
      </c>
      <c r="AI135" s="47">
        <f t="shared" si="407"/>
        <v>4077312.99940251</v>
      </c>
      <c r="AJ135" s="47">
        <f t="shared" si="407"/>
        <v>3752082.8140854798</v>
      </c>
      <c r="AK135" s="47">
        <f t="shared" si="407"/>
        <v>4111631.6020198097</v>
      </c>
      <c r="AL135" s="47">
        <f t="shared" si="407"/>
        <v>4499093.5467946893</v>
      </c>
      <c r="AM135" s="47">
        <f t="shared" si="407"/>
        <v>2571162.7199487998</v>
      </c>
      <c r="AN135" s="47">
        <f t="shared" si="407"/>
        <v>2159609.7029400002</v>
      </c>
      <c r="AO135" s="47">
        <f t="shared" si="407"/>
        <v>3478289.434369999</v>
      </c>
      <c r="AP135" s="47">
        <f t="shared" si="407"/>
        <v>3248345.96460984</v>
      </c>
      <c r="AQ135" s="173">
        <f t="shared" ref="AQ135:AQ141" si="408">AP135/AL135-1</f>
        <v>-0.27799990579789691</v>
      </c>
      <c r="AS135" s="47">
        <f t="shared" ref="AS135:BJ135" si="409">SUM(AS136:AS141)</f>
        <v>0</v>
      </c>
      <c r="AT135" s="47">
        <f t="shared" si="409"/>
        <v>1187794.1515891498</v>
      </c>
      <c r="AU135" s="47">
        <f t="shared" si="409"/>
        <v>1536994.1444975624</v>
      </c>
      <c r="AV135" s="47">
        <f t="shared" si="409"/>
        <v>1513345.3428665702</v>
      </c>
      <c r="AW135" s="47">
        <f t="shared" si="409"/>
        <v>1646423.8930906665</v>
      </c>
      <c r="AX135" s="47">
        <f t="shared" si="409"/>
        <v>1814207.001959</v>
      </c>
      <c r="AY135" s="47">
        <f t="shared" si="409"/>
        <v>2412577.949389</v>
      </c>
      <c r="AZ135" s="47">
        <f t="shared" si="409"/>
        <v>2584351.5255880398</v>
      </c>
      <c r="BA135" s="47">
        <f t="shared" si="409"/>
        <v>3156862.0384793598</v>
      </c>
      <c r="BB135" s="47">
        <f t="shared" si="409"/>
        <v>3044988.7412800002</v>
      </c>
      <c r="BC135" s="47">
        <f t="shared" si="409"/>
        <v>4077312.99940251</v>
      </c>
      <c r="BD135" s="47">
        <f t="shared" si="409"/>
        <v>3752082.8140854798</v>
      </c>
      <c r="BE135" s="47">
        <f t="shared" si="409"/>
        <v>4111631.6020198097</v>
      </c>
      <c r="BF135" s="47">
        <f t="shared" si="409"/>
        <v>4499093.5467946893</v>
      </c>
      <c r="BG135" s="47">
        <f t="shared" si="409"/>
        <v>2571162.7199487998</v>
      </c>
      <c r="BH135" s="47">
        <f t="shared" si="409"/>
        <v>2159609.7029400002</v>
      </c>
      <c r="BI135" s="47">
        <f t="shared" si="409"/>
        <v>3478289.434369999</v>
      </c>
      <c r="BJ135" s="47">
        <f t="shared" si="409"/>
        <v>3248345.96460984</v>
      </c>
      <c r="BL135" s="47">
        <f t="shared" ref="BL135:CC135" si="410">SUM(BL136:BL141)</f>
        <v>0</v>
      </c>
      <c r="BM135" s="47">
        <f t="shared" si="410"/>
        <v>1187794.1515891498</v>
      </c>
      <c r="BN135" s="47">
        <f t="shared" si="410"/>
        <v>1536994.1444975624</v>
      </c>
      <c r="BO135" s="47">
        <f t="shared" si="410"/>
        <v>1513345.3428665702</v>
      </c>
      <c r="BP135" s="47">
        <f t="shared" si="410"/>
        <v>1646423.8930906665</v>
      </c>
      <c r="BQ135" s="47">
        <f t="shared" si="410"/>
        <v>1814207.001959</v>
      </c>
      <c r="BR135" s="47">
        <f t="shared" si="410"/>
        <v>2412577.949389</v>
      </c>
      <c r="BS135" s="47">
        <f t="shared" si="410"/>
        <v>2584351.5255880398</v>
      </c>
      <c r="BT135" s="47">
        <f t="shared" si="410"/>
        <v>3156862.0384793598</v>
      </c>
      <c r="BU135" s="47">
        <f t="shared" si="410"/>
        <v>3044988.7412800002</v>
      </c>
      <c r="BV135" s="47">
        <f t="shared" si="410"/>
        <v>4077312.99940251</v>
      </c>
      <c r="BW135" s="47">
        <f t="shared" si="410"/>
        <v>3752082.8140854798</v>
      </c>
      <c r="BX135" s="47">
        <f t="shared" si="410"/>
        <v>4111631.6020198097</v>
      </c>
      <c r="BY135" s="47">
        <f t="shared" si="410"/>
        <v>4499093.5467946893</v>
      </c>
      <c r="BZ135" s="47">
        <f t="shared" si="410"/>
        <v>2571162.7199487998</v>
      </c>
      <c r="CA135" s="47">
        <f t="shared" si="410"/>
        <v>2159609.7029400002</v>
      </c>
      <c r="CB135" s="47">
        <f t="shared" si="410"/>
        <v>3478289.434369999</v>
      </c>
      <c r="CC135" s="47">
        <f t="shared" si="410"/>
        <v>3248345.96460984</v>
      </c>
      <c r="CE135" s="47">
        <f t="shared" ref="CE135:CV135" si="411">SUM(CE136:CE141)</f>
        <v>0</v>
      </c>
      <c r="CF135" s="47">
        <f t="shared" si="411"/>
        <v>1187794.1515891498</v>
      </c>
      <c r="CG135" s="47">
        <f t="shared" si="411"/>
        <v>1536994.1444975624</v>
      </c>
      <c r="CH135" s="47">
        <f t="shared" si="411"/>
        <v>1513345.3428665702</v>
      </c>
      <c r="CI135" s="47">
        <f t="shared" si="411"/>
        <v>1646423.8930906665</v>
      </c>
      <c r="CJ135" s="47">
        <f t="shared" si="411"/>
        <v>1814207.001959</v>
      </c>
      <c r="CK135" s="47">
        <f t="shared" si="411"/>
        <v>2412577.949389</v>
      </c>
      <c r="CL135" s="47">
        <f t="shared" si="411"/>
        <v>2584351.5255880398</v>
      </c>
      <c r="CM135" s="47">
        <f t="shared" si="411"/>
        <v>3156862.0384793598</v>
      </c>
      <c r="CN135" s="47">
        <f t="shared" si="411"/>
        <v>3044988.7412800002</v>
      </c>
      <c r="CO135" s="47">
        <f t="shared" si="411"/>
        <v>4077312.99940251</v>
      </c>
      <c r="CP135" s="47">
        <f t="shared" si="411"/>
        <v>3752082.8140854798</v>
      </c>
      <c r="CQ135" s="47">
        <f t="shared" si="411"/>
        <v>4111631.6020198097</v>
      </c>
      <c r="CR135" s="47">
        <f t="shared" si="411"/>
        <v>4499093.5467946893</v>
      </c>
      <c r="CS135" s="47">
        <f t="shared" si="411"/>
        <v>2571162.7199487998</v>
      </c>
      <c r="CT135" s="47">
        <f t="shared" si="411"/>
        <v>2159609.7029400002</v>
      </c>
      <c r="CU135" s="47">
        <f t="shared" si="411"/>
        <v>3478289.434369999</v>
      </c>
      <c r="CV135" s="47">
        <f t="shared" si="411"/>
        <v>3248345.96460984</v>
      </c>
      <c r="CW135" s="173">
        <f t="shared" ref="CW135:CW141" si="412">CV135/CR135-1</f>
        <v>-0.27799990579789691</v>
      </c>
      <c r="CY135" s="47">
        <f t="shared" ref="CY135:DP135" si="413">SUM(CY136:CY141)</f>
        <v>0</v>
      </c>
      <c r="CZ135" s="47">
        <f t="shared" si="413"/>
        <v>1187794.1515891498</v>
      </c>
      <c r="DA135" s="47">
        <f t="shared" si="413"/>
        <v>1536994.1444975624</v>
      </c>
      <c r="DB135" s="47">
        <f t="shared" si="413"/>
        <v>1513345.3428665702</v>
      </c>
      <c r="DC135" s="47">
        <f t="shared" si="413"/>
        <v>1646423.8930906665</v>
      </c>
      <c r="DD135" s="47">
        <f t="shared" si="413"/>
        <v>1814207.001959</v>
      </c>
      <c r="DE135" s="47">
        <f t="shared" si="413"/>
        <v>2412577.949389</v>
      </c>
      <c r="DF135" s="47">
        <f t="shared" si="413"/>
        <v>2584351.5255880398</v>
      </c>
      <c r="DG135" s="47">
        <f t="shared" si="413"/>
        <v>3156862.0384793598</v>
      </c>
      <c r="DH135" s="47">
        <f t="shared" si="413"/>
        <v>3044988.7412800002</v>
      </c>
      <c r="DI135" s="47">
        <f t="shared" si="413"/>
        <v>4077312.99940251</v>
      </c>
      <c r="DJ135" s="47">
        <f t="shared" si="413"/>
        <v>3752082.8140854798</v>
      </c>
      <c r="DK135" s="47">
        <f t="shared" si="413"/>
        <v>4111631.6020198097</v>
      </c>
      <c r="DL135" s="47">
        <f t="shared" si="413"/>
        <v>4499093.5467946893</v>
      </c>
      <c r="DM135" s="47">
        <f t="shared" si="413"/>
        <v>2571162.7199487998</v>
      </c>
      <c r="DN135" s="47">
        <f t="shared" si="413"/>
        <v>2159609.7029400002</v>
      </c>
      <c r="DO135" s="47">
        <f t="shared" si="413"/>
        <v>3478289.434369999</v>
      </c>
      <c r="DP135" s="47">
        <f t="shared" si="413"/>
        <v>3248345.96460984</v>
      </c>
    </row>
    <row r="136" spans="2:120" x14ac:dyDescent="0.3">
      <c r="C136" s="65" t="s">
        <v>117</v>
      </c>
      <c r="D136" s="77"/>
      <c r="E136" s="97"/>
      <c r="F136" s="97">
        <v>863755.81722999981</v>
      </c>
      <c r="G136" s="97">
        <v>970679.27377000009</v>
      </c>
      <c r="H136" s="97">
        <v>975941.38887999987</v>
      </c>
      <c r="I136" s="97">
        <v>1024378.16539</v>
      </c>
      <c r="J136" s="97">
        <v>990135.51027000009</v>
      </c>
      <c r="K136" s="97">
        <v>1115680.6207900001</v>
      </c>
      <c r="L136" s="97">
        <v>1025404.6468608299</v>
      </c>
      <c r="M136" s="97">
        <v>1201770.7508320501</v>
      </c>
      <c r="N136" s="97">
        <v>1323923.89482</v>
      </c>
      <c r="O136" s="97">
        <v>2129688.4357499997</v>
      </c>
      <c r="P136" s="97">
        <v>2103692.5744400001</v>
      </c>
      <c r="Q136" s="97">
        <v>2408975.2420000001</v>
      </c>
      <c r="R136" s="97">
        <v>2612055.2518999996</v>
      </c>
      <c r="S136" s="97">
        <v>1423947.9509999999</v>
      </c>
      <c r="T136" s="97">
        <v>1075920.402</v>
      </c>
      <c r="U136" s="97">
        <v>1940187.07237</v>
      </c>
      <c r="V136" s="97">
        <v>1638274.6441200001</v>
      </c>
      <c r="W136" s="190">
        <f t="shared" si="406"/>
        <v>-0.37280245395715694</v>
      </c>
      <c r="X136" s="230">
        <f>U136-'[1]Earnings Release'!AD145</f>
        <v>-40652.310000000056</v>
      </c>
      <c r="Y136" s="67">
        <f t="shared" ref="Y136:Y141" si="414">$E136</f>
        <v>0</v>
      </c>
      <c r="Z136" s="67">
        <f t="shared" ref="Z136:Z141" si="415">$F136</f>
        <v>863755.81722999981</v>
      </c>
      <c r="AA136" s="67">
        <f t="shared" ref="AA136:AA141" si="416">$G136</f>
        <v>970679.27377000009</v>
      </c>
      <c r="AB136" s="67">
        <f t="shared" ref="AB136:AB141" si="417">$H136</f>
        <v>975941.38887999987</v>
      </c>
      <c r="AC136" s="67">
        <f t="shared" ref="AC136:AC141" si="418">$I136</f>
        <v>1024378.16539</v>
      </c>
      <c r="AD136" s="67">
        <f t="shared" ref="AD136:AD141" si="419">$J136</f>
        <v>990135.51027000009</v>
      </c>
      <c r="AE136" s="67">
        <f t="shared" ref="AE136:AE141" si="420">$K136</f>
        <v>1115680.6207900001</v>
      </c>
      <c r="AF136" s="158">
        <f t="shared" ref="AF136:AF141" si="421">$L136</f>
        <v>1025404.6468608299</v>
      </c>
      <c r="AG136" s="158">
        <f t="shared" ref="AG136:AG141" si="422">$M136</f>
        <v>1201770.7508320501</v>
      </c>
      <c r="AH136" s="158">
        <f t="shared" ref="AH136:AH141" si="423">$N136</f>
        <v>1323923.89482</v>
      </c>
      <c r="AI136" s="158">
        <f t="shared" ref="AI136:AI141" si="424">$O136</f>
        <v>2129688.4357499997</v>
      </c>
      <c r="AJ136" s="158">
        <f t="shared" ref="AJ136:AJ141" si="425">$P136</f>
        <v>2103692.5744400001</v>
      </c>
      <c r="AK136" s="158">
        <f t="shared" ref="AK136:AK141" si="426">$Q136</f>
        <v>2408975.2420000001</v>
      </c>
      <c r="AL136" s="158">
        <f t="shared" ref="AL136:AL141" si="427">$R136</f>
        <v>2612055.2518999996</v>
      </c>
      <c r="AM136" s="158">
        <f t="shared" ref="AM136:AM141" si="428">$S136</f>
        <v>1423947.9509999999</v>
      </c>
      <c r="AN136" s="158">
        <f t="shared" ref="AN136:AN141" si="429">$T136</f>
        <v>1075920.402</v>
      </c>
      <c r="AO136" s="158">
        <f t="shared" ref="AO136:AO141" si="430">$U136</f>
        <v>1940187.07237</v>
      </c>
      <c r="AP136" s="158">
        <f t="shared" ref="AP136:AP141" si="431">$V136</f>
        <v>1638274.6441200001</v>
      </c>
      <c r="AQ136" s="190">
        <f t="shared" si="408"/>
        <v>-0.37280245395715694</v>
      </c>
      <c r="AR136" s="64"/>
      <c r="AS136" s="67">
        <f t="shared" ref="AS136:AS141" si="432">$E136</f>
        <v>0</v>
      </c>
      <c r="AT136" s="67">
        <f t="shared" ref="AT136:AT141" si="433">$F136</f>
        <v>863755.81722999981</v>
      </c>
      <c r="AU136" s="67">
        <f t="shared" ref="AU136:AU141" si="434">$G136</f>
        <v>970679.27377000009</v>
      </c>
      <c r="AV136" s="67">
        <f t="shared" ref="AV136:AV141" si="435">$H136</f>
        <v>975941.38887999987</v>
      </c>
      <c r="AW136" s="67">
        <f t="shared" ref="AW136:AW141" si="436">$I136</f>
        <v>1024378.16539</v>
      </c>
      <c r="AX136" s="67">
        <f t="shared" ref="AX136:AX141" si="437">$J136</f>
        <v>990135.51027000009</v>
      </c>
      <c r="AY136" s="67">
        <f t="shared" ref="AY136:AY141" si="438">$K136</f>
        <v>1115680.6207900001</v>
      </c>
      <c r="AZ136" s="158">
        <f t="shared" ref="AZ136:AZ141" si="439">$L136</f>
        <v>1025404.6468608299</v>
      </c>
      <c r="BA136" s="158">
        <f t="shared" ref="BA136:BA141" si="440">$M136</f>
        <v>1201770.7508320501</v>
      </c>
      <c r="BB136" s="158">
        <f t="shared" ref="BB136:BB141" si="441">$N136</f>
        <v>1323923.89482</v>
      </c>
      <c r="BC136" s="158">
        <f t="shared" ref="BC136:BC141" si="442">$O136</f>
        <v>2129688.4357499997</v>
      </c>
      <c r="BD136" s="158">
        <f t="shared" ref="BD136:BD141" si="443">$P136</f>
        <v>2103692.5744400001</v>
      </c>
      <c r="BE136" s="158">
        <f t="shared" ref="BE136:BE141" si="444">$Q136</f>
        <v>2408975.2420000001</v>
      </c>
      <c r="BF136" s="158">
        <f t="shared" ref="BF136:BF141" si="445">$R136</f>
        <v>2612055.2518999996</v>
      </c>
      <c r="BG136" s="158">
        <f t="shared" ref="BG136:BG141" si="446">$S136</f>
        <v>1423947.9509999999</v>
      </c>
      <c r="BH136" s="158">
        <f t="shared" ref="BH136:BH141" si="447">$T136</f>
        <v>1075920.402</v>
      </c>
      <c r="BI136" s="158">
        <f t="shared" ref="BI136:BI141" si="448">$U136</f>
        <v>1940187.07237</v>
      </c>
      <c r="BJ136" s="158">
        <f t="shared" ref="BJ136:BJ141" si="449">$V136</f>
        <v>1638274.6441200001</v>
      </c>
      <c r="BK136" s="64"/>
      <c r="BL136" s="67">
        <f t="shared" ref="BL136:BL141" si="450">$E136</f>
        <v>0</v>
      </c>
      <c r="BM136" s="67">
        <f t="shared" ref="BM136:BM141" si="451">$F136</f>
        <v>863755.81722999981</v>
      </c>
      <c r="BN136" s="67">
        <f t="shared" ref="BN136:BN141" si="452">$G136</f>
        <v>970679.27377000009</v>
      </c>
      <c r="BO136" s="67">
        <f t="shared" ref="BO136:BO141" si="453">$H136</f>
        <v>975941.38887999987</v>
      </c>
      <c r="BP136" s="67">
        <f t="shared" ref="BP136:BP141" si="454">$I136</f>
        <v>1024378.16539</v>
      </c>
      <c r="BQ136" s="67">
        <f t="shared" ref="BQ136:BQ141" si="455">$J136</f>
        <v>990135.51027000009</v>
      </c>
      <c r="BR136" s="67">
        <f t="shared" ref="BR136:BR141" si="456">$K136</f>
        <v>1115680.6207900001</v>
      </c>
      <c r="BS136" s="158">
        <f t="shared" ref="BS136:BS141" si="457">$L136</f>
        <v>1025404.6468608299</v>
      </c>
      <c r="BT136" s="158">
        <f t="shared" ref="BT136:BT141" si="458">$M136</f>
        <v>1201770.7508320501</v>
      </c>
      <c r="BU136" s="158">
        <f t="shared" ref="BU136:BU141" si="459">$N136</f>
        <v>1323923.89482</v>
      </c>
      <c r="BV136" s="158">
        <f t="shared" ref="BV136:BV141" si="460">$O136</f>
        <v>2129688.4357499997</v>
      </c>
      <c r="BW136" s="158">
        <f t="shared" ref="BW136:BW141" si="461">$P136</f>
        <v>2103692.5744400001</v>
      </c>
      <c r="BX136" s="158">
        <f t="shared" ref="BX136:BX141" si="462">$Q136</f>
        <v>2408975.2420000001</v>
      </c>
      <c r="BY136" s="158">
        <f t="shared" ref="BY136:BY141" si="463">$R136</f>
        <v>2612055.2518999996</v>
      </c>
      <c r="BZ136" s="158">
        <f t="shared" ref="BZ136:BZ141" si="464">$S136</f>
        <v>1423947.9509999999</v>
      </c>
      <c r="CA136" s="158">
        <f t="shared" ref="CA136:CA141" si="465">$T136</f>
        <v>1075920.402</v>
      </c>
      <c r="CB136" s="158">
        <f t="shared" ref="CB136:CB141" si="466">$U136</f>
        <v>1940187.07237</v>
      </c>
      <c r="CC136" s="158">
        <f t="shared" ref="CC136:CC141" si="467">$V136</f>
        <v>1638274.6441200001</v>
      </c>
      <c r="CD136" s="64"/>
      <c r="CE136" s="67">
        <f t="shared" ref="CE136:CE141" si="468">$E136</f>
        <v>0</v>
      </c>
      <c r="CF136" s="67">
        <f t="shared" ref="CF136:CF141" si="469">$F136</f>
        <v>863755.81722999981</v>
      </c>
      <c r="CG136" s="67">
        <f t="shared" ref="CG136:CG141" si="470">$G136</f>
        <v>970679.27377000009</v>
      </c>
      <c r="CH136" s="67">
        <f t="shared" ref="CH136:CH141" si="471">$H136</f>
        <v>975941.38887999987</v>
      </c>
      <c r="CI136" s="67">
        <f t="shared" ref="CI136:CI141" si="472">$I136</f>
        <v>1024378.16539</v>
      </c>
      <c r="CJ136" s="67">
        <f t="shared" ref="CJ136:CJ141" si="473">$J136</f>
        <v>990135.51027000009</v>
      </c>
      <c r="CK136" s="67">
        <f t="shared" ref="CK136:CK141" si="474">$K136</f>
        <v>1115680.6207900001</v>
      </c>
      <c r="CL136" s="158">
        <f t="shared" ref="CL136:CL141" si="475">$L136</f>
        <v>1025404.6468608299</v>
      </c>
      <c r="CM136" s="158">
        <f t="shared" ref="CM136:CM141" si="476">$M136</f>
        <v>1201770.7508320501</v>
      </c>
      <c r="CN136" s="158">
        <f t="shared" ref="CN136:CN141" si="477">$N136</f>
        <v>1323923.89482</v>
      </c>
      <c r="CO136" s="158">
        <f t="shared" ref="CO136:CO141" si="478">$O136</f>
        <v>2129688.4357499997</v>
      </c>
      <c r="CP136" s="158">
        <f t="shared" ref="CP136:CP141" si="479">$P136</f>
        <v>2103692.5744400001</v>
      </c>
      <c r="CQ136" s="158">
        <f t="shared" ref="CQ136:CQ141" si="480">$Q136</f>
        <v>2408975.2420000001</v>
      </c>
      <c r="CR136" s="158">
        <f t="shared" ref="CR136:CR141" si="481">$R136</f>
        <v>2612055.2518999996</v>
      </c>
      <c r="CS136" s="158">
        <f t="shared" ref="CS136:CS141" si="482">$S136</f>
        <v>1423947.9509999999</v>
      </c>
      <c r="CT136" s="158">
        <f t="shared" ref="CT136:CT141" si="483">$T136</f>
        <v>1075920.402</v>
      </c>
      <c r="CU136" s="158">
        <f t="shared" ref="CU136:CU141" si="484">$U136</f>
        <v>1940187.07237</v>
      </c>
      <c r="CV136" s="158">
        <f t="shared" ref="CV136:CV141" si="485">$V136</f>
        <v>1638274.6441200001</v>
      </c>
      <c r="CW136" s="190">
        <f t="shared" si="412"/>
        <v>-0.37280245395715694</v>
      </c>
      <c r="CX136" s="64"/>
      <c r="CY136" s="67">
        <f t="shared" ref="CY136:CY141" si="486">$E136</f>
        <v>0</v>
      </c>
      <c r="CZ136" s="67">
        <f t="shared" ref="CZ136:CZ141" si="487">$F136</f>
        <v>863755.81722999981</v>
      </c>
      <c r="DA136" s="67">
        <f t="shared" ref="DA136:DA141" si="488">$G136</f>
        <v>970679.27377000009</v>
      </c>
      <c r="DB136" s="67">
        <f t="shared" ref="DB136:DB141" si="489">$H136</f>
        <v>975941.38887999987</v>
      </c>
      <c r="DC136" s="67">
        <f t="shared" ref="DC136:DC141" si="490">$I136</f>
        <v>1024378.16539</v>
      </c>
      <c r="DD136" s="67">
        <f t="shared" ref="DD136:DD141" si="491">$J136</f>
        <v>990135.51027000009</v>
      </c>
      <c r="DE136" s="67">
        <f t="shared" ref="DE136:DE141" si="492">$K136</f>
        <v>1115680.6207900001</v>
      </c>
      <c r="DF136" s="158">
        <f t="shared" ref="DF136:DF141" si="493">$L136</f>
        <v>1025404.6468608299</v>
      </c>
      <c r="DG136" s="158">
        <f t="shared" ref="DG136:DG141" si="494">$M136</f>
        <v>1201770.7508320501</v>
      </c>
      <c r="DH136" s="158">
        <f t="shared" ref="DH136:DH141" si="495">$N136</f>
        <v>1323923.89482</v>
      </c>
      <c r="DI136" s="158">
        <f t="shared" ref="DI136:DI141" si="496">$O136</f>
        <v>2129688.4357499997</v>
      </c>
      <c r="DJ136" s="158">
        <f t="shared" ref="DJ136:DJ141" si="497">$P136</f>
        <v>2103692.5744400001</v>
      </c>
      <c r="DK136" s="158">
        <f t="shared" ref="DK136:DK141" si="498">$Q136</f>
        <v>2408975.2420000001</v>
      </c>
      <c r="DL136" s="158">
        <f t="shared" ref="DL136:DL141" si="499">$R136</f>
        <v>2612055.2518999996</v>
      </c>
      <c r="DM136" s="158">
        <f t="shared" ref="DM136:DM141" si="500">$S136</f>
        <v>1423947.9509999999</v>
      </c>
      <c r="DN136" s="158">
        <f t="shared" ref="DN136:DN141" si="501">$T136</f>
        <v>1075920.402</v>
      </c>
      <c r="DO136" s="158">
        <f t="shared" ref="DO136:DO141" si="502">$U136</f>
        <v>1940187.07237</v>
      </c>
      <c r="DP136" s="158">
        <f t="shared" ref="DP136:DP141" si="503">$V136</f>
        <v>1638274.6441200001</v>
      </c>
    </row>
    <row r="137" spans="2:120" x14ac:dyDescent="0.3">
      <c r="C137" s="65" t="s">
        <v>119</v>
      </c>
      <c r="D137" s="77"/>
      <c r="E137" s="97"/>
      <c r="F137" s="97">
        <v>67280.216</v>
      </c>
      <c r="G137" s="97">
        <v>91690.553270000004</v>
      </c>
      <c r="H137" s="97">
        <v>110064.23314</v>
      </c>
      <c r="I137" s="97">
        <v>118474.01357</v>
      </c>
      <c r="J137" s="97">
        <v>133668.71520000001</v>
      </c>
      <c r="K137" s="97">
        <v>207240.49400000001</v>
      </c>
      <c r="L137" s="97">
        <v>151869.25651489</v>
      </c>
      <c r="M137" s="97">
        <v>184125.21822372999</v>
      </c>
      <c r="N137" s="97">
        <v>205025.69500000001</v>
      </c>
      <c r="O137" s="97">
        <v>226050.875</v>
      </c>
      <c r="P137" s="97">
        <v>179759.24599999998</v>
      </c>
      <c r="Q137" s="97">
        <v>205011.63</v>
      </c>
      <c r="R137" s="97">
        <v>256089.94</v>
      </c>
      <c r="S137" s="97">
        <v>133391.67499999999</v>
      </c>
      <c r="T137" s="97">
        <v>113267</v>
      </c>
      <c r="U137" s="97">
        <v>243374.14799999999</v>
      </c>
      <c r="V137" s="97">
        <v>193902.78405999998</v>
      </c>
      <c r="W137" s="190">
        <f t="shared" si="406"/>
        <v>-0.24283326373538927</v>
      </c>
      <c r="X137" s="230">
        <f>U137-'[1]Earnings Release'!AD146</f>
        <v>-71207.5</v>
      </c>
      <c r="Y137" s="67">
        <f t="shared" si="414"/>
        <v>0</v>
      </c>
      <c r="Z137" s="67">
        <f t="shared" si="415"/>
        <v>67280.216</v>
      </c>
      <c r="AA137" s="67">
        <f t="shared" si="416"/>
        <v>91690.553270000004</v>
      </c>
      <c r="AB137" s="67">
        <f t="shared" si="417"/>
        <v>110064.23314</v>
      </c>
      <c r="AC137" s="67">
        <f t="shared" si="418"/>
        <v>118474.01357</v>
      </c>
      <c r="AD137" s="67">
        <f t="shared" si="419"/>
        <v>133668.71520000001</v>
      </c>
      <c r="AE137" s="67">
        <f t="shared" si="420"/>
        <v>207240.49400000001</v>
      </c>
      <c r="AF137" s="158">
        <f t="shared" si="421"/>
        <v>151869.25651489</v>
      </c>
      <c r="AG137" s="158">
        <f t="shared" si="422"/>
        <v>184125.21822372999</v>
      </c>
      <c r="AH137" s="158">
        <f t="shared" si="423"/>
        <v>205025.69500000001</v>
      </c>
      <c r="AI137" s="158">
        <f t="shared" si="424"/>
        <v>226050.875</v>
      </c>
      <c r="AJ137" s="158">
        <f t="shared" si="425"/>
        <v>179759.24599999998</v>
      </c>
      <c r="AK137" s="158">
        <f t="shared" si="426"/>
        <v>205011.63</v>
      </c>
      <c r="AL137" s="158">
        <f t="shared" si="427"/>
        <v>256089.94</v>
      </c>
      <c r="AM137" s="158">
        <f t="shared" si="428"/>
        <v>133391.67499999999</v>
      </c>
      <c r="AN137" s="158">
        <f t="shared" si="429"/>
        <v>113267</v>
      </c>
      <c r="AO137" s="158">
        <f t="shared" si="430"/>
        <v>243374.14799999999</v>
      </c>
      <c r="AP137" s="158">
        <f t="shared" si="431"/>
        <v>193902.78405999998</v>
      </c>
      <c r="AQ137" s="190">
        <f t="shared" si="408"/>
        <v>-0.24283326373538927</v>
      </c>
      <c r="AR137" s="64"/>
      <c r="AS137" s="67">
        <f t="shared" si="432"/>
        <v>0</v>
      </c>
      <c r="AT137" s="67">
        <f t="shared" si="433"/>
        <v>67280.216</v>
      </c>
      <c r="AU137" s="67">
        <f t="shared" si="434"/>
        <v>91690.553270000004</v>
      </c>
      <c r="AV137" s="67">
        <f t="shared" si="435"/>
        <v>110064.23314</v>
      </c>
      <c r="AW137" s="67">
        <f t="shared" si="436"/>
        <v>118474.01357</v>
      </c>
      <c r="AX137" s="67">
        <f t="shared" si="437"/>
        <v>133668.71520000001</v>
      </c>
      <c r="AY137" s="67">
        <f t="shared" si="438"/>
        <v>207240.49400000001</v>
      </c>
      <c r="AZ137" s="158">
        <f t="shared" si="439"/>
        <v>151869.25651489</v>
      </c>
      <c r="BA137" s="158">
        <f t="shared" si="440"/>
        <v>184125.21822372999</v>
      </c>
      <c r="BB137" s="158">
        <f t="shared" si="441"/>
        <v>205025.69500000001</v>
      </c>
      <c r="BC137" s="158">
        <f t="shared" si="442"/>
        <v>226050.875</v>
      </c>
      <c r="BD137" s="158">
        <f t="shared" si="443"/>
        <v>179759.24599999998</v>
      </c>
      <c r="BE137" s="158">
        <f t="shared" si="444"/>
        <v>205011.63</v>
      </c>
      <c r="BF137" s="158">
        <f t="shared" si="445"/>
        <v>256089.94</v>
      </c>
      <c r="BG137" s="158">
        <f t="shared" si="446"/>
        <v>133391.67499999999</v>
      </c>
      <c r="BH137" s="158">
        <f t="shared" si="447"/>
        <v>113267</v>
      </c>
      <c r="BI137" s="158">
        <f t="shared" si="448"/>
        <v>243374.14799999999</v>
      </c>
      <c r="BJ137" s="158">
        <f t="shared" si="449"/>
        <v>193902.78405999998</v>
      </c>
      <c r="BK137" s="64"/>
      <c r="BL137" s="67">
        <f t="shared" si="450"/>
        <v>0</v>
      </c>
      <c r="BM137" s="67">
        <f t="shared" si="451"/>
        <v>67280.216</v>
      </c>
      <c r="BN137" s="67">
        <f t="shared" si="452"/>
        <v>91690.553270000004</v>
      </c>
      <c r="BO137" s="67">
        <f t="shared" si="453"/>
        <v>110064.23314</v>
      </c>
      <c r="BP137" s="67">
        <f t="shared" si="454"/>
        <v>118474.01357</v>
      </c>
      <c r="BQ137" s="67">
        <f t="shared" si="455"/>
        <v>133668.71520000001</v>
      </c>
      <c r="BR137" s="67">
        <f t="shared" si="456"/>
        <v>207240.49400000001</v>
      </c>
      <c r="BS137" s="158">
        <f t="shared" si="457"/>
        <v>151869.25651489</v>
      </c>
      <c r="BT137" s="158">
        <f t="shared" si="458"/>
        <v>184125.21822372999</v>
      </c>
      <c r="BU137" s="158">
        <f t="shared" si="459"/>
        <v>205025.69500000001</v>
      </c>
      <c r="BV137" s="158">
        <f t="shared" si="460"/>
        <v>226050.875</v>
      </c>
      <c r="BW137" s="158">
        <f t="shared" si="461"/>
        <v>179759.24599999998</v>
      </c>
      <c r="BX137" s="158">
        <f t="shared" si="462"/>
        <v>205011.63</v>
      </c>
      <c r="BY137" s="158">
        <f t="shared" si="463"/>
        <v>256089.94</v>
      </c>
      <c r="BZ137" s="158">
        <f t="shared" si="464"/>
        <v>133391.67499999999</v>
      </c>
      <c r="CA137" s="158">
        <f t="shared" si="465"/>
        <v>113267</v>
      </c>
      <c r="CB137" s="158">
        <f t="shared" si="466"/>
        <v>243374.14799999999</v>
      </c>
      <c r="CC137" s="158">
        <f t="shared" si="467"/>
        <v>193902.78405999998</v>
      </c>
      <c r="CD137" s="64"/>
      <c r="CE137" s="67">
        <f t="shared" si="468"/>
        <v>0</v>
      </c>
      <c r="CF137" s="67">
        <f t="shared" si="469"/>
        <v>67280.216</v>
      </c>
      <c r="CG137" s="67">
        <f t="shared" si="470"/>
        <v>91690.553270000004</v>
      </c>
      <c r="CH137" s="67">
        <f t="shared" si="471"/>
        <v>110064.23314</v>
      </c>
      <c r="CI137" s="67">
        <f t="shared" si="472"/>
        <v>118474.01357</v>
      </c>
      <c r="CJ137" s="67">
        <f t="shared" si="473"/>
        <v>133668.71520000001</v>
      </c>
      <c r="CK137" s="67">
        <f t="shared" si="474"/>
        <v>207240.49400000001</v>
      </c>
      <c r="CL137" s="158">
        <f t="shared" si="475"/>
        <v>151869.25651489</v>
      </c>
      <c r="CM137" s="158">
        <f t="shared" si="476"/>
        <v>184125.21822372999</v>
      </c>
      <c r="CN137" s="158">
        <f t="shared" si="477"/>
        <v>205025.69500000001</v>
      </c>
      <c r="CO137" s="158">
        <f t="shared" si="478"/>
        <v>226050.875</v>
      </c>
      <c r="CP137" s="158">
        <f t="shared" si="479"/>
        <v>179759.24599999998</v>
      </c>
      <c r="CQ137" s="158">
        <f t="shared" si="480"/>
        <v>205011.63</v>
      </c>
      <c r="CR137" s="158">
        <f t="shared" si="481"/>
        <v>256089.94</v>
      </c>
      <c r="CS137" s="158">
        <f t="shared" si="482"/>
        <v>133391.67499999999</v>
      </c>
      <c r="CT137" s="158">
        <f t="shared" si="483"/>
        <v>113267</v>
      </c>
      <c r="CU137" s="158">
        <f t="shared" si="484"/>
        <v>243374.14799999999</v>
      </c>
      <c r="CV137" s="158">
        <f t="shared" si="485"/>
        <v>193902.78405999998</v>
      </c>
      <c r="CW137" s="190">
        <f t="shared" si="412"/>
        <v>-0.24283326373538927</v>
      </c>
      <c r="CX137" s="64"/>
      <c r="CY137" s="67">
        <f t="shared" si="486"/>
        <v>0</v>
      </c>
      <c r="CZ137" s="67">
        <f t="shared" si="487"/>
        <v>67280.216</v>
      </c>
      <c r="DA137" s="67">
        <f t="shared" si="488"/>
        <v>91690.553270000004</v>
      </c>
      <c r="DB137" s="67">
        <f t="shared" si="489"/>
        <v>110064.23314</v>
      </c>
      <c r="DC137" s="67">
        <f t="shared" si="490"/>
        <v>118474.01357</v>
      </c>
      <c r="DD137" s="67">
        <f t="shared" si="491"/>
        <v>133668.71520000001</v>
      </c>
      <c r="DE137" s="67">
        <f t="shared" si="492"/>
        <v>207240.49400000001</v>
      </c>
      <c r="DF137" s="158">
        <f t="shared" si="493"/>
        <v>151869.25651489</v>
      </c>
      <c r="DG137" s="158">
        <f t="shared" si="494"/>
        <v>184125.21822372999</v>
      </c>
      <c r="DH137" s="158">
        <f t="shared" si="495"/>
        <v>205025.69500000001</v>
      </c>
      <c r="DI137" s="158">
        <f t="shared" si="496"/>
        <v>226050.875</v>
      </c>
      <c r="DJ137" s="158">
        <f t="shared" si="497"/>
        <v>179759.24599999998</v>
      </c>
      <c r="DK137" s="158">
        <f t="shared" si="498"/>
        <v>205011.63</v>
      </c>
      <c r="DL137" s="158">
        <f t="shared" si="499"/>
        <v>256089.94</v>
      </c>
      <c r="DM137" s="158">
        <f t="shared" si="500"/>
        <v>133391.67499999999</v>
      </c>
      <c r="DN137" s="158">
        <f t="shared" si="501"/>
        <v>113267</v>
      </c>
      <c r="DO137" s="158">
        <f t="shared" si="502"/>
        <v>243374.14799999999</v>
      </c>
      <c r="DP137" s="158">
        <f t="shared" si="503"/>
        <v>193902.78405999998</v>
      </c>
    </row>
    <row r="138" spans="2:120" x14ac:dyDescent="0.3">
      <c r="C138" s="65" t="s">
        <v>118</v>
      </c>
      <c r="D138" s="77"/>
      <c r="E138" s="97"/>
      <c r="F138" s="97">
        <v>47236.376939999995</v>
      </c>
      <c r="G138" s="97">
        <v>75525.193699999974</v>
      </c>
      <c r="H138" s="97">
        <v>101313.10716999994</v>
      </c>
      <c r="I138" s="97">
        <v>155325.46915666672</v>
      </c>
      <c r="J138" s="97">
        <v>254346.31226999994</v>
      </c>
      <c r="K138" s="97">
        <v>376927.00280999986</v>
      </c>
      <c r="L138" s="97">
        <v>509573.13709499978</v>
      </c>
      <c r="M138" s="97">
        <v>900713.48099999991</v>
      </c>
      <c r="N138" s="97">
        <v>829566.70118999993</v>
      </c>
      <c r="O138" s="97">
        <v>1052704.3522268101</v>
      </c>
      <c r="P138" s="97">
        <v>826976.79926</v>
      </c>
      <c r="Q138" s="97">
        <v>970068.64656999987</v>
      </c>
      <c r="R138" s="97">
        <v>850594.09106000024</v>
      </c>
      <c r="S138" s="97">
        <v>324574.99725999997</v>
      </c>
      <c r="T138" s="97">
        <v>358650.1244700001</v>
      </c>
      <c r="U138" s="97">
        <v>561330.64041999984</v>
      </c>
      <c r="V138" s="97">
        <v>546591.49286999984</v>
      </c>
      <c r="W138" s="190">
        <f t="shared" si="406"/>
        <v>-0.3574003174782886</v>
      </c>
      <c r="X138" s="230">
        <f>U138-'[1]Earnings Release'!AD147</f>
        <v>19658.400389999966</v>
      </c>
      <c r="Y138" s="67">
        <f t="shared" si="414"/>
        <v>0</v>
      </c>
      <c r="Z138" s="67">
        <f t="shared" si="415"/>
        <v>47236.376939999995</v>
      </c>
      <c r="AA138" s="67">
        <f t="shared" si="416"/>
        <v>75525.193699999974</v>
      </c>
      <c r="AB138" s="67">
        <f t="shared" si="417"/>
        <v>101313.10716999994</v>
      </c>
      <c r="AC138" s="67">
        <f t="shared" si="418"/>
        <v>155325.46915666672</v>
      </c>
      <c r="AD138" s="67">
        <f t="shared" si="419"/>
        <v>254346.31226999994</v>
      </c>
      <c r="AE138" s="67">
        <f t="shared" si="420"/>
        <v>376927.00280999986</v>
      </c>
      <c r="AF138" s="158">
        <f t="shared" si="421"/>
        <v>509573.13709499978</v>
      </c>
      <c r="AG138" s="158">
        <f t="shared" si="422"/>
        <v>900713.48099999991</v>
      </c>
      <c r="AH138" s="158">
        <f t="shared" si="423"/>
        <v>829566.70118999993</v>
      </c>
      <c r="AI138" s="158">
        <f t="shared" si="424"/>
        <v>1052704.3522268101</v>
      </c>
      <c r="AJ138" s="158">
        <f t="shared" si="425"/>
        <v>826976.79926</v>
      </c>
      <c r="AK138" s="158">
        <f t="shared" si="426"/>
        <v>970068.64656999987</v>
      </c>
      <c r="AL138" s="158">
        <f t="shared" si="427"/>
        <v>850594.09106000024</v>
      </c>
      <c r="AM138" s="158">
        <f t="shared" si="428"/>
        <v>324574.99725999997</v>
      </c>
      <c r="AN138" s="158">
        <f t="shared" si="429"/>
        <v>358650.1244700001</v>
      </c>
      <c r="AO138" s="158">
        <f t="shared" si="430"/>
        <v>561330.64041999984</v>
      </c>
      <c r="AP138" s="158">
        <f t="shared" si="431"/>
        <v>546591.49286999984</v>
      </c>
      <c r="AQ138" s="190">
        <f t="shared" si="408"/>
        <v>-0.3574003174782886</v>
      </c>
      <c r="AR138" s="64"/>
      <c r="AS138" s="67">
        <f t="shared" si="432"/>
        <v>0</v>
      </c>
      <c r="AT138" s="67">
        <f t="shared" si="433"/>
        <v>47236.376939999995</v>
      </c>
      <c r="AU138" s="67">
        <f t="shared" si="434"/>
        <v>75525.193699999974</v>
      </c>
      <c r="AV138" s="67">
        <f t="shared" si="435"/>
        <v>101313.10716999994</v>
      </c>
      <c r="AW138" s="67">
        <f t="shared" si="436"/>
        <v>155325.46915666672</v>
      </c>
      <c r="AX138" s="67">
        <f t="shared" si="437"/>
        <v>254346.31226999994</v>
      </c>
      <c r="AY138" s="67">
        <f t="shared" si="438"/>
        <v>376927.00280999986</v>
      </c>
      <c r="AZ138" s="158">
        <f t="shared" si="439"/>
        <v>509573.13709499978</v>
      </c>
      <c r="BA138" s="158">
        <f t="shared" si="440"/>
        <v>900713.48099999991</v>
      </c>
      <c r="BB138" s="158">
        <f t="shared" si="441"/>
        <v>829566.70118999993</v>
      </c>
      <c r="BC138" s="158">
        <f t="shared" si="442"/>
        <v>1052704.3522268101</v>
      </c>
      <c r="BD138" s="158">
        <f t="shared" si="443"/>
        <v>826976.79926</v>
      </c>
      <c r="BE138" s="158">
        <f t="shared" si="444"/>
        <v>970068.64656999987</v>
      </c>
      <c r="BF138" s="158">
        <f t="shared" si="445"/>
        <v>850594.09106000024</v>
      </c>
      <c r="BG138" s="158">
        <f t="shared" si="446"/>
        <v>324574.99725999997</v>
      </c>
      <c r="BH138" s="158">
        <f t="shared" si="447"/>
        <v>358650.1244700001</v>
      </c>
      <c r="BI138" s="158">
        <f t="shared" si="448"/>
        <v>561330.64041999984</v>
      </c>
      <c r="BJ138" s="158">
        <f t="shared" si="449"/>
        <v>546591.49286999984</v>
      </c>
      <c r="BK138" s="64"/>
      <c r="BL138" s="67">
        <f t="shared" si="450"/>
        <v>0</v>
      </c>
      <c r="BM138" s="67">
        <f t="shared" si="451"/>
        <v>47236.376939999995</v>
      </c>
      <c r="BN138" s="67">
        <f t="shared" si="452"/>
        <v>75525.193699999974</v>
      </c>
      <c r="BO138" s="67">
        <f t="shared" si="453"/>
        <v>101313.10716999994</v>
      </c>
      <c r="BP138" s="67">
        <f t="shared" si="454"/>
        <v>155325.46915666672</v>
      </c>
      <c r="BQ138" s="67">
        <f t="shared" si="455"/>
        <v>254346.31226999994</v>
      </c>
      <c r="BR138" s="67">
        <f t="shared" si="456"/>
        <v>376927.00280999986</v>
      </c>
      <c r="BS138" s="158">
        <f t="shared" si="457"/>
        <v>509573.13709499978</v>
      </c>
      <c r="BT138" s="158">
        <f t="shared" si="458"/>
        <v>900713.48099999991</v>
      </c>
      <c r="BU138" s="158">
        <f t="shared" si="459"/>
        <v>829566.70118999993</v>
      </c>
      <c r="BV138" s="158">
        <f t="shared" si="460"/>
        <v>1052704.3522268101</v>
      </c>
      <c r="BW138" s="158">
        <f t="shared" si="461"/>
        <v>826976.79926</v>
      </c>
      <c r="BX138" s="158">
        <f t="shared" si="462"/>
        <v>970068.64656999987</v>
      </c>
      <c r="BY138" s="158">
        <f t="shared" si="463"/>
        <v>850594.09106000024</v>
      </c>
      <c r="BZ138" s="158">
        <f t="shared" si="464"/>
        <v>324574.99725999997</v>
      </c>
      <c r="CA138" s="158">
        <f t="shared" si="465"/>
        <v>358650.1244700001</v>
      </c>
      <c r="CB138" s="158">
        <f t="shared" si="466"/>
        <v>561330.64041999984</v>
      </c>
      <c r="CC138" s="158">
        <f t="shared" si="467"/>
        <v>546591.49286999984</v>
      </c>
      <c r="CD138" s="64"/>
      <c r="CE138" s="67">
        <f t="shared" si="468"/>
        <v>0</v>
      </c>
      <c r="CF138" s="67">
        <f t="shared" si="469"/>
        <v>47236.376939999995</v>
      </c>
      <c r="CG138" s="67">
        <f t="shared" si="470"/>
        <v>75525.193699999974</v>
      </c>
      <c r="CH138" s="67">
        <f t="shared" si="471"/>
        <v>101313.10716999994</v>
      </c>
      <c r="CI138" s="67">
        <f t="shared" si="472"/>
        <v>155325.46915666672</v>
      </c>
      <c r="CJ138" s="67">
        <f t="shared" si="473"/>
        <v>254346.31226999994</v>
      </c>
      <c r="CK138" s="67">
        <f t="shared" si="474"/>
        <v>376927.00280999986</v>
      </c>
      <c r="CL138" s="158">
        <f t="shared" si="475"/>
        <v>509573.13709499978</v>
      </c>
      <c r="CM138" s="158">
        <f t="shared" si="476"/>
        <v>900713.48099999991</v>
      </c>
      <c r="CN138" s="158">
        <f t="shared" si="477"/>
        <v>829566.70118999993</v>
      </c>
      <c r="CO138" s="158">
        <f t="shared" si="478"/>
        <v>1052704.3522268101</v>
      </c>
      <c r="CP138" s="158">
        <f t="shared" si="479"/>
        <v>826976.79926</v>
      </c>
      <c r="CQ138" s="158">
        <f t="shared" si="480"/>
        <v>970068.64656999987</v>
      </c>
      <c r="CR138" s="158">
        <f t="shared" si="481"/>
        <v>850594.09106000024</v>
      </c>
      <c r="CS138" s="158">
        <f t="shared" si="482"/>
        <v>324574.99725999997</v>
      </c>
      <c r="CT138" s="158">
        <f t="shared" si="483"/>
        <v>358650.1244700001</v>
      </c>
      <c r="CU138" s="158">
        <f t="shared" si="484"/>
        <v>561330.64041999984</v>
      </c>
      <c r="CV138" s="158">
        <f t="shared" si="485"/>
        <v>546591.49286999984</v>
      </c>
      <c r="CW138" s="190">
        <f t="shared" si="412"/>
        <v>-0.3574003174782886</v>
      </c>
      <c r="CX138" s="64"/>
      <c r="CY138" s="67">
        <f t="shared" si="486"/>
        <v>0</v>
      </c>
      <c r="CZ138" s="67">
        <f t="shared" si="487"/>
        <v>47236.376939999995</v>
      </c>
      <c r="DA138" s="67">
        <f t="shared" si="488"/>
        <v>75525.193699999974</v>
      </c>
      <c r="DB138" s="67">
        <f t="shared" si="489"/>
        <v>101313.10716999994</v>
      </c>
      <c r="DC138" s="67">
        <f t="shared" si="490"/>
        <v>155325.46915666672</v>
      </c>
      <c r="DD138" s="67">
        <f t="shared" si="491"/>
        <v>254346.31226999994</v>
      </c>
      <c r="DE138" s="67">
        <f t="shared" si="492"/>
        <v>376927.00280999986</v>
      </c>
      <c r="DF138" s="158">
        <f t="shared" si="493"/>
        <v>509573.13709499978</v>
      </c>
      <c r="DG138" s="158">
        <f t="shared" si="494"/>
        <v>900713.48099999991</v>
      </c>
      <c r="DH138" s="158">
        <f t="shared" si="495"/>
        <v>829566.70118999993</v>
      </c>
      <c r="DI138" s="158">
        <f t="shared" si="496"/>
        <v>1052704.3522268101</v>
      </c>
      <c r="DJ138" s="158">
        <f t="shared" si="497"/>
        <v>826976.79926</v>
      </c>
      <c r="DK138" s="158">
        <f t="shared" si="498"/>
        <v>970068.64656999987</v>
      </c>
      <c r="DL138" s="158">
        <f t="shared" si="499"/>
        <v>850594.09106000024</v>
      </c>
      <c r="DM138" s="158">
        <f t="shared" si="500"/>
        <v>324574.99725999997</v>
      </c>
      <c r="DN138" s="158">
        <f t="shared" si="501"/>
        <v>358650.1244700001</v>
      </c>
      <c r="DO138" s="158">
        <f t="shared" si="502"/>
        <v>561330.64041999984</v>
      </c>
      <c r="DP138" s="158">
        <f t="shared" si="503"/>
        <v>546591.49286999984</v>
      </c>
    </row>
    <row r="139" spans="2:120" x14ac:dyDescent="0.3">
      <c r="C139" s="65" t="s">
        <v>120</v>
      </c>
      <c r="D139" s="77"/>
      <c r="E139" s="97"/>
      <c r="F139" s="97">
        <v>52830.777629999997</v>
      </c>
      <c r="G139" s="97">
        <v>88888.455249999999</v>
      </c>
      <c r="H139" s="97">
        <v>54692.578500000003</v>
      </c>
      <c r="I139" s="97">
        <v>101134.39417</v>
      </c>
      <c r="J139" s="97">
        <v>180898.31156000003</v>
      </c>
      <c r="K139" s="97">
        <v>197260.14642000003</v>
      </c>
      <c r="L139" s="97">
        <v>229495.63237131998</v>
      </c>
      <c r="M139" s="97">
        <v>227405.70862357997</v>
      </c>
      <c r="N139" s="97">
        <v>146135.81849000001</v>
      </c>
      <c r="O139" s="97">
        <v>124991.50917570002</v>
      </c>
      <c r="P139" s="97">
        <v>86558.641355479995</v>
      </c>
      <c r="Q139" s="97">
        <v>91257.812859810001</v>
      </c>
      <c r="R139" s="97">
        <v>143192.66081469</v>
      </c>
      <c r="S139" s="97">
        <v>106300.94586880002</v>
      </c>
      <c r="T139" s="97">
        <v>46907.199639999999</v>
      </c>
      <c r="U139" s="97">
        <v>115074.55606</v>
      </c>
      <c r="V139" s="97">
        <v>118426.72183984</v>
      </c>
      <c r="W139" s="190">
        <f t="shared" si="406"/>
        <v>-0.17295536540731205</v>
      </c>
      <c r="X139" s="230">
        <f>U139-'[1]Earnings Release'!AD148</f>
        <v>0</v>
      </c>
      <c r="Y139" s="67">
        <f t="shared" si="414"/>
        <v>0</v>
      </c>
      <c r="Z139" s="67">
        <f t="shared" si="415"/>
        <v>52830.777629999997</v>
      </c>
      <c r="AA139" s="67">
        <f t="shared" si="416"/>
        <v>88888.455249999999</v>
      </c>
      <c r="AB139" s="67">
        <f t="shared" si="417"/>
        <v>54692.578500000003</v>
      </c>
      <c r="AC139" s="67">
        <f t="shared" si="418"/>
        <v>101134.39417</v>
      </c>
      <c r="AD139" s="67">
        <f t="shared" si="419"/>
        <v>180898.31156000003</v>
      </c>
      <c r="AE139" s="67">
        <f t="shared" si="420"/>
        <v>197260.14642000003</v>
      </c>
      <c r="AF139" s="158">
        <f t="shared" si="421"/>
        <v>229495.63237131998</v>
      </c>
      <c r="AG139" s="158">
        <f t="shared" si="422"/>
        <v>227405.70862357997</v>
      </c>
      <c r="AH139" s="158">
        <f t="shared" si="423"/>
        <v>146135.81849000001</v>
      </c>
      <c r="AI139" s="158">
        <f t="shared" si="424"/>
        <v>124991.50917570002</v>
      </c>
      <c r="AJ139" s="158">
        <f t="shared" si="425"/>
        <v>86558.641355479995</v>
      </c>
      <c r="AK139" s="158">
        <f t="shared" si="426"/>
        <v>91257.812859810001</v>
      </c>
      <c r="AL139" s="158">
        <f t="shared" si="427"/>
        <v>143192.66081469</v>
      </c>
      <c r="AM139" s="158">
        <f t="shared" si="428"/>
        <v>106300.94586880002</v>
      </c>
      <c r="AN139" s="158">
        <f t="shared" si="429"/>
        <v>46907.199639999999</v>
      </c>
      <c r="AO139" s="158">
        <f t="shared" si="430"/>
        <v>115074.55606</v>
      </c>
      <c r="AP139" s="158">
        <f t="shared" si="431"/>
        <v>118426.72183984</v>
      </c>
      <c r="AQ139" s="190">
        <f t="shared" si="408"/>
        <v>-0.17295536540731205</v>
      </c>
      <c r="AR139" s="64"/>
      <c r="AS139" s="67">
        <f t="shared" si="432"/>
        <v>0</v>
      </c>
      <c r="AT139" s="67">
        <f t="shared" si="433"/>
        <v>52830.777629999997</v>
      </c>
      <c r="AU139" s="67">
        <f t="shared" si="434"/>
        <v>88888.455249999999</v>
      </c>
      <c r="AV139" s="67">
        <f t="shared" si="435"/>
        <v>54692.578500000003</v>
      </c>
      <c r="AW139" s="67">
        <f t="shared" si="436"/>
        <v>101134.39417</v>
      </c>
      <c r="AX139" s="67">
        <f t="shared" si="437"/>
        <v>180898.31156000003</v>
      </c>
      <c r="AY139" s="67">
        <f t="shared" si="438"/>
        <v>197260.14642000003</v>
      </c>
      <c r="AZ139" s="158">
        <f t="shared" si="439"/>
        <v>229495.63237131998</v>
      </c>
      <c r="BA139" s="158">
        <f t="shared" si="440"/>
        <v>227405.70862357997</v>
      </c>
      <c r="BB139" s="158">
        <f t="shared" si="441"/>
        <v>146135.81849000001</v>
      </c>
      <c r="BC139" s="158">
        <f t="shared" si="442"/>
        <v>124991.50917570002</v>
      </c>
      <c r="BD139" s="158">
        <f t="shared" si="443"/>
        <v>86558.641355479995</v>
      </c>
      <c r="BE139" s="158">
        <f t="shared" si="444"/>
        <v>91257.812859810001</v>
      </c>
      <c r="BF139" s="158">
        <f t="shared" si="445"/>
        <v>143192.66081469</v>
      </c>
      <c r="BG139" s="158">
        <f t="shared" si="446"/>
        <v>106300.94586880002</v>
      </c>
      <c r="BH139" s="158">
        <f t="shared" si="447"/>
        <v>46907.199639999999</v>
      </c>
      <c r="BI139" s="158">
        <f t="shared" si="448"/>
        <v>115074.55606</v>
      </c>
      <c r="BJ139" s="158">
        <f t="shared" si="449"/>
        <v>118426.72183984</v>
      </c>
      <c r="BK139" s="64"/>
      <c r="BL139" s="67">
        <f t="shared" si="450"/>
        <v>0</v>
      </c>
      <c r="BM139" s="67">
        <f t="shared" si="451"/>
        <v>52830.777629999997</v>
      </c>
      <c r="BN139" s="67">
        <f t="shared" si="452"/>
        <v>88888.455249999999</v>
      </c>
      <c r="BO139" s="67">
        <f t="shared" si="453"/>
        <v>54692.578500000003</v>
      </c>
      <c r="BP139" s="67">
        <f t="shared" si="454"/>
        <v>101134.39417</v>
      </c>
      <c r="BQ139" s="67">
        <f t="shared" si="455"/>
        <v>180898.31156000003</v>
      </c>
      <c r="BR139" s="67">
        <f t="shared" si="456"/>
        <v>197260.14642000003</v>
      </c>
      <c r="BS139" s="158">
        <f t="shared" si="457"/>
        <v>229495.63237131998</v>
      </c>
      <c r="BT139" s="158">
        <f t="shared" si="458"/>
        <v>227405.70862357997</v>
      </c>
      <c r="BU139" s="158">
        <f t="shared" si="459"/>
        <v>146135.81849000001</v>
      </c>
      <c r="BV139" s="158">
        <f t="shared" si="460"/>
        <v>124991.50917570002</v>
      </c>
      <c r="BW139" s="158">
        <f t="shared" si="461"/>
        <v>86558.641355479995</v>
      </c>
      <c r="BX139" s="158">
        <f t="shared" si="462"/>
        <v>91257.812859810001</v>
      </c>
      <c r="BY139" s="158">
        <f t="shared" si="463"/>
        <v>143192.66081469</v>
      </c>
      <c r="BZ139" s="158">
        <f t="shared" si="464"/>
        <v>106300.94586880002</v>
      </c>
      <c r="CA139" s="158">
        <f t="shared" si="465"/>
        <v>46907.199639999999</v>
      </c>
      <c r="CB139" s="158">
        <f t="shared" si="466"/>
        <v>115074.55606</v>
      </c>
      <c r="CC139" s="158">
        <f t="shared" si="467"/>
        <v>118426.72183984</v>
      </c>
      <c r="CD139" s="64"/>
      <c r="CE139" s="67">
        <f t="shared" si="468"/>
        <v>0</v>
      </c>
      <c r="CF139" s="67">
        <f t="shared" si="469"/>
        <v>52830.777629999997</v>
      </c>
      <c r="CG139" s="67">
        <f t="shared" si="470"/>
        <v>88888.455249999999</v>
      </c>
      <c r="CH139" s="67">
        <f t="shared" si="471"/>
        <v>54692.578500000003</v>
      </c>
      <c r="CI139" s="67">
        <f t="shared" si="472"/>
        <v>101134.39417</v>
      </c>
      <c r="CJ139" s="67">
        <f t="shared" si="473"/>
        <v>180898.31156000003</v>
      </c>
      <c r="CK139" s="67">
        <f t="shared" si="474"/>
        <v>197260.14642000003</v>
      </c>
      <c r="CL139" s="158">
        <f t="shared" si="475"/>
        <v>229495.63237131998</v>
      </c>
      <c r="CM139" s="158">
        <f t="shared" si="476"/>
        <v>227405.70862357997</v>
      </c>
      <c r="CN139" s="158">
        <f t="shared" si="477"/>
        <v>146135.81849000001</v>
      </c>
      <c r="CO139" s="158">
        <f t="shared" si="478"/>
        <v>124991.50917570002</v>
      </c>
      <c r="CP139" s="158">
        <f t="shared" si="479"/>
        <v>86558.641355479995</v>
      </c>
      <c r="CQ139" s="158">
        <f t="shared" si="480"/>
        <v>91257.812859810001</v>
      </c>
      <c r="CR139" s="158">
        <f t="shared" si="481"/>
        <v>143192.66081469</v>
      </c>
      <c r="CS139" s="158">
        <f t="shared" si="482"/>
        <v>106300.94586880002</v>
      </c>
      <c r="CT139" s="158">
        <f t="shared" si="483"/>
        <v>46907.199639999999</v>
      </c>
      <c r="CU139" s="158">
        <f t="shared" si="484"/>
        <v>115074.55606</v>
      </c>
      <c r="CV139" s="158">
        <f t="shared" si="485"/>
        <v>118426.72183984</v>
      </c>
      <c r="CW139" s="190">
        <f t="shared" si="412"/>
        <v>-0.17295536540731205</v>
      </c>
      <c r="CX139" s="64"/>
      <c r="CY139" s="67">
        <f t="shared" si="486"/>
        <v>0</v>
      </c>
      <c r="CZ139" s="67">
        <f t="shared" si="487"/>
        <v>52830.777629999997</v>
      </c>
      <c r="DA139" s="67">
        <f t="shared" si="488"/>
        <v>88888.455249999999</v>
      </c>
      <c r="DB139" s="67">
        <f t="shared" si="489"/>
        <v>54692.578500000003</v>
      </c>
      <c r="DC139" s="67">
        <f t="shared" si="490"/>
        <v>101134.39417</v>
      </c>
      <c r="DD139" s="67">
        <f t="shared" si="491"/>
        <v>180898.31156000003</v>
      </c>
      <c r="DE139" s="67">
        <f t="shared" si="492"/>
        <v>197260.14642000003</v>
      </c>
      <c r="DF139" s="158">
        <f t="shared" si="493"/>
        <v>229495.63237131998</v>
      </c>
      <c r="DG139" s="158">
        <f t="shared" si="494"/>
        <v>227405.70862357997</v>
      </c>
      <c r="DH139" s="158">
        <f t="shared" si="495"/>
        <v>146135.81849000001</v>
      </c>
      <c r="DI139" s="158">
        <f t="shared" si="496"/>
        <v>124991.50917570002</v>
      </c>
      <c r="DJ139" s="158">
        <f t="shared" si="497"/>
        <v>86558.641355479995</v>
      </c>
      <c r="DK139" s="158">
        <f t="shared" si="498"/>
        <v>91257.812859810001</v>
      </c>
      <c r="DL139" s="158">
        <f t="shared" si="499"/>
        <v>143192.66081469</v>
      </c>
      <c r="DM139" s="158">
        <f t="shared" si="500"/>
        <v>106300.94586880002</v>
      </c>
      <c r="DN139" s="158">
        <f t="shared" si="501"/>
        <v>46907.199639999999</v>
      </c>
      <c r="DO139" s="158">
        <f t="shared" si="502"/>
        <v>115074.55606</v>
      </c>
      <c r="DP139" s="158">
        <f t="shared" si="503"/>
        <v>118426.72183984</v>
      </c>
    </row>
    <row r="140" spans="2:120" x14ac:dyDescent="0.3">
      <c r="C140" s="65" t="s">
        <v>248</v>
      </c>
      <c r="D140" s="77"/>
      <c r="E140" s="97"/>
      <c r="F140" s="97">
        <v>84291.675600000002</v>
      </c>
      <c r="G140" s="97">
        <v>225795.92330000002</v>
      </c>
      <c r="H140" s="97">
        <v>176151.00839999999</v>
      </c>
      <c r="I140" s="97">
        <v>159470.85667400001</v>
      </c>
      <c r="J140" s="97">
        <v>98867.277698999998</v>
      </c>
      <c r="K140" s="97">
        <v>177253.62546000001</v>
      </c>
      <c r="L140" s="97">
        <v>108924.20863000001</v>
      </c>
      <c r="M140" s="97">
        <v>144212.8879</v>
      </c>
      <c r="N140" s="97">
        <v>125877.6715</v>
      </c>
      <c r="O140" s="97">
        <v>110165.49290000001</v>
      </c>
      <c r="P140" s="97">
        <v>116587.56513999999</v>
      </c>
      <c r="Q140" s="97">
        <v>149033.99900000001</v>
      </c>
      <c r="R140" s="97">
        <v>275283.07477000001</v>
      </c>
      <c r="S140" s="97">
        <v>158046.90600000002</v>
      </c>
      <c r="T140" s="97">
        <v>104042.53</v>
      </c>
      <c r="U140" s="97">
        <v>150623.60999999999</v>
      </c>
      <c r="V140" s="97">
        <v>199377.2775</v>
      </c>
      <c r="W140" s="190">
        <f t="shared" si="406"/>
        <v>-0.27573724731685589</v>
      </c>
      <c r="X140" s="230">
        <f>U140-'[1]Earnings Release'!AD149</f>
        <v>102164.47772999998</v>
      </c>
      <c r="Y140" s="67">
        <f t="shared" si="414"/>
        <v>0</v>
      </c>
      <c r="Z140" s="67">
        <f t="shared" si="415"/>
        <v>84291.675600000002</v>
      </c>
      <c r="AA140" s="67">
        <f t="shared" si="416"/>
        <v>225795.92330000002</v>
      </c>
      <c r="AB140" s="67">
        <f t="shared" si="417"/>
        <v>176151.00839999999</v>
      </c>
      <c r="AC140" s="67">
        <f t="shared" si="418"/>
        <v>159470.85667400001</v>
      </c>
      <c r="AD140" s="67">
        <f t="shared" si="419"/>
        <v>98867.277698999998</v>
      </c>
      <c r="AE140" s="67">
        <f t="shared" si="420"/>
        <v>177253.62546000001</v>
      </c>
      <c r="AF140" s="158">
        <f t="shared" si="421"/>
        <v>108924.20863000001</v>
      </c>
      <c r="AG140" s="158">
        <f t="shared" si="422"/>
        <v>144212.8879</v>
      </c>
      <c r="AH140" s="158">
        <f t="shared" si="423"/>
        <v>125877.6715</v>
      </c>
      <c r="AI140" s="158">
        <f t="shared" si="424"/>
        <v>110165.49290000001</v>
      </c>
      <c r="AJ140" s="158">
        <f t="shared" si="425"/>
        <v>116587.56513999999</v>
      </c>
      <c r="AK140" s="158">
        <f t="shared" si="426"/>
        <v>149033.99900000001</v>
      </c>
      <c r="AL140" s="158">
        <f t="shared" si="427"/>
        <v>275283.07477000001</v>
      </c>
      <c r="AM140" s="158">
        <f t="shared" si="428"/>
        <v>158046.90600000002</v>
      </c>
      <c r="AN140" s="158">
        <f t="shared" si="429"/>
        <v>104042.53</v>
      </c>
      <c r="AO140" s="158">
        <f t="shared" si="430"/>
        <v>150623.60999999999</v>
      </c>
      <c r="AP140" s="158">
        <f t="shared" si="431"/>
        <v>199377.2775</v>
      </c>
      <c r="AQ140" s="190">
        <f t="shared" si="408"/>
        <v>-0.27573724731685589</v>
      </c>
      <c r="AR140" s="64"/>
      <c r="AS140" s="67">
        <f t="shared" si="432"/>
        <v>0</v>
      </c>
      <c r="AT140" s="67">
        <f t="shared" si="433"/>
        <v>84291.675600000002</v>
      </c>
      <c r="AU140" s="67">
        <f t="shared" si="434"/>
        <v>225795.92330000002</v>
      </c>
      <c r="AV140" s="67">
        <f t="shared" si="435"/>
        <v>176151.00839999999</v>
      </c>
      <c r="AW140" s="67">
        <f t="shared" si="436"/>
        <v>159470.85667400001</v>
      </c>
      <c r="AX140" s="67">
        <f t="shared" si="437"/>
        <v>98867.277698999998</v>
      </c>
      <c r="AY140" s="67">
        <f t="shared" si="438"/>
        <v>177253.62546000001</v>
      </c>
      <c r="AZ140" s="158">
        <f t="shared" si="439"/>
        <v>108924.20863000001</v>
      </c>
      <c r="BA140" s="158">
        <f t="shared" si="440"/>
        <v>144212.8879</v>
      </c>
      <c r="BB140" s="158">
        <f t="shared" si="441"/>
        <v>125877.6715</v>
      </c>
      <c r="BC140" s="158">
        <f t="shared" si="442"/>
        <v>110165.49290000001</v>
      </c>
      <c r="BD140" s="158">
        <f t="shared" si="443"/>
        <v>116587.56513999999</v>
      </c>
      <c r="BE140" s="158">
        <f t="shared" si="444"/>
        <v>149033.99900000001</v>
      </c>
      <c r="BF140" s="158">
        <f t="shared" si="445"/>
        <v>275283.07477000001</v>
      </c>
      <c r="BG140" s="158">
        <f t="shared" si="446"/>
        <v>158046.90600000002</v>
      </c>
      <c r="BH140" s="158">
        <f t="shared" si="447"/>
        <v>104042.53</v>
      </c>
      <c r="BI140" s="158">
        <f t="shared" si="448"/>
        <v>150623.60999999999</v>
      </c>
      <c r="BJ140" s="158">
        <f t="shared" si="449"/>
        <v>199377.2775</v>
      </c>
      <c r="BK140" s="64"/>
      <c r="BL140" s="67">
        <f t="shared" si="450"/>
        <v>0</v>
      </c>
      <c r="BM140" s="67">
        <f t="shared" si="451"/>
        <v>84291.675600000002</v>
      </c>
      <c r="BN140" s="67">
        <f t="shared" si="452"/>
        <v>225795.92330000002</v>
      </c>
      <c r="BO140" s="67">
        <f t="shared" si="453"/>
        <v>176151.00839999999</v>
      </c>
      <c r="BP140" s="67">
        <f t="shared" si="454"/>
        <v>159470.85667400001</v>
      </c>
      <c r="BQ140" s="67">
        <f t="shared" si="455"/>
        <v>98867.277698999998</v>
      </c>
      <c r="BR140" s="67">
        <f t="shared" si="456"/>
        <v>177253.62546000001</v>
      </c>
      <c r="BS140" s="158">
        <f t="shared" si="457"/>
        <v>108924.20863000001</v>
      </c>
      <c r="BT140" s="158">
        <f t="shared" si="458"/>
        <v>144212.8879</v>
      </c>
      <c r="BU140" s="158">
        <f t="shared" si="459"/>
        <v>125877.6715</v>
      </c>
      <c r="BV140" s="158">
        <f t="shared" si="460"/>
        <v>110165.49290000001</v>
      </c>
      <c r="BW140" s="158">
        <f t="shared" si="461"/>
        <v>116587.56513999999</v>
      </c>
      <c r="BX140" s="158">
        <f t="shared" si="462"/>
        <v>149033.99900000001</v>
      </c>
      <c r="BY140" s="158">
        <f t="shared" si="463"/>
        <v>275283.07477000001</v>
      </c>
      <c r="BZ140" s="158">
        <f t="shared" si="464"/>
        <v>158046.90600000002</v>
      </c>
      <c r="CA140" s="158">
        <f t="shared" si="465"/>
        <v>104042.53</v>
      </c>
      <c r="CB140" s="158">
        <f t="shared" si="466"/>
        <v>150623.60999999999</v>
      </c>
      <c r="CC140" s="158">
        <f t="shared" si="467"/>
        <v>199377.2775</v>
      </c>
      <c r="CD140" s="64"/>
      <c r="CE140" s="67">
        <f t="shared" si="468"/>
        <v>0</v>
      </c>
      <c r="CF140" s="67">
        <f t="shared" si="469"/>
        <v>84291.675600000002</v>
      </c>
      <c r="CG140" s="67">
        <f t="shared" si="470"/>
        <v>225795.92330000002</v>
      </c>
      <c r="CH140" s="67">
        <f t="shared" si="471"/>
        <v>176151.00839999999</v>
      </c>
      <c r="CI140" s="67">
        <f t="shared" si="472"/>
        <v>159470.85667400001</v>
      </c>
      <c r="CJ140" s="67">
        <f t="shared" si="473"/>
        <v>98867.277698999998</v>
      </c>
      <c r="CK140" s="67">
        <f t="shared" si="474"/>
        <v>177253.62546000001</v>
      </c>
      <c r="CL140" s="158">
        <f t="shared" si="475"/>
        <v>108924.20863000001</v>
      </c>
      <c r="CM140" s="158">
        <f t="shared" si="476"/>
        <v>144212.8879</v>
      </c>
      <c r="CN140" s="158">
        <f t="shared" si="477"/>
        <v>125877.6715</v>
      </c>
      <c r="CO140" s="158">
        <f t="shared" si="478"/>
        <v>110165.49290000001</v>
      </c>
      <c r="CP140" s="158">
        <f t="shared" si="479"/>
        <v>116587.56513999999</v>
      </c>
      <c r="CQ140" s="158">
        <f t="shared" si="480"/>
        <v>149033.99900000001</v>
      </c>
      <c r="CR140" s="158">
        <f t="shared" si="481"/>
        <v>275283.07477000001</v>
      </c>
      <c r="CS140" s="158">
        <f t="shared" si="482"/>
        <v>158046.90600000002</v>
      </c>
      <c r="CT140" s="158">
        <f t="shared" si="483"/>
        <v>104042.53</v>
      </c>
      <c r="CU140" s="158">
        <f t="shared" si="484"/>
        <v>150623.60999999999</v>
      </c>
      <c r="CV140" s="158">
        <f t="shared" si="485"/>
        <v>199377.2775</v>
      </c>
      <c r="CW140" s="190">
        <f t="shared" si="412"/>
        <v>-0.27573724731685589</v>
      </c>
      <c r="CX140" s="64"/>
      <c r="CY140" s="67">
        <f t="shared" si="486"/>
        <v>0</v>
      </c>
      <c r="CZ140" s="67">
        <f t="shared" si="487"/>
        <v>84291.675600000002</v>
      </c>
      <c r="DA140" s="67">
        <f t="shared" si="488"/>
        <v>225795.92330000002</v>
      </c>
      <c r="DB140" s="67">
        <f t="shared" si="489"/>
        <v>176151.00839999999</v>
      </c>
      <c r="DC140" s="67">
        <f t="shared" si="490"/>
        <v>159470.85667400001</v>
      </c>
      <c r="DD140" s="67">
        <f t="shared" si="491"/>
        <v>98867.277698999998</v>
      </c>
      <c r="DE140" s="67">
        <f t="shared" si="492"/>
        <v>177253.62546000001</v>
      </c>
      <c r="DF140" s="158">
        <f t="shared" si="493"/>
        <v>108924.20863000001</v>
      </c>
      <c r="DG140" s="158">
        <f t="shared" si="494"/>
        <v>144212.8879</v>
      </c>
      <c r="DH140" s="158">
        <f t="shared" si="495"/>
        <v>125877.6715</v>
      </c>
      <c r="DI140" s="158">
        <f t="shared" si="496"/>
        <v>110165.49290000001</v>
      </c>
      <c r="DJ140" s="158">
        <f t="shared" si="497"/>
        <v>116587.56513999999</v>
      </c>
      <c r="DK140" s="158">
        <f t="shared" si="498"/>
        <v>149033.99900000001</v>
      </c>
      <c r="DL140" s="158">
        <f t="shared" si="499"/>
        <v>275283.07477000001</v>
      </c>
      <c r="DM140" s="158">
        <f t="shared" si="500"/>
        <v>158046.90600000002</v>
      </c>
      <c r="DN140" s="158">
        <f t="shared" si="501"/>
        <v>104042.53</v>
      </c>
      <c r="DO140" s="158">
        <f t="shared" si="502"/>
        <v>150623.60999999999</v>
      </c>
      <c r="DP140" s="158">
        <f t="shared" si="503"/>
        <v>199377.2775</v>
      </c>
    </row>
    <row r="141" spans="2:120" x14ac:dyDescent="0.3">
      <c r="C141" s="65" t="s">
        <v>168</v>
      </c>
      <c r="D141" s="77"/>
      <c r="E141" s="97"/>
      <c r="F141" s="97">
        <v>72399.288189149884</v>
      </c>
      <c r="G141" s="97">
        <v>84414.745207562373</v>
      </c>
      <c r="H141" s="97">
        <v>95183.026776570332</v>
      </c>
      <c r="I141" s="97">
        <v>87640.994129999948</v>
      </c>
      <c r="J141" s="97">
        <v>156290.87495999999</v>
      </c>
      <c r="K141" s="97">
        <v>338216.059909</v>
      </c>
      <c r="L141" s="97">
        <v>559084.64411600004</v>
      </c>
      <c r="M141" s="97">
        <v>498633.99189999996</v>
      </c>
      <c r="N141" s="97">
        <v>414458.96028000006</v>
      </c>
      <c r="O141" s="97">
        <v>433712.33434999996</v>
      </c>
      <c r="P141" s="97">
        <v>438507.98789000022</v>
      </c>
      <c r="Q141" s="97">
        <v>287284.27159000008</v>
      </c>
      <c r="R141" s="97">
        <v>361878.52824999974</v>
      </c>
      <c r="S141" s="97">
        <v>424900.24482000002</v>
      </c>
      <c r="T141" s="97">
        <v>460822.44683000003</v>
      </c>
      <c r="U141" s="97">
        <v>467699.40752000001</v>
      </c>
      <c r="V141" s="97">
        <v>551773.04421999992</v>
      </c>
      <c r="W141" s="190">
        <f t="shared" si="406"/>
        <v>0.52474656865746305</v>
      </c>
      <c r="X141" s="230">
        <f>U141-'[1]Earnings Release'!AD150</f>
        <v>-9963.068120000069</v>
      </c>
      <c r="Y141" s="67">
        <f t="shared" si="414"/>
        <v>0</v>
      </c>
      <c r="Z141" s="67">
        <f t="shared" si="415"/>
        <v>72399.288189149884</v>
      </c>
      <c r="AA141" s="67">
        <f t="shared" si="416"/>
        <v>84414.745207562373</v>
      </c>
      <c r="AB141" s="67">
        <f t="shared" si="417"/>
        <v>95183.026776570332</v>
      </c>
      <c r="AC141" s="67">
        <f t="shared" si="418"/>
        <v>87640.994129999948</v>
      </c>
      <c r="AD141" s="67">
        <f t="shared" si="419"/>
        <v>156290.87495999999</v>
      </c>
      <c r="AE141" s="67">
        <f t="shared" si="420"/>
        <v>338216.059909</v>
      </c>
      <c r="AF141" s="158">
        <f t="shared" si="421"/>
        <v>559084.64411600004</v>
      </c>
      <c r="AG141" s="158">
        <f t="shared" si="422"/>
        <v>498633.99189999996</v>
      </c>
      <c r="AH141" s="158">
        <f t="shared" si="423"/>
        <v>414458.96028000006</v>
      </c>
      <c r="AI141" s="158">
        <f t="shared" si="424"/>
        <v>433712.33434999996</v>
      </c>
      <c r="AJ141" s="158">
        <f t="shared" si="425"/>
        <v>438507.98789000022</v>
      </c>
      <c r="AK141" s="158">
        <f t="shared" si="426"/>
        <v>287284.27159000008</v>
      </c>
      <c r="AL141" s="158">
        <f t="shared" si="427"/>
        <v>361878.52824999974</v>
      </c>
      <c r="AM141" s="158">
        <f t="shared" si="428"/>
        <v>424900.24482000002</v>
      </c>
      <c r="AN141" s="158">
        <f t="shared" si="429"/>
        <v>460822.44683000003</v>
      </c>
      <c r="AO141" s="158">
        <f t="shared" si="430"/>
        <v>467699.40752000001</v>
      </c>
      <c r="AP141" s="158">
        <f t="shared" si="431"/>
        <v>551773.04421999992</v>
      </c>
      <c r="AQ141" s="190">
        <f t="shared" si="408"/>
        <v>0.52474656865746305</v>
      </c>
      <c r="AR141" s="64"/>
      <c r="AS141" s="67">
        <f t="shared" si="432"/>
        <v>0</v>
      </c>
      <c r="AT141" s="67">
        <f t="shared" si="433"/>
        <v>72399.288189149884</v>
      </c>
      <c r="AU141" s="67">
        <f t="shared" si="434"/>
        <v>84414.745207562373</v>
      </c>
      <c r="AV141" s="67">
        <f t="shared" si="435"/>
        <v>95183.026776570332</v>
      </c>
      <c r="AW141" s="67">
        <f t="shared" si="436"/>
        <v>87640.994129999948</v>
      </c>
      <c r="AX141" s="67">
        <f t="shared" si="437"/>
        <v>156290.87495999999</v>
      </c>
      <c r="AY141" s="67">
        <f t="shared" si="438"/>
        <v>338216.059909</v>
      </c>
      <c r="AZ141" s="158">
        <f t="shared" si="439"/>
        <v>559084.64411600004</v>
      </c>
      <c r="BA141" s="158">
        <f t="shared" si="440"/>
        <v>498633.99189999996</v>
      </c>
      <c r="BB141" s="158">
        <f t="shared" si="441"/>
        <v>414458.96028000006</v>
      </c>
      <c r="BC141" s="158">
        <f t="shared" si="442"/>
        <v>433712.33434999996</v>
      </c>
      <c r="BD141" s="158">
        <f t="shared" si="443"/>
        <v>438507.98789000022</v>
      </c>
      <c r="BE141" s="158">
        <f t="shared" si="444"/>
        <v>287284.27159000008</v>
      </c>
      <c r="BF141" s="158">
        <f t="shared" si="445"/>
        <v>361878.52824999974</v>
      </c>
      <c r="BG141" s="158">
        <f t="shared" si="446"/>
        <v>424900.24482000002</v>
      </c>
      <c r="BH141" s="158">
        <f t="shared" si="447"/>
        <v>460822.44683000003</v>
      </c>
      <c r="BI141" s="158">
        <f t="shared" si="448"/>
        <v>467699.40752000001</v>
      </c>
      <c r="BJ141" s="158">
        <f t="shared" si="449"/>
        <v>551773.04421999992</v>
      </c>
      <c r="BK141" s="64"/>
      <c r="BL141" s="67">
        <f t="shared" si="450"/>
        <v>0</v>
      </c>
      <c r="BM141" s="67">
        <f t="shared" si="451"/>
        <v>72399.288189149884</v>
      </c>
      <c r="BN141" s="67">
        <f t="shared" si="452"/>
        <v>84414.745207562373</v>
      </c>
      <c r="BO141" s="67">
        <f t="shared" si="453"/>
        <v>95183.026776570332</v>
      </c>
      <c r="BP141" s="67">
        <f t="shared" si="454"/>
        <v>87640.994129999948</v>
      </c>
      <c r="BQ141" s="67">
        <f t="shared" si="455"/>
        <v>156290.87495999999</v>
      </c>
      <c r="BR141" s="67">
        <f t="shared" si="456"/>
        <v>338216.059909</v>
      </c>
      <c r="BS141" s="158">
        <f t="shared" si="457"/>
        <v>559084.64411600004</v>
      </c>
      <c r="BT141" s="158">
        <f t="shared" si="458"/>
        <v>498633.99189999996</v>
      </c>
      <c r="BU141" s="158">
        <f t="shared" si="459"/>
        <v>414458.96028000006</v>
      </c>
      <c r="BV141" s="158">
        <f t="shared" si="460"/>
        <v>433712.33434999996</v>
      </c>
      <c r="BW141" s="158">
        <f t="shared" si="461"/>
        <v>438507.98789000022</v>
      </c>
      <c r="BX141" s="158">
        <f t="shared" si="462"/>
        <v>287284.27159000008</v>
      </c>
      <c r="BY141" s="158">
        <f t="shared" si="463"/>
        <v>361878.52824999974</v>
      </c>
      <c r="BZ141" s="158">
        <f t="shared" si="464"/>
        <v>424900.24482000002</v>
      </c>
      <c r="CA141" s="158">
        <f t="shared" si="465"/>
        <v>460822.44683000003</v>
      </c>
      <c r="CB141" s="158">
        <f t="shared" si="466"/>
        <v>467699.40752000001</v>
      </c>
      <c r="CC141" s="158">
        <f t="shared" si="467"/>
        <v>551773.04421999992</v>
      </c>
      <c r="CD141" s="64"/>
      <c r="CE141" s="67">
        <f t="shared" si="468"/>
        <v>0</v>
      </c>
      <c r="CF141" s="67">
        <f t="shared" si="469"/>
        <v>72399.288189149884</v>
      </c>
      <c r="CG141" s="67">
        <f t="shared" si="470"/>
        <v>84414.745207562373</v>
      </c>
      <c r="CH141" s="67">
        <f t="shared" si="471"/>
        <v>95183.026776570332</v>
      </c>
      <c r="CI141" s="67">
        <f t="shared" si="472"/>
        <v>87640.994129999948</v>
      </c>
      <c r="CJ141" s="67">
        <f t="shared" si="473"/>
        <v>156290.87495999999</v>
      </c>
      <c r="CK141" s="67">
        <f t="shared" si="474"/>
        <v>338216.059909</v>
      </c>
      <c r="CL141" s="158">
        <f t="shared" si="475"/>
        <v>559084.64411600004</v>
      </c>
      <c r="CM141" s="158">
        <f t="shared" si="476"/>
        <v>498633.99189999996</v>
      </c>
      <c r="CN141" s="158">
        <f t="shared" si="477"/>
        <v>414458.96028000006</v>
      </c>
      <c r="CO141" s="158">
        <f t="shared" si="478"/>
        <v>433712.33434999996</v>
      </c>
      <c r="CP141" s="158">
        <f t="shared" si="479"/>
        <v>438507.98789000022</v>
      </c>
      <c r="CQ141" s="158">
        <f t="shared" si="480"/>
        <v>287284.27159000008</v>
      </c>
      <c r="CR141" s="158">
        <f t="shared" si="481"/>
        <v>361878.52824999974</v>
      </c>
      <c r="CS141" s="158">
        <f t="shared" si="482"/>
        <v>424900.24482000002</v>
      </c>
      <c r="CT141" s="158">
        <f t="shared" si="483"/>
        <v>460822.44683000003</v>
      </c>
      <c r="CU141" s="158">
        <f t="shared" si="484"/>
        <v>467699.40752000001</v>
      </c>
      <c r="CV141" s="158">
        <f t="shared" si="485"/>
        <v>551773.04421999992</v>
      </c>
      <c r="CW141" s="190">
        <f t="shared" si="412"/>
        <v>0.52474656865746305</v>
      </c>
      <c r="CX141" s="64"/>
      <c r="CY141" s="67">
        <f t="shared" si="486"/>
        <v>0</v>
      </c>
      <c r="CZ141" s="67">
        <f t="shared" si="487"/>
        <v>72399.288189149884</v>
      </c>
      <c r="DA141" s="67">
        <f t="shared" si="488"/>
        <v>84414.745207562373</v>
      </c>
      <c r="DB141" s="67">
        <f t="shared" si="489"/>
        <v>95183.026776570332</v>
      </c>
      <c r="DC141" s="67">
        <f t="shared" si="490"/>
        <v>87640.994129999948</v>
      </c>
      <c r="DD141" s="67">
        <f t="shared" si="491"/>
        <v>156290.87495999999</v>
      </c>
      <c r="DE141" s="67">
        <f t="shared" si="492"/>
        <v>338216.059909</v>
      </c>
      <c r="DF141" s="158">
        <f t="shared" si="493"/>
        <v>559084.64411600004</v>
      </c>
      <c r="DG141" s="158">
        <f t="shared" si="494"/>
        <v>498633.99189999996</v>
      </c>
      <c r="DH141" s="158">
        <f t="shared" si="495"/>
        <v>414458.96028000006</v>
      </c>
      <c r="DI141" s="158">
        <f t="shared" si="496"/>
        <v>433712.33434999996</v>
      </c>
      <c r="DJ141" s="158">
        <f t="shared" si="497"/>
        <v>438507.98789000022</v>
      </c>
      <c r="DK141" s="158">
        <f t="shared" si="498"/>
        <v>287284.27159000008</v>
      </c>
      <c r="DL141" s="158">
        <f t="shared" si="499"/>
        <v>361878.52824999974</v>
      </c>
      <c r="DM141" s="158">
        <f t="shared" si="500"/>
        <v>424900.24482000002</v>
      </c>
      <c r="DN141" s="158">
        <f t="shared" si="501"/>
        <v>460822.44683000003</v>
      </c>
      <c r="DO141" s="158">
        <f t="shared" si="502"/>
        <v>467699.40752000001</v>
      </c>
      <c r="DP141" s="158">
        <f t="shared" si="503"/>
        <v>551773.04421999992</v>
      </c>
    </row>
    <row r="142" spans="2:120" x14ac:dyDescent="0.3">
      <c r="C142" s="65"/>
      <c r="D142" s="77"/>
      <c r="E142" s="45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131"/>
      <c r="Y142" s="45"/>
      <c r="Z142" s="62"/>
      <c r="AA142" s="62"/>
      <c r="AB142" s="62"/>
      <c r="AC142" s="62"/>
      <c r="AD142" s="62"/>
      <c r="AE142" s="62"/>
      <c r="AF142" s="91"/>
      <c r="AG142" s="91"/>
      <c r="AH142" s="91"/>
      <c r="AI142" s="91"/>
      <c r="AJ142" s="91"/>
      <c r="AK142" s="91"/>
      <c r="AL142" s="91"/>
      <c r="AM142" s="91"/>
      <c r="AN142" s="91"/>
      <c r="AO142" s="91"/>
      <c r="AP142" s="91"/>
      <c r="AQ142" s="131"/>
      <c r="AS142" s="45"/>
      <c r="AT142" s="62"/>
      <c r="AU142" s="62"/>
      <c r="AV142" s="62"/>
      <c r="AW142" s="62"/>
      <c r="AX142" s="62"/>
      <c r="AY142" s="62"/>
      <c r="AZ142" s="91"/>
      <c r="BA142" s="91"/>
      <c r="BB142" s="91"/>
      <c r="BC142" s="91"/>
      <c r="BD142" s="91"/>
      <c r="BE142" s="91"/>
      <c r="BF142" s="91"/>
      <c r="BG142" s="91"/>
      <c r="BH142" s="91"/>
      <c r="BI142" s="91"/>
      <c r="BJ142" s="91"/>
      <c r="BL142" s="45"/>
      <c r="BM142" s="62"/>
      <c r="BN142" s="62"/>
      <c r="BO142" s="62"/>
      <c r="BP142" s="62"/>
      <c r="BQ142" s="62"/>
      <c r="BR142" s="62"/>
      <c r="BS142" s="91"/>
      <c r="BT142" s="91"/>
      <c r="BU142" s="91"/>
      <c r="BV142" s="91"/>
      <c r="BW142" s="91"/>
      <c r="BX142" s="91"/>
      <c r="BY142" s="91"/>
      <c r="BZ142" s="91"/>
      <c r="CA142" s="91"/>
      <c r="CB142" s="91"/>
      <c r="CC142" s="91"/>
      <c r="CE142" s="45"/>
      <c r="CF142" s="62"/>
      <c r="CG142" s="62"/>
      <c r="CH142" s="62"/>
      <c r="CI142" s="62"/>
      <c r="CJ142" s="62"/>
      <c r="CK142" s="62"/>
      <c r="CL142" s="91"/>
      <c r="CM142" s="91"/>
      <c r="CN142" s="91"/>
      <c r="CO142" s="91"/>
      <c r="CP142" s="91"/>
      <c r="CQ142" s="91"/>
      <c r="CR142" s="91"/>
      <c r="CS142" s="91"/>
      <c r="CT142" s="91"/>
      <c r="CU142" s="91"/>
      <c r="CV142" s="91"/>
      <c r="CW142" s="131"/>
      <c r="CY142" s="45"/>
      <c r="CZ142" s="62"/>
      <c r="DA142" s="62"/>
      <c r="DB142" s="62"/>
      <c r="DC142" s="62"/>
      <c r="DD142" s="62"/>
      <c r="DE142" s="62"/>
      <c r="DF142" s="91"/>
      <c r="DG142" s="91"/>
      <c r="DH142" s="91"/>
      <c r="DI142" s="91"/>
      <c r="DJ142" s="91"/>
      <c r="DK142" s="91"/>
      <c r="DL142" s="91"/>
      <c r="DM142" s="91"/>
      <c r="DN142" s="91"/>
      <c r="DO142" s="91"/>
      <c r="DP142" s="91"/>
    </row>
    <row r="143" spans="2:120" x14ac:dyDescent="0.3">
      <c r="C143" s="99" t="s">
        <v>123</v>
      </c>
      <c r="D143" s="125"/>
      <c r="E143" s="48">
        <f>E144</f>
        <v>0</v>
      </c>
      <c r="F143" s="48">
        <f t="shared" ref="F143:V143" si="504">F144</f>
        <v>209736.83299999998</v>
      </c>
      <c r="G143" s="48">
        <f t="shared" si="504"/>
        <v>163098.75917999999</v>
      </c>
      <c r="H143" s="48">
        <f t="shared" si="504"/>
        <v>147344.29431</v>
      </c>
      <c r="I143" s="48">
        <f t="shared" si="504"/>
        <v>126066.12717000001</v>
      </c>
      <c r="J143" s="48">
        <f t="shared" si="504"/>
        <v>117660.27512999999</v>
      </c>
      <c r="K143" s="48">
        <f t="shared" si="504"/>
        <v>86373.878999999986</v>
      </c>
      <c r="L143" s="48">
        <f t="shared" si="504"/>
        <v>24773.553628850001</v>
      </c>
      <c r="M143" s="48">
        <f t="shared" si="504"/>
        <v>30372.9</v>
      </c>
      <c r="N143" s="48">
        <f t="shared" si="504"/>
        <v>55831.952299999997</v>
      </c>
      <c r="O143" s="48">
        <f t="shared" si="504"/>
        <v>63979.830999999998</v>
      </c>
      <c r="P143" s="48">
        <f t="shared" si="504"/>
        <v>39992.54</v>
      </c>
      <c r="Q143" s="48">
        <f t="shared" si="504"/>
        <v>24459.5</v>
      </c>
      <c r="R143" s="48">
        <f t="shared" si="504"/>
        <v>37347.349000000002</v>
      </c>
      <c r="S143" s="48">
        <f t="shared" si="504"/>
        <v>16245</v>
      </c>
      <c r="T143" s="48">
        <f t="shared" si="504"/>
        <v>21446</v>
      </c>
      <c r="U143" s="48">
        <f t="shared" si="504"/>
        <v>75840.5</v>
      </c>
      <c r="V143" s="48">
        <f t="shared" si="504"/>
        <v>59433.375</v>
      </c>
      <c r="W143" s="173">
        <f t="shared" si="406"/>
        <v>0.59136797099039073</v>
      </c>
      <c r="Y143" s="48">
        <f t="shared" ref="Y143:BO143" si="505">Y144</f>
        <v>0</v>
      </c>
      <c r="Z143" s="48">
        <f t="shared" si="505"/>
        <v>209736.83299999998</v>
      </c>
      <c r="AA143" s="48">
        <f t="shared" si="505"/>
        <v>163098.75917999999</v>
      </c>
      <c r="AB143" s="48">
        <f t="shared" si="505"/>
        <v>147344.29431</v>
      </c>
      <c r="AC143" s="48">
        <f t="shared" si="505"/>
        <v>126066.12717000001</v>
      </c>
      <c r="AD143" s="48">
        <f t="shared" si="505"/>
        <v>117660.27512999999</v>
      </c>
      <c r="AE143" s="48">
        <f t="shared" si="505"/>
        <v>86373.878999999986</v>
      </c>
      <c r="AF143" s="159">
        <f t="shared" si="505"/>
        <v>24773.553628850001</v>
      </c>
      <c r="AG143" s="159">
        <f t="shared" si="505"/>
        <v>30372.9</v>
      </c>
      <c r="AH143" s="159">
        <f t="shared" si="505"/>
        <v>55831.952299999997</v>
      </c>
      <c r="AI143" s="159">
        <f t="shared" si="505"/>
        <v>63979.830999999998</v>
      </c>
      <c r="AJ143" s="159">
        <f t="shared" si="505"/>
        <v>39992.54</v>
      </c>
      <c r="AK143" s="159">
        <f t="shared" si="505"/>
        <v>24459.5</v>
      </c>
      <c r="AL143" s="159">
        <f t="shared" si="505"/>
        <v>37347.349000000002</v>
      </c>
      <c r="AM143" s="159">
        <f t="shared" si="505"/>
        <v>16245</v>
      </c>
      <c r="AN143" s="159">
        <f t="shared" si="505"/>
        <v>21446</v>
      </c>
      <c r="AO143" s="159">
        <f t="shared" si="505"/>
        <v>75840.5</v>
      </c>
      <c r="AP143" s="159">
        <f t="shared" si="505"/>
        <v>59433.375</v>
      </c>
      <c r="AQ143" s="173">
        <f>AP143/AL143-1</f>
        <v>0.59136797099039073</v>
      </c>
      <c r="AS143" s="48">
        <f t="shared" si="505"/>
        <v>0</v>
      </c>
      <c r="AT143" s="48">
        <f t="shared" si="505"/>
        <v>209736.83299999998</v>
      </c>
      <c r="AU143" s="48">
        <f t="shared" si="505"/>
        <v>163098.75917999999</v>
      </c>
      <c r="AV143" s="48">
        <f t="shared" si="505"/>
        <v>147344.29431</v>
      </c>
      <c r="AW143" s="48">
        <f t="shared" si="505"/>
        <v>126066.12717000001</v>
      </c>
      <c r="AX143" s="48">
        <f t="shared" si="505"/>
        <v>117660.27512999999</v>
      </c>
      <c r="AY143" s="48">
        <f t="shared" si="505"/>
        <v>86373.878999999986</v>
      </c>
      <c r="AZ143" s="159">
        <f t="shared" si="505"/>
        <v>24773.553628850001</v>
      </c>
      <c r="BA143" s="159">
        <f t="shared" si="505"/>
        <v>30372.9</v>
      </c>
      <c r="BB143" s="159">
        <f t="shared" si="505"/>
        <v>55831.952299999997</v>
      </c>
      <c r="BC143" s="159">
        <f t="shared" si="505"/>
        <v>63979.830999999998</v>
      </c>
      <c r="BD143" s="159">
        <f t="shared" si="505"/>
        <v>39992.54</v>
      </c>
      <c r="BE143" s="159">
        <f t="shared" si="505"/>
        <v>24459.5</v>
      </c>
      <c r="BF143" s="159">
        <f t="shared" si="505"/>
        <v>37347.349000000002</v>
      </c>
      <c r="BG143" s="159">
        <f t="shared" si="505"/>
        <v>16245</v>
      </c>
      <c r="BH143" s="159">
        <f t="shared" si="505"/>
        <v>21446</v>
      </c>
      <c r="BI143" s="159">
        <f t="shared" si="505"/>
        <v>75840.5</v>
      </c>
      <c r="BJ143" s="159">
        <f t="shared" si="505"/>
        <v>59433.375</v>
      </c>
      <c r="BL143" s="48">
        <f t="shared" si="505"/>
        <v>0</v>
      </c>
      <c r="BM143" s="48">
        <f t="shared" si="505"/>
        <v>209736.83299999998</v>
      </c>
      <c r="BN143" s="48">
        <f t="shared" si="505"/>
        <v>163098.75917999999</v>
      </c>
      <c r="BO143" s="48">
        <f t="shared" si="505"/>
        <v>147344.29431</v>
      </c>
      <c r="BP143" s="48">
        <f t="shared" ref="BP143:CC143" si="506">BP144</f>
        <v>126066.12717000001</v>
      </c>
      <c r="BQ143" s="48">
        <f t="shared" si="506"/>
        <v>117660.27512999999</v>
      </c>
      <c r="BR143" s="48">
        <f t="shared" si="506"/>
        <v>86373.878999999986</v>
      </c>
      <c r="BS143" s="159">
        <f t="shared" si="506"/>
        <v>24773.553628850001</v>
      </c>
      <c r="BT143" s="159">
        <f t="shared" si="506"/>
        <v>30372.9</v>
      </c>
      <c r="BU143" s="159">
        <f t="shared" si="506"/>
        <v>55831.952299999997</v>
      </c>
      <c r="BV143" s="159">
        <f t="shared" si="506"/>
        <v>63979.830999999998</v>
      </c>
      <c r="BW143" s="159">
        <f t="shared" si="506"/>
        <v>39992.54</v>
      </c>
      <c r="BX143" s="159">
        <f t="shared" si="506"/>
        <v>24459.5</v>
      </c>
      <c r="BY143" s="159">
        <f t="shared" si="506"/>
        <v>37347.349000000002</v>
      </c>
      <c r="BZ143" s="159">
        <f t="shared" si="506"/>
        <v>16245</v>
      </c>
      <c r="CA143" s="159">
        <f t="shared" si="506"/>
        <v>21446</v>
      </c>
      <c r="CB143" s="159">
        <f t="shared" si="506"/>
        <v>75840.5</v>
      </c>
      <c r="CC143" s="159">
        <f t="shared" si="506"/>
        <v>59433.375</v>
      </c>
      <c r="CE143" s="48">
        <f t="shared" ref="CE143:CV143" si="507">CE144</f>
        <v>0</v>
      </c>
      <c r="CF143" s="48">
        <f t="shared" si="507"/>
        <v>209736.83299999998</v>
      </c>
      <c r="CG143" s="48">
        <f t="shared" si="507"/>
        <v>163098.75917999999</v>
      </c>
      <c r="CH143" s="48">
        <f t="shared" si="507"/>
        <v>147344.29431</v>
      </c>
      <c r="CI143" s="48">
        <f t="shared" si="507"/>
        <v>126066.12717000001</v>
      </c>
      <c r="CJ143" s="48">
        <f t="shared" si="507"/>
        <v>117660.27512999999</v>
      </c>
      <c r="CK143" s="48">
        <f t="shared" si="507"/>
        <v>86373.878999999986</v>
      </c>
      <c r="CL143" s="159">
        <f t="shared" si="507"/>
        <v>24773.553628850001</v>
      </c>
      <c r="CM143" s="159">
        <f t="shared" si="507"/>
        <v>30372.9</v>
      </c>
      <c r="CN143" s="159">
        <f t="shared" si="507"/>
        <v>55831.952299999997</v>
      </c>
      <c r="CO143" s="159">
        <f t="shared" si="507"/>
        <v>63979.830999999998</v>
      </c>
      <c r="CP143" s="159">
        <f t="shared" si="507"/>
        <v>39992.54</v>
      </c>
      <c r="CQ143" s="159">
        <f t="shared" si="507"/>
        <v>24459.5</v>
      </c>
      <c r="CR143" s="159">
        <f t="shared" si="507"/>
        <v>37347.349000000002</v>
      </c>
      <c r="CS143" s="159">
        <f t="shared" si="507"/>
        <v>16245</v>
      </c>
      <c r="CT143" s="159">
        <f t="shared" si="507"/>
        <v>21446</v>
      </c>
      <c r="CU143" s="159">
        <f t="shared" si="507"/>
        <v>75840.5</v>
      </c>
      <c r="CV143" s="159">
        <f t="shared" si="507"/>
        <v>59433.375</v>
      </c>
      <c r="CW143" s="173">
        <f>CV143/CR143-1</f>
        <v>0.59136797099039073</v>
      </c>
      <c r="CY143" s="48">
        <f t="shared" ref="CY143:DP143" si="508">CY144</f>
        <v>0</v>
      </c>
      <c r="CZ143" s="48">
        <f t="shared" si="508"/>
        <v>209736.83299999998</v>
      </c>
      <c r="DA143" s="48">
        <f t="shared" si="508"/>
        <v>163098.75917999999</v>
      </c>
      <c r="DB143" s="48">
        <f t="shared" si="508"/>
        <v>147344.29431</v>
      </c>
      <c r="DC143" s="48">
        <f t="shared" si="508"/>
        <v>126066.12717000001</v>
      </c>
      <c r="DD143" s="48">
        <f t="shared" si="508"/>
        <v>117660.27512999999</v>
      </c>
      <c r="DE143" s="48">
        <f t="shared" si="508"/>
        <v>86373.878999999986</v>
      </c>
      <c r="DF143" s="159">
        <f t="shared" si="508"/>
        <v>24773.553628850001</v>
      </c>
      <c r="DG143" s="159">
        <f t="shared" si="508"/>
        <v>30372.9</v>
      </c>
      <c r="DH143" s="159">
        <f t="shared" si="508"/>
        <v>55831.952299999997</v>
      </c>
      <c r="DI143" s="159">
        <f t="shared" si="508"/>
        <v>63979.830999999998</v>
      </c>
      <c r="DJ143" s="159">
        <f t="shared" si="508"/>
        <v>39992.54</v>
      </c>
      <c r="DK143" s="159">
        <f t="shared" si="508"/>
        <v>24459.5</v>
      </c>
      <c r="DL143" s="159">
        <f t="shared" si="508"/>
        <v>37347.349000000002</v>
      </c>
      <c r="DM143" s="159">
        <f t="shared" si="508"/>
        <v>16245</v>
      </c>
      <c r="DN143" s="159">
        <f t="shared" si="508"/>
        <v>21446</v>
      </c>
      <c r="DO143" s="159">
        <f t="shared" si="508"/>
        <v>75840.5</v>
      </c>
      <c r="DP143" s="159">
        <f t="shared" si="508"/>
        <v>59433.375</v>
      </c>
    </row>
    <row r="144" spans="2:120" x14ac:dyDescent="0.3">
      <c r="C144" s="65" t="s">
        <v>117</v>
      </c>
      <c r="D144" s="77"/>
      <c r="E144" s="97"/>
      <c r="F144" s="97">
        <v>209736.83299999998</v>
      </c>
      <c r="G144" s="97">
        <v>163098.75917999999</v>
      </c>
      <c r="H144" s="97">
        <v>147344.29431</v>
      </c>
      <c r="I144" s="97">
        <v>126066.12717000001</v>
      </c>
      <c r="J144" s="97">
        <v>117660.27512999999</v>
      </c>
      <c r="K144" s="97">
        <v>86373.878999999986</v>
      </c>
      <c r="L144" s="97">
        <v>24773.553628850001</v>
      </c>
      <c r="M144" s="97">
        <v>30372.9</v>
      </c>
      <c r="N144" s="97">
        <v>55831.952299999997</v>
      </c>
      <c r="O144" s="97">
        <v>63979.830999999998</v>
      </c>
      <c r="P144" s="97">
        <v>39992.54</v>
      </c>
      <c r="Q144" s="97">
        <v>24459.5</v>
      </c>
      <c r="R144" s="97">
        <v>37347.349000000002</v>
      </c>
      <c r="S144" s="97">
        <v>16245</v>
      </c>
      <c r="T144" s="97">
        <v>21446</v>
      </c>
      <c r="U144" s="97">
        <v>75840.5</v>
      </c>
      <c r="V144" s="97">
        <v>59433.375</v>
      </c>
      <c r="W144" s="190">
        <f t="shared" si="406"/>
        <v>0.59136797099039073</v>
      </c>
      <c r="X144" s="197"/>
      <c r="Y144" s="67">
        <f>$E144</f>
        <v>0</v>
      </c>
      <c r="Z144" s="67">
        <f>$F144</f>
        <v>209736.83299999998</v>
      </c>
      <c r="AA144" s="67">
        <f>$G144</f>
        <v>163098.75917999999</v>
      </c>
      <c r="AB144" s="67">
        <f>$H144</f>
        <v>147344.29431</v>
      </c>
      <c r="AC144" s="67">
        <f>$I144</f>
        <v>126066.12717000001</v>
      </c>
      <c r="AD144" s="67">
        <f>$J144</f>
        <v>117660.27512999999</v>
      </c>
      <c r="AE144" s="67">
        <f>$K144</f>
        <v>86373.878999999986</v>
      </c>
      <c r="AF144" s="158">
        <f>$L144</f>
        <v>24773.553628850001</v>
      </c>
      <c r="AG144" s="158">
        <f>$M144</f>
        <v>30372.9</v>
      </c>
      <c r="AH144" s="158">
        <f>$N144</f>
        <v>55831.952299999997</v>
      </c>
      <c r="AI144" s="158">
        <f>$O144</f>
        <v>63979.830999999998</v>
      </c>
      <c r="AJ144" s="158">
        <f>$P144</f>
        <v>39992.54</v>
      </c>
      <c r="AK144" s="158">
        <f>$Q144</f>
        <v>24459.5</v>
      </c>
      <c r="AL144" s="158">
        <f>$R144</f>
        <v>37347.349000000002</v>
      </c>
      <c r="AM144" s="158">
        <f>$S144</f>
        <v>16245</v>
      </c>
      <c r="AN144" s="158">
        <f>$T144</f>
        <v>21446</v>
      </c>
      <c r="AO144" s="158">
        <f>$U144</f>
        <v>75840.5</v>
      </c>
      <c r="AP144" s="158">
        <f>$V144</f>
        <v>59433.375</v>
      </c>
      <c r="AQ144" s="190"/>
      <c r="AR144" s="64"/>
      <c r="AS144" s="67">
        <f>$E144</f>
        <v>0</v>
      </c>
      <c r="AT144" s="67">
        <f>$F144</f>
        <v>209736.83299999998</v>
      </c>
      <c r="AU144" s="67">
        <f>$G144</f>
        <v>163098.75917999999</v>
      </c>
      <c r="AV144" s="67">
        <f>$H144</f>
        <v>147344.29431</v>
      </c>
      <c r="AW144" s="67">
        <f>$I144</f>
        <v>126066.12717000001</v>
      </c>
      <c r="AX144" s="67">
        <f>$J144</f>
        <v>117660.27512999999</v>
      </c>
      <c r="AY144" s="67">
        <f>$K144</f>
        <v>86373.878999999986</v>
      </c>
      <c r="AZ144" s="158">
        <f>$L144</f>
        <v>24773.553628850001</v>
      </c>
      <c r="BA144" s="158">
        <f>$M144</f>
        <v>30372.9</v>
      </c>
      <c r="BB144" s="158">
        <f>$N144</f>
        <v>55831.952299999997</v>
      </c>
      <c r="BC144" s="158">
        <f>$O144</f>
        <v>63979.830999999998</v>
      </c>
      <c r="BD144" s="158">
        <f>$P144</f>
        <v>39992.54</v>
      </c>
      <c r="BE144" s="158">
        <f>$Q144</f>
        <v>24459.5</v>
      </c>
      <c r="BF144" s="158">
        <f>$R144</f>
        <v>37347.349000000002</v>
      </c>
      <c r="BG144" s="158">
        <f>$S144</f>
        <v>16245</v>
      </c>
      <c r="BH144" s="158">
        <f>$T144</f>
        <v>21446</v>
      </c>
      <c r="BI144" s="158">
        <f>$U144</f>
        <v>75840.5</v>
      </c>
      <c r="BJ144" s="158">
        <f>$V144</f>
        <v>59433.375</v>
      </c>
      <c r="BK144" s="64"/>
      <c r="BL144" s="67">
        <f>$E144</f>
        <v>0</v>
      </c>
      <c r="BM144" s="67">
        <f>$F144</f>
        <v>209736.83299999998</v>
      </c>
      <c r="BN144" s="67">
        <f>$G144</f>
        <v>163098.75917999999</v>
      </c>
      <c r="BO144" s="67">
        <f>$H144</f>
        <v>147344.29431</v>
      </c>
      <c r="BP144" s="67">
        <f>$I144</f>
        <v>126066.12717000001</v>
      </c>
      <c r="BQ144" s="67">
        <f>$J144</f>
        <v>117660.27512999999</v>
      </c>
      <c r="BR144" s="67">
        <f>$K144</f>
        <v>86373.878999999986</v>
      </c>
      <c r="BS144" s="158">
        <f>$L144</f>
        <v>24773.553628850001</v>
      </c>
      <c r="BT144" s="158">
        <f>$M144</f>
        <v>30372.9</v>
      </c>
      <c r="BU144" s="158">
        <f>$N144</f>
        <v>55831.952299999997</v>
      </c>
      <c r="BV144" s="158">
        <f>$O144</f>
        <v>63979.830999999998</v>
      </c>
      <c r="BW144" s="158">
        <f>$P144</f>
        <v>39992.54</v>
      </c>
      <c r="BX144" s="158">
        <f>$Q144</f>
        <v>24459.5</v>
      </c>
      <c r="BY144" s="158">
        <f>$R144</f>
        <v>37347.349000000002</v>
      </c>
      <c r="BZ144" s="158">
        <f>$S144</f>
        <v>16245</v>
      </c>
      <c r="CA144" s="158">
        <f>$T144</f>
        <v>21446</v>
      </c>
      <c r="CB144" s="158">
        <f>$U144</f>
        <v>75840.5</v>
      </c>
      <c r="CC144" s="158">
        <f>$V144</f>
        <v>59433.375</v>
      </c>
      <c r="CD144" s="64"/>
      <c r="CE144" s="67">
        <f>$E144</f>
        <v>0</v>
      </c>
      <c r="CF144" s="67">
        <f>$F144</f>
        <v>209736.83299999998</v>
      </c>
      <c r="CG144" s="67">
        <f>$G144</f>
        <v>163098.75917999999</v>
      </c>
      <c r="CH144" s="67">
        <f>$H144</f>
        <v>147344.29431</v>
      </c>
      <c r="CI144" s="67">
        <f>$I144</f>
        <v>126066.12717000001</v>
      </c>
      <c r="CJ144" s="67">
        <f>$J144</f>
        <v>117660.27512999999</v>
      </c>
      <c r="CK144" s="67">
        <f>$K144</f>
        <v>86373.878999999986</v>
      </c>
      <c r="CL144" s="158">
        <f>$L144</f>
        <v>24773.553628850001</v>
      </c>
      <c r="CM144" s="158">
        <f>$M144</f>
        <v>30372.9</v>
      </c>
      <c r="CN144" s="158">
        <f>$N144</f>
        <v>55831.952299999997</v>
      </c>
      <c r="CO144" s="158">
        <f>$O144</f>
        <v>63979.830999999998</v>
      </c>
      <c r="CP144" s="158">
        <f>$P144</f>
        <v>39992.54</v>
      </c>
      <c r="CQ144" s="158">
        <f>$Q144</f>
        <v>24459.5</v>
      </c>
      <c r="CR144" s="158">
        <f>$R144</f>
        <v>37347.349000000002</v>
      </c>
      <c r="CS144" s="158">
        <f>$S144</f>
        <v>16245</v>
      </c>
      <c r="CT144" s="158">
        <f>$T144</f>
        <v>21446</v>
      </c>
      <c r="CU144" s="158">
        <f>$U144</f>
        <v>75840.5</v>
      </c>
      <c r="CV144" s="158">
        <f>$V144</f>
        <v>59433.375</v>
      </c>
      <c r="CW144" s="190"/>
      <c r="CX144" s="64"/>
      <c r="CY144" s="67">
        <f>$E144</f>
        <v>0</v>
      </c>
      <c r="CZ144" s="67">
        <f>$F144</f>
        <v>209736.83299999998</v>
      </c>
      <c r="DA144" s="67">
        <f>$G144</f>
        <v>163098.75917999999</v>
      </c>
      <c r="DB144" s="67">
        <f>$H144</f>
        <v>147344.29431</v>
      </c>
      <c r="DC144" s="67">
        <f>$I144</f>
        <v>126066.12717000001</v>
      </c>
      <c r="DD144" s="67">
        <f>$J144</f>
        <v>117660.27512999999</v>
      </c>
      <c r="DE144" s="67">
        <f>$K144</f>
        <v>86373.878999999986</v>
      </c>
      <c r="DF144" s="158">
        <f>$L144</f>
        <v>24773.553628850001</v>
      </c>
      <c r="DG144" s="158">
        <f>$M144</f>
        <v>30372.9</v>
      </c>
      <c r="DH144" s="158">
        <f>$N144</f>
        <v>55831.952299999997</v>
      </c>
      <c r="DI144" s="158">
        <f>$O144</f>
        <v>63979.830999999998</v>
      </c>
      <c r="DJ144" s="158">
        <f>$P144</f>
        <v>39992.54</v>
      </c>
      <c r="DK144" s="158">
        <f>$Q144</f>
        <v>24459.5</v>
      </c>
      <c r="DL144" s="158">
        <f>$R144</f>
        <v>37347.349000000002</v>
      </c>
      <c r="DM144" s="158">
        <f>$S144</f>
        <v>16245</v>
      </c>
      <c r="DN144" s="158">
        <f>$T144</f>
        <v>21446</v>
      </c>
      <c r="DO144" s="158">
        <f>$U144</f>
        <v>75840.5</v>
      </c>
      <c r="DP144" s="158">
        <f>$V144</f>
        <v>59433.375</v>
      </c>
    </row>
    <row r="145" spans="2:120" x14ac:dyDescent="0.3">
      <c r="C145" s="65"/>
      <c r="D145" s="77"/>
      <c r="E145" s="45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131"/>
      <c r="Y145" s="45"/>
      <c r="Z145" s="62"/>
      <c r="AA145" s="62"/>
      <c r="AB145" s="62"/>
      <c r="AC145" s="62"/>
      <c r="AD145" s="62"/>
      <c r="AE145" s="62"/>
      <c r="AF145" s="62"/>
      <c r="AG145" s="62"/>
      <c r="AH145" s="62"/>
      <c r="AI145" s="62"/>
      <c r="AJ145" s="62"/>
      <c r="AK145" s="62"/>
      <c r="AL145" s="62"/>
      <c r="AM145" s="62"/>
      <c r="AN145" s="62"/>
      <c r="AO145" s="62"/>
      <c r="AP145" s="62"/>
      <c r="AQ145" s="131"/>
      <c r="AS145" s="45"/>
      <c r="AT145" s="62"/>
      <c r="AU145" s="62"/>
      <c r="AV145" s="62"/>
      <c r="AW145" s="62"/>
      <c r="AX145" s="62"/>
      <c r="AY145" s="62"/>
      <c r="AZ145" s="62"/>
      <c r="BA145" s="62"/>
      <c r="BB145" s="62"/>
      <c r="BC145" s="62"/>
      <c r="BD145" s="62"/>
      <c r="BE145" s="62"/>
      <c r="BF145" s="62"/>
      <c r="BG145" s="62"/>
      <c r="BH145" s="62"/>
      <c r="BI145" s="62"/>
      <c r="BJ145" s="62"/>
      <c r="BL145" s="45"/>
      <c r="BM145" s="62"/>
      <c r="BN145" s="62"/>
      <c r="BO145" s="62"/>
      <c r="BP145" s="62"/>
      <c r="BQ145" s="62"/>
      <c r="BR145" s="62"/>
      <c r="BS145" s="62"/>
      <c r="BT145" s="62"/>
      <c r="BU145" s="62"/>
      <c r="BV145" s="62"/>
      <c r="BW145" s="62"/>
      <c r="BX145" s="62"/>
      <c r="BY145" s="62"/>
      <c r="BZ145" s="62"/>
      <c r="CA145" s="62"/>
      <c r="CB145" s="62"/>
      <c r="CC145" s="62"/>
      <c r="CE145" s="45"/>
      <c r="CF145" s="62"/>
      <c r="CG145" s="62"/>
      <c r="CH145" s="62"/>
      <c r="CI145" s="62"/>
      <c r="CJ145" s="62"/>
      <c r="CK145" s="62"/>
      <c r="CL145" s="62"/>
      <c r="CM145" s="62"/>
      <c r="CN145" s="62"/>
      <c r="CO145" s="62"/>
      <c r="CP145" s="62"/>
      <c r="CQ145" s="62"/>
      <c r="CR145" s="62"/>
      <c r="CS145" s="62"/>
      <c r="CT145" s="62"/>
      <c r="CU145" s="62"/>
      <c r="CV145" s="62"/>
      <c r="CW145" s="131"/>
      <c r="CY145" s="45"/>
      <c r="CZ145" s="62"/>
      <c r="DA145" s="62"/>
      <c r="DB145" s="62"/>
      <c r="DC145" s="62"/>
      <c r="DD145" s="62"/>
      <c r="DE145" s="62"/>
      <c r="DF145" s="62"/>
      <c r="DG145" s="62"/>
      <c r="DH145" s="62"/>
      <c r="DI145" s="62"/>
      <c r="DJ145" s="62"/>
      <c r="DK145" s="62"/>
      <c r="DL145" s="62"/>
      <c r="DM145" s="62"/>
      <c r="DN145" s="62"/>
      <c r="DO145" s="62"/>
      <c r="DP145" s="62"/>
    </row>
    <row r="146" spans="2:120" ht="13.5" thickBot="1" x14ac:dyDescent="0.35">
      <c r="C146" s="74" t="s">
        <v>52</v>
      </c>
      <c r="D146" s="126"/>
      <c r="E146" s="75">
        <f t="shared" ref="E146:V146" si="509">E135+E143</f>
        <v>0</v>
      </c>
      <c r="F146" s="75">
        <f t="shared" si="509"/>
        <v>1397530.9845891497</v>
      </c>
      <c r="G146" s="75">
        <f t="shared" si="509"/>
        <v>1700092.9036775625</v>
      </c>
      <c r="H146" s="75">
        <f t="shared" si="509"/>
        <v>1660689.6371765702</v>
      </c>
      <c r="I146" s="75">
        <f t="shared" si="509"/>
        <v>1772490.0202606665</v>
      </c>
      <c r="J146" s="75">
        <f t="shared" si="509"/>
        <v>1931867.277089</v>
      </c>
      <c r="K146" s="75">
        <f t="shared" si="509"/>
        <v>2498951.8283890001</v>
      </c>
      <c r="L146" s="75">
        <f t="shared" si="509"/>
        <v>2609125.0792168896</v>
      </c>
      <c r="M146" s="75">
        <f t="shared" si="509"/>
        <v>3187234.9384793597</v>
      </c>
      <c r="N146" s="75">
        <f t="shared" si="509"/>
        <v>3100820.6935800002</v>
      </c>
      <c r="O146" s="75">
        <f t="shared" si="509"/>
        <v>4141292.8304025098</v>
      </c>
      <c r="P146" s="75">
        <f t="shared" si="509"/>
        <v>3792075.3540854799</v>
      </c>
      <c r="Q146" s="75">
        <f t="shared" si="509"/>
        <v>4136091.1020198097</v>
      </c>
      <c r="R146" s="75">
        <f t="shared" si="509"/>
        <v>4536440.8957946897</v>
      </c>
      <c r="S146" s="75">
        <f t="shared" si="509"/>
        <v>2587407.7199487998</v>
      </c>
      <c r="T146" s="75">
        <f t="shared" si="509"/>
        <v>2181055.7029400002</v>
      </c>
      <c r="U146" s="75">
        <f t="shared" si="509"/>
        <v>3554129.934369999</v>
      </c>
      <c r="V146" s="75">
        <f t="shared" si="509"/>
        <v>3307779.33960984</v>
      </c>
      <c r="W146" s="191">
        <f t="shared" si="406"/>
        <v>-0.27084262407647086</v>
      </c>
      <c r="Y146" s="75">
        <f t="shared" ref="Y146:AP146" si="510">Y135+Y143</f>
        <v>0</v>
      </c>
      <c r="Z146" s="75">
        <f t="shared" si="510"/>
        <v>1397530.9845891497</v>
      </c>
      <c r="AA146" s="75">
        <f t="shared" si="510"/>
        <v>1700092.9036775625</v>
      </c>
      <c r="AB146" s="75">
        <f t="shared" si="510"/>
        <v>1660689.6371765702</v>
      </c>
      <c r="AC146" s="75">
        <f t="shared" si="510"/>
        <v>1772490.0202606665</v>
      </c>
      <c r="AD146" s="75">
        <f t="shared" si="510"/>
        <v>1931867.277089</v>
      </c>
      <c r="AE146" s="75">
        <f t="shared" si="510"/>
        <v>2498951.8283890001</v>
      </c>
      <c r="AF146" s="75">
        <f t="shared" si="510"/>
        <v>2609125.0792168896</v>
      </c>
      <c r="AG146" s="75">
        <f t="shared" si="510"/>
        <v>3187234.9384793597</v>
      </c>
      <c r="AH146" s="75">
        <f t="shared" si="510"/>
        <v>3100820.6935800002</v>
      </c>
      <c r="AI146" s="75">
        <f t="shared" si="510"/>
        <v>4141292.8304025098</v>
      </c>
      <c r="AJ146" s="75">
        <f t="shared" si="510"/>
        <v>3792075.3540854799</v>
      </c>
      <c r="AK146" s="75">
        <f t="shared" si="510"/>
        <v>4136091.1020198097</v>
      </c>
      <c r="AL146" s="75">
        <f t="shared" si="510"/>
        <v>4536440.8957946897</v>
      </c>
      <c r="AM146" s="75">
        <f t="shared" si="510"/>
        <v>2587407.7199487998</v>
      </c>
      <c r="AN146" s="75">
        <f t="shared" si="510"/>
        <v>2181055.7029400002</v>
      </c>
      <c r="AO146" s="75">
        <f t="shared" si="510"/>
        <v>3554129.934369999</v>
      </c>
      <c r="AP146" s="75">
        <f t="shared" si="510"/>
        <v>3307779.33960984</v>
      </c>
      <c r="AQ146" s="191">
        <f>AP146/AL146-1</f>
        <v>-0.27084262407647086</v>
      </c>
      <c r="AS146" s="75">
        <f t="shared" ref="AS146:BJ146" si="511">AS135+AS143</f>
        <v>0</v>
      </c>
      <c r="AT146" s="75">
        <f t="shared" si="511"/>
        <v>1397530.9845891497</v>
      </c>
      <c r="AU146" s="75">
        <f t="shared" si="511"/>
        <v>1700092.9036775625</v>
      </c>
      <c r="AV146" s="75">
        <f t="shared" si="511"/>
        <v>1660689.6371765702</v>
      </c>
      <c r="AW146" s="75">
        <f t="shared" si="511"/>
        <v>1772490.0202606665</v>
      </c>
      <c r="AX146" s="75">
        <f t="shared" si="511"/>
        <v>1931867.277089</v>
      </c>
      <c r="AY146" s="75">
        <f t="shared" si="511"/>
        <v>2498951.8283890001</v>
      </c>
      <c r="AZ146" s="75">
        <f t="shared" si="511"/>
        <v>2609125.0792168896</v>
      </c>
      <c r="BA146" s="75">
        <f t="shared" si="511"/>
        <v>3187234.9384793597</v>
      </c>
      <c r="BB146" s="75">
        <f t="shared" si="511"/>
        <v>3100820.6935800002</v>
      </c>
      <c r="BC146" s="75">
        <f t="shared" si="511"/>
        <v>4141292.8304025098</v>
      </c>
      <c r="BD146" s="75">
        <f t="shared" si="511"/>
        <v>3792075.3540854799</v>
      </c>
      <c r="BE146" s="75">
        <f t="shared" si="511"/>
        <v>4136091.1020198097</v>
      </c>
      <c r="BF146" s="75">
        <f t="shared" si="511"/>
        <v>4536440.8957946897</v>
      </c>
      <c r="BG146" s="75">
        <f t="shared" si="511"/>
        <v>2587407.7199487998</v>
      </c>
      <c r="BH146" s="75">
        <f t="shared" si="511"/>
        <v>2181055.7029400002</v>
      </c>
      <c r="BI146" s="75">
        <f t="shared" si="511"/>
        <v>3554129.934369999</v>
      </c>
      <c r="BJ146" s="75">
        <f t="shared" si="511"/>
        <v>3307779.33960984</v>
      </c>
      <c r="BL146" s="75">
        <f t="shared" ref="BL146:CC146" si="512">BL135+BL143</f>
        <v>0</v>
      </c>
      <c r="BM146" s="75">
        <f t="shared" si="512"/>
        <v>1397530.9845891497</v>
      </c>
      <c r="BN146" s="75">
        <f t="shared" si="512"/>
        <v>1700092.9036775625</v>
      </c>
      <c r="BO146" s="75">
        <f t="shared" si="512"/>
        <v>1660689.6371765702</v>
      </c>
      <c r="BP146" s="75">
        <f t="shared" si="512"/>
        <v>1772490.0202606665</v>
      </c>
      <c r="BQ146" s="75">
        <f t="shared" si="512"/>
        <v>1931867.277089</v>
      </c>
      <c r="BR146" s="75">
        <f t="shared" si="512"/>
        <v>2498951.8283890001</v>
      </c>
      <c r="BS146" s="75">
        <f t="shared" si="512"/>
        <v>2609125.0792168896</v>
      </c>
      <c r="BT146" s="75">
        <f t="shared" si="512"/>
        <v>3187234.9384793597</v>
      </c>
      <c r="BU146" s="75">
        <f t="shared" si="512"/>
        <v>3100820.6935800002</v>
      </c>
      <c r="BV146" s="75">
        <f t="shared" si="512"/>
        <v>4141292.8304025098</v>
      </c>
      <c r="BW146" s="75">
        <f t="shared" si="512"/>
        <v>3792075.3540854799</v>
      </c>
      <c r="BX146" s="75">
        <f t="shared" si="512"/>
        <v>4136091.1020198097</v>
      </c>
      <c r="BY146" s="75">
        <f t="shared" si="512"/>
        <v>4536440.8957946897</v>
      </c>
      <c r="BZ146" s="75">
        <f t="shared" si="512"/>
        <v>2587407.7199487998</v>
      </c>
      <c r="CA146" s="75">
        <f t="shared" si="512"/>
        <v>2181055.7029400002</v>
      </c>
      <c r="CB146" s="75">
        <f t="shared" si="512"/>
        <v>3554129.934369999</v>
      </c>
      <c r="CC146" s="75">
        <f t="shared" si="512"/>
        <v>3307779.33960984</v>
      </c>
      <c r="CE146" s="75">
        <f t="shared" ref="CE146:CV146" si="513">CE135+CE143</f>
        <v>0</v>
      </c>
      <c r="CF146" s="75">
        <f t="shared" si="513"/>
        <v>1397530.9845891497</v>
      </c>
      <c r="CG146" s="75">
        <f t="shared" si="513"/>
        <v>1700092.9036775625</v>
      </c>
      <c r="CH146" s="75">
        <f t="shared" si="513"/>
        <v>1660689.6371765702</v>
      </c>
      <c r="CI146" s="75">
        <f t="shared" si="513"/>
        <v>1772490.0202606665</v>
      </c>
      <c r="CJ146" s="75">
        <f t="shared" si="513"/>
        <v>1931867.277089</v>
      </c>
      <c r="CK146" s="75">
        <f t="shared" si="513"/>
        <v>2498951.8283890001</v>
      </c>
      <c r="CL146" s="75">
        <f t="shared" si="513"/>
        <v>2609125.0792168896</v>
      </c>
      <c r="CM146" s="75">
        <f t="shared" si="513"/>
        <v>3187234.9384793597</v>
      </c>
      <c r="CN146" s="75">
        <f t="shared" si="513"/>
        <v>3100820.6935800002</v>
      </c>
      <c r="CO146" s="75">
        <f t="shared" si="513"/>
        <v>4141292.8304025098</v>
      </c>
      <c r="CP146" s="75">
        <f t="shared" si="513"/>
        <v>3792075.3540854799</v>
      </c>
      <c r="CQ146" s="75">
        <f t="shared" si="513"/>
        <v>4136091.1020198097</v>
      </c>
      <c r="CR146" s="75">
        <f t="shared" si="513"/>
        <v>4536440.8957946897</v>
      </c>
      <c r="CS146" s="75">
        <f t="shared" si="513"/>
        <v>2587407.7199487998</v>
      </c>
      <c r="CT146" s="75">
        <f t="shared" si="513"/>
        <v>2181055.7029400002</v>
      </c>
      <c r="CU146" s="75">
        <f t="shared" si="513"/>
        <v>3554129.934369999</v>
      </c>
      <c r="CV146" s="75">
        <f t="shared" si="513"/>
        <v>3307779.33960984</v>
      </c>
      <c r="CW146" s="191">
        <f>CV146/CR146-1</f>
        <v>-0.27084262407647086</v>
      </c>
      <c r="CY146" s="75">
        <f t="shared" ref="CY146:DP146" si="514">CY135+CY143</f>
        <v>0</v>
      </c>
      <c r="CZ146" s="75">
        <f t="shared" si="514"/>
        <v>1397530.9845891497</v>
      </c>
      <c r="DA146" s="75">
        <f t="shared" si="514"/>
        <v>1700092.9036775625</v>
      </c>
      <c r="DB146" s="75">
        <f t="shared" si="514"/>
        <v>1660689.6371765702</v>
      </c>
      <c r="DC146" s="75">
        <f t="shared" si="514"/>
        <v>1772490.0202606665</v>
      </c>
      <c r="DD146" s="75">
        <f t="shared" si="514"/>
        <v>1931867.277089</v>
      </c>
      <c r="DE146" s="75">
        <f t="shared" si="514"/>
        <v>2498951.8283890001</v>
      </c>
      <c r="DF146" s="75">
        <f t="shared" si="514"/>
        <v>2609125.0792168896</v>
      </c>
      <c r="DG146" s="75">
        <f t="shared" si="514"/>
        <v>3187234.9384793597</v>
      </c>
      <c r="DH146" s="75">
        <f t="shared" si="514"/>
        <v>3100820.6935800002</v>
      </c>
      <c r="DI146" s="75">
        <f t="shared" si="514"/>
        <v>4141292.8304025098</v>
      </c>
      <c r="DJ146" s="75">
        <f t="shared" si="514"/>
        <v>3792075.3540854799</v>
      </c>
      <c r="DK146" s="75">
        <f t="shared" si="514"/>
        <v>4136091.1020198097</v>
      </c>
      <c r="DL146" s="75">
        <f t="shared" si="514"/>
        <v>4536440.8957946897</v>
      </c>
      <c r="DM146" s="75">
        <f t="shared" si="514"/>
        <v>2587407.7199487998</v>
      </c>
      <c r="DN146" s="75">
        <f t="shared" si="514"/>
        <v>2181055.7029400002</v>
      </c>
      <c r="DO146" s="75">
        <f t="shared" si="514"/>
        <v>3554129.934369999</v>
      </c>
      <c r="DP146" s="75">
        <f t="shared" si="514"/>
        <v>3307779.33960984</v>
      </c>
    </row>
    <row r="147" spans="2:120" x14ac:dyDescent="0.3">
      <c r="C147" s="65"/>
      <c r="D147" s="77"/>
      <c r="E147" s="45"/>
      <c r="F147" s="219"/>
      <c r="G147" s="219"/>
      <c r="H147" s="219"/>
      <c r="I147" s="219"/>
      <c r="J147" s="219"/>
      <c r="K147" s="219"/>
      <c r="L147" s="219"/>
      <c r="M147" s="219"/>
      <c r="N147" s="219"/>
      <c r="O147" s="219"/>
      <c r="P147" s="219"/>
      <c r="Q147" s="219"/>
      <c r="R147" s="219"/>
      <c r="S147" s="219"/>
      <c r="T147" s="219"/>
      <c r="U147" s="219"/>
      <c r="V147" s="219"/>
      <c r="W147" s="131"/>
      <c r="Y147" s="45"/>
      <c r="Z147" s="62"/>
      <c r="AA147" s="62"/>
      <c r="AB147" s="62"/>
      <c r="AC147" s="62"/>
      <c r="AD147" s="62"/>
      <c r="AE147" s="62"/>
      <c r="AF147" s="131"/>
      <c r="AG147" s="131"/>
      <c r="AH147" s="131"/>
      <c r="AI147" s="131"/>
      <c r="AJ147" s="131"/>
      <c r="AK147" s="131"/>
      <c r="AL147" s="131"/>
      <c r="AM147" s="131"/>
      <c r="AN147" s="131"/>
      <c r="AO147" s="131"/>
      <c r="AP147" s="131"/>
      <c r="AQ147" s="131"/>
      <c r="AS147" s="45"/>
      <c r="AT147" s="62"/>
      <c r="AU147" s="62"/>
      <c r="AV147" s="62"/>
      <c r="AW147" s="62"/>
      <c r="AX147" s="62"/>
      <c r="AY147" s="62"/>
      <c r="AZ147" s="131"/>
      <c r="BA147" s="131"/>
      <c r="BB147" s="131"/>
      <c r="BC147" s="131"/>
      <c r="BD147" s="131"/>
      <c r="BE147" s="131"/>
      <c r="BF147" s="131"/>
      <c r="BG147" s="131"/>
      <c r="BH147" s="131"/>
      <c r="BI147" s="131"/>
      <c r="BJ147" s="131"/>
      <c r="BL147" s="45"/>
      <c r="BM147" s="62"/>
      <c r="BN147" s="62"/>
      <c r="BO147" s="62"/>
      <c r="BP147" s="62"/>
      <c r="BQ147" s="62"/>
      <c r="BR147" s="62"/>
      <c r="BS147" s="131"/>
      <c r="BT147" s="131"/>
      <c r="BU147" s="131"/>
      <c r="BV147" s="131"/>
      <c r="BW147" s="131"/>
      <c r="BX147" s="131"/>
      <c r="BY147" s="131"/>
      <c r="BZ147" s="131"/>
      <c r="CA147" s="131"/>
      <c r="CB147" s="131"/>
      <c r="CC147" s="131"/>
      <c r="CE147" s="45"/>
      <c r="CF147" s="62"/>
      <c r="CG147" s="62"/>
      <c r="CH147" s="62"/>
      <c r="CI147" s="62"/>
      <c r="CJ147" s="62"/>
      <c r="CK147" s="62"/>
      <c r="CL147" s="131"/>
      <c r="CM147" s="131"/>
      <c r="CN147" s="131"/>
      <c r="CO147" s="131"/>
      <c r="CP147" s="131"/>
      <c r="CQ147" s="131"/>
      <c r="CR147" s="131"/>
      <c r="CS147" s="131"/>
      <c r="CT147" s="131"/>
      <c r="CU147" s="131"/>
      <c r="CV147" s="131"/>
      <c r="CW147" s="131"/>
      <c r="CY147" s="45"/>
      <c r="CZ147" s="62"/>
      <c r="DA147" s="62"/>
      <c r="DB147" s="62"/>
      <c r="DC147" s="62"/>
      <c r="DD147" s="62"/>
      <c r="DE147" s="62"/>
      <c r="DF147" s="131"/>
      <c r="DG147" s="131"/>
      <c r="DH147" s="131"/>
      <c r="DI147" s="131"/>
      <c r="DJ147" s="131"/>
      <c r="DK147" s="131"/>
      <c r="DL147" s="131"/>
      <c r="DM147" s="131"/>
      <c r="DN147" s="131"/>
      <c r="DO147" s="131"/>
      <c r="DP147" s="131"/>
    </row>
    <row r="148" spans="2:120" s="45" customFormat="1" x14ac:dyDescent="0.3">
      <c r="C148" s="93" t="s">
        <v>67</v>
      </c>
      <c r="D148" s="127"/>
      <c r="E148" s="94">
        <f>SUM(E149:E150)</f>
        <v>0</v>
      </c>
      <c r="F148" s="94">
        <f t="shared" ref="F148:L148" si="515">SUM(F149:F150)</f>
        <v>1677168.0277226991</v>
      </c>
      <c r="G148" s="94">
        <f t="shared" si="515"/>
        <v>1119217</v>
      </c>
      <c r="H148" s="94">
        <f t="shared" si="515"/>
        <v>1381610</v>
      </c>
      <c r="I148" s="94">
        <f>SUM(I149:I150)</f>
        <v>1271757</v>
      </c>
      <c r="J148" s="94">
        <f t="shared" si="515"/>
        <v>1654564</v>
      </c>
      <c r="K148" s="94">
        <f t="shared" si="515"/>
        <v>1991932.0130000035</v>
      </c>
      <c r="L148" s="94">
        <f t="shared" si="515"/>
        <v>1272533.595999999</v>
      </c>
      <c r="M148" s="94">
        <f t="shared" ref="M148:V148" si="516">SUM(M149:M150)</f>
        <v>954215.37069000048</v>
      </c>
      <c r="N148" s="94">
        <f t="shared" si="516"/>
        <v>2671905.0824600006</v>
      </c>
      <c r="O148" s="94">
        <f t="shared" si="516"/>
        <v>2440382.5379199968</v>
      </c>
      <c r="P148" s="94">
        <f t="shared" si="516"/>
        <v>3137377.2941399985</v>
      </c>
      <c r="Q148" s="94">
        <f t="shared" si="516"/>
        <v>2645389.9037299994</v>
      </c>
      <c r="R148" s="94">
        <f t="shared" si="516"/>
        <v>2134063.1461099996</v>
      </c>
      <c r="S148" s="94">
        <f t="shared" si="516"/>
        <v>861726.34610000008</v>
      </c>
      <c r="T148" s="94">
        <f t="shared" si="516"/>
        <v>1822058.9384999992</v>
      </c>
      <c r="U148" s="94">
        <f t="shared" si="516"/>
        <v>1402912.30171</v>
      </c>
      <c r="V148" s="94">
        <f t="shared" si="516"/>
        <v>2126116.6820700001</v>
      </c>
      <c r="W148" s="192">
        <f t="shared" si="406"/>
        <v>-3.7236311654996745E-3</v>
      </c>
      <c r="Y148" s="94">
        <f t="shared" ref="Y148:AJ148" si="517">SUM(Y149:Y150)</f>
        <v>0</v>
      </c>
      <c r="Z148" s="94">
        <f t="shared" si="517"/>
        <v>1677168.0277226991</v>
      </c>
      <c r="AA148" s="94">
        <f t="shared" si="517"/>
        <v>1119217</v>
      </c>
      <c r="AB148" s="94">
        <f t="shared" si="517"/>
        <v>1381610</v>
      </c>
      <c r="AC148" s="94">
        <f t="shared" si="517"/>
        <v>1271757</v>
      </c>
      <c r="AD148" s="94">
        <f t="shared" si="517"/>
        <v>1654564</v>
      </c>
      <c r="AE148" s="94">
        <f t="shared" si="517"/>
        <v>1991932.0130000035</v>
      </c>
      <c r="AF148" s="94">
        <f t="shared" si="517"/>
        <v>1272533.595999999</v>
      </c>
      <c r="AG148" s="94">
        <f t="shared" si="517"/>
        <v>954215.37069000048</v>
      </c>
      <c r="AH148" s="94">
        <f t="shared" si="517"/>
        <v>2671905.0824600006</v>
      </c>
      <c r="AI148" s="94">
        <f t="shared" si="517"/>
        <v>2440382.5379199968</v>
      </c>
      <c r="AJ148" s="94">
        <f t="shared" si="517"/>
        <v>3137377.2941399985</v>
      </c>
      <c r="AK148" s="94">
        <f t="shared" ref="AK148:AP148" si="518">SUM(AK149:AK150)</f>
        <v>2645389.9037299994</v>
      </c>
      <c r="AL148" s="94">
        <f t="shared" si="518"/>
        <v>2134063.1461099996</v>
      </c>
      <c r="AM148" s="94">
        <f t="shared" si="518"/>
        <v>861726.34610000008</v>
      </c>
      <c r="AN148" s="94">
        <f t="shared" si="518"/>
        <v>1822058.9384999992</v>
      </c>
      <c r="AO148" s="94">
        <f t="shared" si="518"/>
        <v>1402912.30171</v>
      </c>
      <c r="AP148" s="94">
        <f t="shared" si="518"/>
        <v>2126116.6820700001</v>
      </c>
      <c r="AQ148" s="192">
        <f>AP148/AL148-1</f>
        <v>-3.7236311654996745E-3</v>
      </c>
      <c r="AS148" s="94">
        <f t="shared" ref="AS148:BD148" si="519">SUM(AS149:AS150)</f>
        <v>0</v>
      </c>
      <c r="AT148" s="94">
        <f t="shared" si="519"/>
        <v>1677168.0277226991</v>
      </c>
      <c r="AU148" s="94">
        <f t="shared" si="519"/>
        <v>1119217</v>
      </c>
      <c r="AV148" s="94">
        <f t="shared" si="519"/>
        <v>1381610</v>
      </c>
      <c r="AW148" s="94">
        <f t="shared" si="519"/>
        <v>1271757</v>
      </c>
      <c r="AX148" s="94">
        <f t="shared" si="519"/>
        <v>1654564</v>
      </c>
      <c r="AY148" s="94">
        <f t="shared" si="519"/>
        <v>1991932.0130000035</v>
      </c>
      <c r="AZ148" s="94">
        <f t="shared" si="519"/>
        <v>1272533.595999999</v>
      </c>
      <c r="BA148" s="94">
        <f t="shared" si="519"/>
        <v>954215.37069000048</v>
      </c>
      <c r="BB148" s="94">
        <f t="shared" si="519"/>
        <v>2671905.0824600006</v>
      </c>
      <c r="BC148" s="94">
        <f t="shared" si="519"/>
        <v>2440382.5379199968</v>
      </c>
      <c r="BD148" s="94">
        <f t="shared" si="519"/>
        <v>3137377.2941399985</v>
      </c>
      <c r="BE148" s="94">
        <f t="shared" ref="BE148:BJ148" si="520">SUM(BE149:BE150)</f>
        <v>2645389.9037299994</v>
      </c>
      <c r="BF148" s="94">
        <f t="shared" si="520"/>
        <v>2134063.1461099996</v>
      </c>
      <c r="BG148" s="94">
        <f t="shared" si="520"/>
        <v>861726.34610000008</v>
      </c>
      <c r="BH148" s="94">
        <f t="shared" si="520"/>
        <v>1822058.9384999992</v>
      </c>
      <c r="BI148" s="94">
        <f t="shared" si="520"/>
        <v>1402912.30171</v>
      </c>
      <c r="BJ148" s="94">
        <f t="shared" si="520"/>
        <v>2126116.6820700001</v>
      </c>
      <c r="BL148" s="94">
        <f t="shared" ref="BL148:BW148" si="521">SUM(BL149:BL150)</f>
        <v>0</v>
      </c>
      <c r="BM148" s="94">
        <f t="shared" si="521"/>
        <v>1677168.0277226991</v>
      </c>
      <c r="BN148" s="94">
        <f t="shared" si="521"/>
        <v>1119217</v>
      </c>
      <c r="BO148" s="94">
        <f t="shared" si="521"/>
        <v>1381610</v>
      </c>
      <c r="BP148" s="94">
        <f t="shared" si="521"/>
        <v>1271757</v>
      </c>
      <c r="BQ148" s="94">
        <f t="shared" si="521"/>
        <v>1654564</v>
      </c>
      <c r="BR148" s="94">
        <f t="shared" si="521"/>
        <v>1991932.0130000035</v>
      </c>
      <c r="BS148" s="94">
        <f t="shared" si="521"/>
        <v>1272533.595999999</v>
      </c>
      <c r="BT148" s="94">
        <f t="shared" si="521"/>
        <v>954215.37069000048</v>
      </c>
      <c r="BU148" s="94">
        <f t="shared" si="521"/>
        <v>2671905.0824600006</v>
      </c>
      <c r="BV148" s="94">
        <f t="shared" si="521"/>
        <v>2440382.5379199968</v>
      </c>
      <c r="BW148" s="94">
        <f t="shared" si="521"/>
        <v>3137377.2941399985</v>
      </c>
      <c r="BX148" s="94">
        <f t="shared" ref="BX148:CC148" si="522">SUM(BX149:BX150)</f>
        <v>2645389.9037299994</v>
      </c>
      <c r="BY148" s="94">
        <f t="shared" si="522"/>
        <v>2134063.1461099996</v>
      </c>
      <c r="BZ148" s="94">
        <f t="shared" si="522"/>
        <v>861726.34610000008</v>
      </c>
      <c r="CA148" s="94">
        <f t="shared" si="522"/>
        <v>1822058.9384999992</v>
      </c>
      <c r="CB148" s="94">
        <f t="shared" si="522"/>
        <v>1402912.30171</v>
      </c>
      <c r="CC148" s="94">
        <f t="shared" si="522"/>
        <v>2126116.6820700001</v>
      </c>
      <c r="CE148" s="94">
        <f t="shared" ref="CE148:CP148" si="523">SUM(CE149:CE150)</f>
        <v>0</v>
      </c>
      <c r="CF148" s="94">
        <f t="shared" si="523"/>
        <v>1677168.0277226991</v>
      </c>
      <c r="CG148" s="94">
        <f t="shared" si="523"/>
        <v>1119217</v>
      </c>
      <c r="CH148" s="94">
        <f t="shared" si="523"/>
        <v>1381610</v>
      </c>
      <c r="CI148" s="94">
        <f t="shared" si="523"/>
        <v>1271757</v>
      </c>
      <c r="CJ148" s="94">
        <f t="shared" si="523"/>
        <v>1654564</v>
      </c>
      <c r="CK148" s="94">
        <f t="shared" si="523"/>
        <v>1991932.0130000035</v>
      </c>
      <c r="CL148" s="94">
        <f t="shared" si="523"/>
        <v>1272533.595999999</v>
      </c>
      <c r="CM148" s="94">
        <f t="shared" si="523"/>
        <v>954215.37069000048</v>
      </c>
      <c r="CN148" s="94">
        <f t="shared" si="523"/>
        <v>2671905.0824600006</v>
      </c>
      <c r="CO148" s="94">
        <f t="shared" si="523"/>
        <v>2440382.5379199968</v>
      </c>
      <c r="CP148" s="94">
        <f t="shared" si="523"/>
        <v>3137377.2941399985</v>
      </c>
      <c r="CQ148" s="94">
        <f t="shared" ref="CQ148:CV148" si="524">SUM(CQ149:CQ150)</f>
        <v>2645389.9037299994</v>
      </c>
      <c r="CR148" s="94">
        <f t="shared" si="524"/>
        <v>2134063.1461099996</v>
      </c>
      <c r="CS148" s="94">
        <f t="shared" si="524"/>
        <v>861726.34610000008</v>
      </c>
      <c r="CT148" s="94">
        <f t="shared" si="524"/>
        <v>1822058.9384999992</v>
      </c>
      <c r="CU148" s="94">
        <f t="shared" si="524"/>
        <v>1402912.30171</v>
      </c>
      <c r="CV148" s="94">
        <f t="shared" si="524"/>
        <v>2126116.6820700001</v>
      </c>
      <c r="CW148" s="192">
        <f>CV148/CR148-1</f>
        <v>-3.7236311654996745E-3</v>
      </c>
      <c r="CY148" s="94">
        <f t="shared" ref="CY148:DJ148" si="525">SUM(CY149:CY150)</f>
        <v>0</v>
      </c>
      <c r="CZ148" s="94">
        <f t="shared" si="525"/>
        <v>1677168.0277226991</v>
      </c>
      <c r="DA148" s="94">
        <f t="shared" si="525"/>
        <v>1119217</v>
      </c>
      <c r="DB148" s="94">
        <f t="shared" si="525"/>
        <v>1381610</v>
      </c>
      <c r="DC148" s="94">
        <f t="shared" si="525"/>
        <v>1271757</v>
      </c>
      <c r="DD148" s="94">
        <f t="shared" si="525"/>
        <v>1654564</v>
      </c>
      <c r="DE148" s="94">
        <f t="shared" si="525"/>
        <v>1991932.0130000035</v>
      </c>
      <c r="DF148" s="94">
        <f t="shared" si="525"/>
        <v>1272533.595999999</v>
      </c>
      <c r="DG148" s="94">
        <f t="shared" si="525"/>
        <v>954215.37069000048</v>
      </c>
      <c r="DH148" s="94">
        <f t="shared" si="525"/>
        <v>2671905.0824600006</v>
      </c>
      <c r="DI148" s="94">
        <f t="shared" si="525"/>
        <v>2440382.5379199968</v>
      </c>
      <c r="DJ148" s="94">
        <f t="shared" si="525"/>
        <v>3137377.2941399985</v>
      </c>
      <c r="DK148" s="94">
        <f t="shared" ref="DK148:DP148" si="526">SUM(DK149:DK150)</f>
        <v>2645389.9037299994</v>
      </c>
      <c r="DL148" s="94">
        <f t="shared" si="526"/>
        <v>2134063.1461099996</v>
      </c>
      <c r="DM148" s="94">
        <f t="shared" si="526"/>
        <v>861726.34610000008</v>
      </c>
      <c r="DN148" s="94">
        <f t="shared" si="526"/>
        <v>1822058.9384999992</v>
      </c>
      <c r="DO148" s="94">
        <f t="shared" si="526"/>
        <v>1402912.30171</v>
      </c>
      <c r="DP148" s="94">
        <f t="shared" si="526"/>
        <v>2126116.6820700001</v>
      </c>
    </row>
    <row r="149" spans="2:120" x14ac:dyDescent="0.3">
      <c r="C149" s="36" t="s">
        <v>68</v>
      </c>
      <c r="E149" s="97"/>
      <c r="F149" s="97">
        <v>1294213.7557626991</v>
      </c>
      <c r="G149" s="97">
        <v>915808</v>
      </c>
      <c r="H149" s="97">
        <v>1214816</v>
      </c>
      <c r="I149" s="97">
        <v>1145528</v>
      </c>
      <c r="J149" s="97">
        <v>1500794</v>
      </c>
      <c r="K149" s="97">
        <v>1889558.0050000036</v>
      </c>
      <c r="L149" s="97">
        <v>1248488.2559999989</v>
      </c>
      <c r="M149" s="97">
        <v>928200.07437000051</v>
      </c>
      <c r="N149" s="97">
        <v>2625029.7654200005</v>
      </c>
      <c r="O149" s="97">
        <v>2418406.5311099966</v>
      </c>
      <c r="P149" s="97">
        <v>3059776.3836799986</v>
      </c>
      <c r="Q149" s="97">
        <v>2624009.6251299996</v>
      </c>
      <c r="R149" s="97">
        <v>2121804.7496299995</v>
      </c>
      <c r="S149" s="97">
        <v>861726.34610000008</v>
      </c>
      <c r="T149" s="97">
        <v>1805993.4032799993</v>
      </c>
      <c r="U149" s="97">
        <v>1387371.9861900001</v>
      </c>
      <c r="V149" s="97">
        <v>2025698.4404199999</v>
      </c>
      <c r="W149" s="190">
        <f t="shared" si="406"/>
        <v>-4.5294605560082135E-2</v>
      </c>
      <c r="Y149" s="92">
        <f>$E149</f>
        <v>0</v>
      </c>
      <c r="Z149" s="92">
        <f>$F149</f>
        <v>1294213.7557626991</v>
      </c>
      <c r="AA149" s="92">
        <f>$G149</f>
        <v>915808</v>
      </c>
      <c r="AB149" s="92">
        <f>$H149</f>
        <v>1214816</v>
      </c>
      <c r="AC149" s="92">
        <f>$I149</f>
        <v>1145528</v>
      </c>
      <c r="AD149" s="92">
        <f>$J149</f>
        <v>1500794</v>
      </c>
      <c r="AE149" s="92">
        <f>$K149</f>
        <v>1889558.0050000036</v>
      </c>
      <c r="AF149" s="158">
        <f>$L149</f>
        <v>1248488.2559999989</v>
      </c>
      <c r="AG149" s="158">
        <f>$M149</f>
        <v>928200.07437000051</v>
      </c>
      <c r="AH149" s="158">
        <f>$N149</f>
        <v>2625029.7654200005</v>
      </c>
      <c r="AI149" s="158">
        <f>$O149</f>
        <v>2418406.5311099966</v>
      </c>
      <c r="AJ149" s="158">
        <f>$P149</f>
        <v>3059776.3836799986</v>
      </c>
      <c r="AK149" s="158">
        <f>$Q149</f>
        <v>2624009.6251299996</v>
      </c>
      <c r="AL149" s="158">
        <f>$R149</f>
        <v>2121804.7496299995</v>
      </c>
      <c r="AM149" s="158">
        <f>$S149</f>
        <v>861726.34610000008</v>
      </c>
      <c r="AN149" s="158">
        <f>$T149</f>
        <v>1805993.4032799993</v>
      </c>
      <c r="AO149" s="158">
        <f>$U149</f>
        <v>1387371.9861900001</v>
      </c>
      <c r="AP149" s="158">
        <f>$V149</f>
        <v>2025698.4404199999</v>
      </c>
      <c r="AQ149" s="190"/>
      <c r="AS149" s="92">
        <f>$E149</f>
        <v>0</v>
      </c>
      <c r="AT149" s="92">
        <f>$F149</f>
        <v>1294213.7557626991</v>
      </c>
      <c r="AU149" s="92">
        <f>$G149</f>
        <v>915808</v>
      </c>
      <c r="AV149" s="92">
        <f>$H149</f>
        <v>1214816</v>
      </c>
      <c r="AW149" s="92">
        <f>$I149</f>
        <v>1145528</v>
      </c>
      <c r="AX149" s="92">
        <f>$J149</f>
        <v>1500794</v>
      </c>
      <c r="AY149" s="92">
        <f>$K149</f>
        <v>1889558.0050000036</v>
      </c>
      <c r="AZ149" s="158">
        <f>$L149</f>
        <v>1248488.2559999989</v>
      </c>
      <c r="BA149" s="158">
        <f>$M149</f>
        <v>928200.07437000051</v>
      </c>
      <c r="BB149" s="158">
        <f>$N149</f>
        <v>2625029.7654200005</v>
      </c>
      <c r="BC149" s="158">
        <f>$O149</f>
        <v>2418406.5311099966</v>
      </c>
      <c r="BD149" s="158">
        <f>$P149</f>
        <v>3059776.3836799986</v>
      </c>
      <c r="BE149" s="158">
        <f>$Q149</f>
        <v>2624009.6251299996</v>
      </c>
      <c r="BF149" s="158">
        <f>$R149</f>
        <v>2121804.7496299995</v>
      </c>
      <c r="BG149" s="158">
        <f>$S149</f>
        <v>861726.34610000008</v>
      </c>
      <c r="BH149" s="158">
        <f>$T149</f>
        <v>1805993.4032799993</v>
      </c>
      <c r="BI149" s="158">
        <f>$U149</f>
        <v>1387371.9861900001</v>
      </c>
      <c r="BJ149" s="158">
        <f>$V149</f>
        <v>2025698.4404199999</v>
      </c>
      <c r="BL149" s="92">
        <f>$E149</f>
        <v>0</v>
      </c>
      <c r="BM149" s="92">
        <f>$F149</f>
        <v>1294213.7557626991</v>
      </c>
      <c r="BN149" s="92">
        <f>$G149</f>
        <v>915808</v>
      </c>
      <c r="BO149" s="92">
        <f>$H149</f>
        <v>1214816</v>
      </c>
      <c r="BP149" s="92">
        <f>$I149</f>
        <v>1145528</v>
      </c>
      <c r="BQ149" s="92">
        <f>$J149</f>
        <v>1500794</v>
      </c>
      <c r="BR149" s="92">
        <f>$K149</f>
        <v>1889558.0050000036</v>
      </c>
      <c r="BS149" s="158">
        <f>$L149</f>
        <v>1248488.2559999989</v>
      </c>
      <c r="BT149" s="158">
        <f>$M149</f>
        <v>928200.07437000051</v>
      </c>
      <c r="BU149" s="158">
        <f>$N149</f>
        <v>2625029.7654200005</v>
      </c>
      <c r="BV149" s="158">
        <f>$O149</f>
        <v>2418406.5311099966</v>
      </c>
      <c r="BW149" s="158">
        <f>$P149</f>
        <v>3059776.3836799986</v>
      </c>
      <c r="BX149" s="158">
        <f>$Q149</f>
        <v>2624009.6251299996</v>
      </c>
      <c r="BY149" s="158">
        <f>$R149</f>
        <v>2121804.7496299995</v>
      </c>
      <c r="BZ149" s="158">
        <f>$S149</f>
        <v>861726.34610000008</v>
      </c>
      <c r="CA149" s="158">
        <f>$T149</f>
        <v>1805993.4032799993</v>
      </c>
      <c r="CB149" s="158">
        <f>$U149</f>
        <v>1387371.9861900001</v>
      </c>
      <c r="CC149" s="158">
        <f>$V149</f>
        <v>2025698.4404199999</v>
      </c>
      <c r="CE149" s="92">
        <f>$E149</f>
        <v>0</v>
      </c>
      <c r="CF149" s="92">
        <f>$F149</f>
        <v>1294213.7557626991</v>
      </c>
      <c r="CG149" s="92">
        <f>$G149</f>
        <v>915808</v>
      </c>
      <c r="CH149" s="92">
        <f>$H149</f>
        <v>1214816</v>
      </c>
      <c r="CI149" s="92">
        <f>$I149</f>
        <v>1145528</v>
      </c>
      <c r="CJ149" s="92">
        <f>$J149</f>
        <v>1500794</v>
      </c>
      <c r="CK149" s="92">
        <f>$K149</f>
        <v>1889558.0050000036</v>
      </c>
      <c r="CL149" s="158">
        <f>$L149</f>
        <v>1248488.2559999989</v>
      </c>
      <c r="CM149" s="158">
        <f>$M149</f>
        <v>928200.07437000051</v>
      </c>
      <c r="CN149" s="158">
        <f>$N149</f>
        <v>2625029.7654200005</v>
      </c>
      <c r="CO149" s="158">
        <f>$O149</f>
        <v>2418406.5311099966</v>
      </c>
      <c r="CP149" s="158">
        <f>$P149</f>
        <v>3059776.3836799986</v>
      </c>
      <c r="CQ149" s="158">
        <f>$Q149</f>
        <v>2624009.6251299996</v>
      </c>
      <c r="CR149" s="158">
        <f>$R149</f>
        <v>2121804.7496299995</v>
      </c>
      <c r="CS149" s="158">
        <f>$S149</f>
        <v>861726.34610000008</v>
      </c>
      <c r="CT149" s="158">
        <f>$T149</f>
        <v>1805993.4032799993</v>
      </c>
      <c r="CU149" s="158">
        <f>$U149</f>
        <v>1387371.9861900001</v>
      </c>
      <c r="CV149" s="158">
        <f>$V149</f>
        <v>2025698.4404199999</v>
      </c>
      <c r="CW149" s="190"/>
      <c r="CY149" s="92">
        <f>$E149</f>
        <v>0</v>
      </c>
      <c r="CZ149" s="92">
        <f>$F149</f>
        <v>1294213.7557626991</v>
      </c>
      <c r="DA149" s="92">
        <f>$G149</f>
        <v>915808</v>
      </c>
      <c r="DB149" s="92">
        <f>$H149</f>
        <v>1214816</v>
      </c>
      <c r="DC149" s="92">
        <f>$I149</f>
        <v>1145528</v>
      </c>
      <c r="DD149" s="92">
        <f>$J149</f>
        <v>1500794</v>
      </c>
      <c r="DE149" s="92">
        <f>$K149</f>
        <v>1889558.0050000036</v>
      </c>
      <c r="DF149" s="158">
        <f>$L149</f>
        <v>1248488.2559999989</v>
      </c>
      <c r="DG149" s="158">
        <f>$M149</f>
        <v>928200.07437000051</v>
      </c>
      <c r="DH149" s="158">
        <f>$N149</f>
        <v>2625029.7654200005</v>
      </c>
      <c r="DI149" s="158">
        <f>$O149</f>
        <v>2418406.5311099966</v>
      </c>
      <c r="DJ149" s="158">
        <f>$P149</f>
        <v>3059776.3836799986</v>
      </c>
      <c r="DK149" s="158">
        <f>$Q149</f>
        <v>2624009.6251299996</v>
      </c>
      <c r="DL149" s="158">
        <f>$R149</f>
        <v>2121804.7496299995</v>
      </c>
      <c r="DM149" s="158">
        <f>$S149</f>
        <v>861726.34610000008</v>
      </c>
      <c r="DN149" s="158">
        <f>$T149</f>
        <v>1805993.4032799993</v>
      </c>
      <c r="DO149" s="158">
        <f>$U149</f>
        <v>1387371.9861900001</v>
      </c>
      <c r="DP149" s="158">
        <f>$V149</f>
        <v>2025698.4404199999</v>
      </c>
    </row>
    <row r="150" spans="2:120" x14ac:dyDescent="0.3">
      <c r="C150" s="36" t="s">
        <v>121</v>
      </c>
      <c r="E150" s="97"/>
      <c r="F150" s="97">
        <v>382954.27195999998</v>
      </c>
      <c r="G150" s="97">
        <v>203409</v>
      </c>
      <c r="H150" s="97">
        <v>166794</v>
      </c>
      <c r="I150" s="97">
        <v>126229</v>
      </c>
      <c r="J150" s="97">
        <v>153770</v>
      </c>
      <c r="K150" s="97">
        <v>102374.008</v>
      </c>
      <c r="L150" s="97">
        <v>24045.34</v>
      </c>
      <c r="M150" s="97">
        <v>26015.296320000001</v>
      </c>
      <c r="N150" s="97">
        <v>46875.317040000002</v>
      </c>
      <c r="O150" s="97">
        <v>21976.006809999999</v>
      </c>
      <c r="P150" s="97">
        <v>77600.910459999999</v>
      </c>
      <c r="Q150" s="97">
        <v>21380.278599999998</v>
      </c>
      <c r="R150" s="97">
        <v>12258.396480000001</v>
      </c>
      <c r="S150" s="97">
        <v>0</v>
      </c>
      <c r="T150" s="97">
        <v>16065.53522</v>
      </c>
      <c r="U150" s="97">
        <v>15540.31552</v>
      </c>
      <c r="V150" s="97">
        <v>100418.24165000001</v>
      </c>
      <c r="W150" s="190">
        <f t="shared" si="406"/>
        <v>7.1917926063034301</v>
      </c>
      <c r="Y150" s="92">
        <f>$E150</f>
        <v>0</v>
      </c>
      <c r="Z150" s="92">
        <f>$F150</f>
        <v>382954.27195999998</v>
      </c>
      <c r="AA150" s="92">
        <f>$G150</f>
        <v>203409</v>
      </c>
      <c r="AB150" s="92">
        <f>$H150</f>
        <v>166794</v>
      </c>
      <c r="AC150" s="92">
        <f>$I150</f>
        <v>126229</v>
      </c>
      <c r="AD150" s="92">
        <f>$J150</f>
        <v>153770</v>
      </c>
      <c r="AE150" s="92">
        <f>$K150</f>
        <v>102374.008</v>
      </c>
      <c r="AF150" s="158">
        <f>$L150</f>
        <v>24045.34</v>
      </c>
      <c r="AG150" s="158">
        <f>$M150</f>
        <v>26015.296320000001</v>
      </c>
      <c r="AH150" s="158">
        <f>$N150</f>
        <v>46875.317040000002</v>
      </c>
      <c r="AI150" s="158">
        <f>$O150</f>
        <v>21976.006809999999</v>
      </c>
      <c r="AJ150" s="158">
        <f>$P150</f>
        <v>77600.910459999999</v>
      </c>
      <c r="AK150" s="158">
        <f>$Q150</f>
        <v>21380.278599999998</v>
      </c>
      <c r="AL150" s="158">
        <f>$R150</f>
        <v>12258.396480000001</v>
      </c>
      <c r="AM150" s="158">
        <f>$S150</f>
        <v>0</v>
      </c>
      <c r="AN150" s="158">
        <f>$T150</f>
        <v>16065.53522</v>
      </c>
      <c r="AO150" s="158">
        <f>$U150</f>
        <v>15540.31552</v>
      </c>
      <c r="AP150" s="158">
        <f>$V150</f>
        <v>100418.24165000001</v>
      </c>
      <c r="AQ150" s="190"/>
      <c r="AS150" s="92">
        <f>$E150</f>
        <v>0</v>
      </c>
      <c r="AT150" s="92">
        <f>$F150</f>
        <v>382954.27195999998</v>
      </c>
      <c r="AU150" s="92">
        <f>$G150</f>
        <v>203409</v>
      </c>
      <c r="AV150" s="92">
        <f>$H150</f>
        <v>166794</v>
      </c>
      <c r="AW150" s="92">
        <f>$I150</f>
        <v>126229</v>
      </c>
      <c r="AX150" s="92">
        <f>$J150</f>
        <v>153770</v>
      </c>
      <c r="AY150" s="92">
        <f>$K150</f>
        <v>102374.008</v>
      </c>
      <c r="AZ150" s="158">
        <f>$L150</f>
        <v>24045.34</v>
      </c>
      <c r="BA150" s="158">
        <f>$M150</f>
        <v>26015.296320000001</v>
      </c>
      <c r="BB150" s="158">
        <f>$N150</f>
        <v>46875.317040000002</v>
      </c>
      <c r="BC150" s="158">
        <f>$O150</f>
        <v>21976.006809999999</v>
      </c>
      <c r="BD150" s="158">
        <f>$P150</f>
        <v>77600.910459999999</v>
      </c>
      <c r="BE150" s="158">
        <f>$Q150</f>
        <v>21380.278599999998</v>
      </c>
      <c r="BF150" s="158">
        <f>$R150</f>
        <v>12258.396480000001</v>
      </c>
      <c r="BG150" s="158">
        <f>$S150</f>
        <v>0</v>
      </c>
      <c r="BH150" s="158">
        <f>$T150</f>
        <v>16065.53522</v>
      </c>
      <c r="BI150" s="158">
        <f>$U150</f>
        <v>15540.31552</v>
      </c>
      <c r="BJ150" s="158">
        <f>$V150</f>
        <v>100418.24165000001</v>
      </c>
      <c r="BL150" s="92">
        <f>$E150</f>
        <v>0</v>
      </c>
      <c r="BM150" s="92">
        <f>$F150</f>
        <v>382954.27195999998</v>
      </c>
      <c r="BN150" s="92">
        <f>$G150</f>
        <v>203409</v>
      </c>
      <c r="BO150" s="92">
        <f>$H150</f>
        <v>166794</v>
      </c>
      <c r="BP150" s="92">
        <f>$I150</f>
        <v>126229</v>
      </c>
      <c r="BQ150" s="92">
        <f>$J150</f>
        <v>153770</v>
      </c>
      <c r="BR150" s="92">
        <f>$K150</f>
        <v>102374.008</v>
      </c>
      <c r="BS150" s="158">
        <f>$L150</f>
        <v>24045.34</v>
      </c>
      <c r="BT150" s="158">
        <f>$M150</f>
        <v>26015.296320000001</v>
      </c>
      <c r="BU150" s="158">
        <f>$N150</f>
        <v>46875.317040000002</v>
      </c>
      <c r="BV150" s="158">
        <f>$O150</f>
        <v>21976.006809999999</v>
      </c>
      <c r="BW150" s="158">
        <f>$P150</f>
        <v>77600.910459999999</v>
      </c>
      <c r="BX150" s="158">
        <f>$Q150</f>
        <v>21380.278599999998</v>
      </c>
      <c r="BY150" s="158">
        <f>$R150</f>
        <v>12258.396480000001</v>
      </c>
      <c r="BZ150" s="158">
        <f>$S150</f>
        <v>0</v>
      </c>
      <c r="CA150" s="158">
        <f>$T150</f>
        <v>16065.53522</v>
      </c>
      <c r="CB150" s="158">
        <f>$U150</f>
        <v>15540.31552</v>
      </c>
      <c r="CC150" s="158">
        <f>$V150</f>
        <v>100418.24165000001</v>
      </c>
      <c r="CE150" s="92">
        <f>$E150</f>
        <v>0</v>
      </c>
      <c r="CF150" s="92">
        <f>$F150</f>
        <v>382954.27195999998</v>
      </c>
      <c r="CG150" s="92">
        <f>$G150</f>
        <v>203409</v>
      </c>
      <c r="CH150" s="92">
        <f>$H150</f>
        <v>166794</v>
      </c>
      <c r="CI150" s="92">
        <f>$I150</f>
        <v>126229</v>
      </c>
      <c r="CJ150" s="92">
        <f>$J150</f>
        <v>153770</v>
      </c>
      <c r="CK150" s="92">
        <f>$K150</f>
        <v>102374.008</v>
      </c>
      <c r="CL150" s="158">
        <f>$L150</f>
        <v>24045.34</v>
      </c>
      <c r="CM150" s="158">
        <f>$M150</f>
        <v>26015.296320000001</v>
      </c>
      <c r="CN150" s="158">
        <f>$N150</f>
        <v>46875.317040000002</v>
      </c>
      <c r="CO150" s="158">
        <f>$O150</f>
        <v>21976.006809999999</v>
      </c>
      <c r="CP150" s="158">
        <f>$P150</f>
        <v>77600.910459999999</v>
      </c>
      <c r="CQ150" s="158">
        <f>$Q150</f>
        <v>21380.278599999998</v>
      </c>
      <c r="CR150" s="158">
        <f>$R150</f>
        <v>12258.396480000001</v>
      </c>
      <c r="CS150" s="158">
        <f>$S150</f>
        <v>0</v>
      </c>
      <c r="CT150" s="158">
        <f>$T150</f>
        <v>16065.53522</v>
      </c>
      <c r="CU150" s="158">
        <f>$U150</f>
        <v>15540.31552</v>
      </c>
      <c r="CV150" s="158">
        <f>$V150</f>
        <v>100418.24165000001</v>
      </c>
      <c r="CW150" s="190"/>
      <c r="CY150" s="92">
        <f>$E150</f>
        <v>0</v>
      </c>
      <c r="CZ150" s="92">
        <f>$F150</f>
        <v>382954.27195999998</v>
      </c>
      <c r="DA150" s="92">
        <f>$G150</f>
        <v>203409</v>
      </c>
      <c r="DB150" s="92">
        <f>$H150</f>
        <v>166794</v>
      </c>
      <c r="DC150" s="92">
        <f>$I150</f>
        <v>126229</v>
      </c>
      <c r="DD150" s="92">
        <f>$J150</f>
        <v>153770</v>
      </c>
      <c r="DE150" s="92">
        <f>$K150</f>
        <v>102374.008</v>
      </c>
      <c r="DF150" s="158">
        <f>$L150</f>
        <v>24045.34</v>
      </c>
      <c r="DG150" s="158">
        <f>$M150</f>
        <v>26015.296320000001</v>
      </c>
      <c r="DH150" s="158">
        <f>$N150</f>
        <v>46875.317040000002</v>
      </c>
      <c r="DI150" s="158">
        <f>$O150</f>
        <v>21976.006809999999</v>
      </c>
      <c r="DJ150" s="158">
        <f>$P150</f>
        <v>77600.910459999999</v>
      </c>
      <c r="DK150" s="158">
        <f>$Q150</f>
        <v>21380.278599999998</v>
      </c>
      <c r="DL150" s="158">
        <f>$R150</f>
        <v>12258.396480000001</v>
      </c>
      <c r="DM150" s="158">
        <f>$S150</f>
        <v>0</v>
      </c>
      <c r="DN150" s="158">
        <f>$T150</f>
        <v>16065.53522</v>
      </c>
      <c r="DO150" s="158">
        <f>$U150</f>
        <v>15540.31552</v>
      </c>
      <c r="DP150" s="158">
        <f>$V150</f>
        <v>100418.24165000001</v>
      </c>
    </row>
    <row r="151" spans="2:120" x14ac:dyDescent="0.3">
      <c r="C151" s="71"/>
      <c r="D151" s="120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193"/>
      <c r="Y151" s="70"/>
      <c r="Z151" s="70"/>
      <c r="AA151" s="70"/>
      <c r="AB151" s="70"/>
      <c r="AC151" s="70"/>
      <c r="AD151" s="70"/>
      <c r="AE151" s="70"/>
      <c r="AF151" s="68"/>
      <c r="AG151" s="68"/>
      <c r="AH151" s="68"/>
      <c r="AI151" s="68"/>
      <c r="AJ151" s="68"/>
      <c r="AK151" s="68"/>
      <c r="AL151" s="68"/>
      <c r="AM151" s="68"/>
      <c r="AN151" s="68"/>
      <c r="AO151" s="68"/>
      <c r="AP151" s="68"/>
      <c r="AQ151" s="193"/>
      <c r="AS151" s="70"/>
      <c r="AT151" s="70"/>
      <c r="AU151" s="70"/>
      <c r="AV151" s="70"/>
      <c r="AW151" s="70"/>
      <c r="AX151" s="70"/>
      <c r="AY151" s="70"/>
      <c r="AZ151" s="68"/>
      <c r="BA151" s="68"/>
      <c r="BB151" s="68"/>
      <c r="BC151" s="68"/>
      <c r="BD151" s="68"/>
      <c r="BE151" s="68"/>
      <c r="BF151" s="68"/>
      <c r="BG151" s="68"/>
      <c r="BH151" s="68"/>
      <c r="BI151" s="68"/>
      <c r="BJ151" s="68"/>
      <c r="BL151" s="70"/>
      <c r="BM151" s="70"/>
      <c r="BN151" s="70"/>
      <c r="BO151" s="70"/>
      <c r="BP151" s="70"/>
      <c r="BQ151" s="70"/>
      <c r="BR151" s="70"/>
      <c r="BS151" s="68"/>
      <c r="BT151" s="68"/>
      <c r="BU151" s="68"/>
      <c r="BV151" s="68"/>
      <c r="BW151" s="68"/>
      <c r="BX151" s="68"/>
      <c r="BY151" s="68"/>
      <c r="BZ151" s="68"/>
      <c r="CA151" s="68"/>
      <c r="CB151" s="68"/>
      <c r="CC151" s="68"/>
      <c r="CE151" s="70"/>
      <c r="CF151" s="70"/>
      <c r="CG151" s="70"/>
      <c r="CH151" s="70"/>
      <c r="CI151" s="70"/>
      <c r="CJ151" s="70"/>
      <c r="CK151" s="70"/>
      <c r="CL151" s="68"/>
      <c r="CM151" s="68"/>
      <c r="CN151" s="68"/>
      <c r="CO151" s="68"/>
      <c r="CP151" s="68"/>
      <c r="CQ151" s="68"/>
      <c r="CR151" s="68"/>
      <c r="CS151" s="68"/>
      <c r="CT151" s="68"/>
      <c r="CU151" s="68"/>
      <c r="CV151" s="68"/>
      <c r="CW151" s="193"/>
      <c r="CY151" s="70"/>
      <c r="CZ151" s="70"/>
      <c r="DA151" s="70"/>
      <c r="DB151" s="70"/>
      <c r="DC151" s="70"/>
      <c r="DD151" s="70"/>
      <c r="DE151" s="70"/>
      <c r="DF151" s="68"/>
      <c r="DG151" s="68"/>
      <c r="DH151" s="68"/>
      <c r="DI151" s="68"/>
      <c r="DJ151" s="68"/>
      <c r="DK151" s="68"/>
      <c r="DL151" s="68"/>
      <c r="DM151" s="68"/>
      <c r="DN151" s="68"/>
      <c r="DO151" s="68"/>
      <c r="DP151" s="68"/>
    </row>
    <row r="152" spans="2:120" s="35" customFormat="1" x14ac:dyDescent="0.3">
      <c r="B152" s="33"/>
      <c r="C152" s="63" t="s">
        <v>201</v>
      </c>
      <c r="D152" s="63"/>
      <c r="E152" s="34" t="str">
        <f t="shared" ref="E152:V152" si="527">E3</f>
        <v>Q3-2020</v>
      </c>
      <c r="F152" s="34" t="str">
        <f t="shared" si="527"/>
        <v>Q4-2020</v>
      </c>
      <c r="G152" s="34" t="str">
        <f t="shared" si="527"/>
        <v>Q1-2021</v>
      </c>
      <c r="H152" s="34" t="str">
        <f t="shared" si="527"/>
        <v>Q2-2021</v>
      </c>
      <c r="I152" s="34" t="str">
        <f t="shared" si="527"/>
        <v>Q3-2021</v>
      </c>
      <c r="J152" s="34" t="str">
        <f t="shared" si="527"/>
        <v>Q4-2021</v>
      </c>
      <c r="K152" s="34" t="str">
        <f t="shared" si="527"/>
        <v>Q1-2022</v>
      </c>
      <c r="L152" s="34" t="str">
        <f t="shared" si="527"/>
        <v>Q2-2022</v>
      </c>
      <c r="M152" s="34" t="str">
        <f t="shared" si="527"/>
        <v>Q3-2022</v>
      </c>
      <c r="N152" s="34" t="str">
        <f t="shared" si="527"/>
        <v>Q4-2022</v>
      </c>
      <c r="O152" s="34" t="str">
        <f t="shared" si="527"/>
        <v>Q1-2023</v>
      </c>
      <c r="P152" s="34" t="str">
        <f t="shared" si="527"/>
        <v>Q2-2023</v>
      </c>
      <c r="Q152" s="34" t="str">
        <f t="shared" si="527"/>
        <v>Q3-2023</v>
      </c>
      <c r="R152" s="34" t="str">
        <f t="shared" si="527"/>
        <v>Q4-2023</v>
      </c>
      <c r="S152" s="34" t="str">
        <f t="shared" si="527"/>
        <v>Q1-2024</v>
      </c>
      <c r="T152" s="34" t="str">
        <f t="shared" si="527"/>
        <v>Q2-2024</v>
      </c>
      <c r="U152" s="34" t="str">
        <f t="shared" si="527"/>
        <v>Q3-2024</v>
      </c>
      <c r="V152" s="34" t="str">
        <f t="shared" si="527"/>
        <v>Q4-2024</v>
      </c>
      <c r="W152" s="168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168"/>
      <c r="AS152" s="3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  <c r="BF152" s="34"/>
      <c r="BG152" s="34"/>
      <c r="BH152" s="34"/>
      <c r="BI152" s="34"/>
      <c r="BJ152" s="34"/>
      <c r="BL152" s="34"/>
      <c r="BM152" s="34"/>
      <c r="BN152" s="34"/>
      <c r="BO152" s="34"/>
      <c r="BP152" s="34"/>
      <c r="BQ152" s="34"/>
      <c r="BR152" s="34"/>
      <c r="BS152" s="34"/>
      <c r="BT152" s="34"/>
      <c r="BU152" s="34"/>
      <c r="BV152" s="34"/>
      <c r="BW152" s="34"/>
      <c r="BX152" s="34"/>
      <c r="BY152" s="34"/>
      <c r="BZ152" s="34"/>
      <c r="CA152" s="34"/>
      <c r="CB152" s="34"/>
      <c r="CC152" s="34"/>
      <c r="CE152" s="34"/>
      <c r="CF152" s="34"/>
      <c r="CG152" s="34"/>
      <c r="CH152" s="34"/>
      <c r="CI152" s="34"/>
      <c r="CJ152" s="34"/>
      <c r="CK152" s="34"/>
      <c r="CL152" s="34"/>
      <c r="CM152" s="34"/>
      <c r="CN152" s="34"/>
      <c r="CO152" s="34"/>
      <c r="CP152" s="34"/>
      <c r="CQ152" s="34"/>
      <c r="CR152" s="34"/>
      <c r="CS152" s="34"/>
      <c r="CT152" s="34"/>
      <c r="CU152" s="34"/>
      <c r="CV152" s="34"/>
      <c r="CW152" s="168"/>
      <c r="CY152" s="34"/>
      <c r="CZ152" s="34"/>
      <c r="DA152" s="34"/>
      <c r="DB152" s="34"/>
      <c r="DC152" s="34"/>
      <c r="DD152" s="34"/>
      <c r="DE152" s="34"/>
      <c r="DF152" s="34"/>
      <c r="DG152" s="34"/>
      <c r="DH152" s="34"/>
      <c r="DI152" s="34"/>
      <c r="DJ152" s="34"/>
      <c r="DK152" s="34"/>
      <c r="DL152" s="34"/>
      <c r="DM152" s="34"/>
      <c r="DN152" s="34"/>
      <c r="DO152" s="34"/>
      <c r="DP152" s="34"/>
    </row>
    <row r="153" spans="2:120" x14ac:dyDescent="0.3">
      <c r="C153" s="79" t="s">
        <v>111</v>
      </c>
      <c r="D153" s="121"/>
      <c r="E153" s="48">
        <f t="shared" ref="E153:V153" si="528">SUM(E154)</f>
        <v>0</v>
      </c>
      <c r="F153" s="48">
        <f t="shared" si="528"/>
        <v>1344965.348</v>
      </c>
      <c r="G153" s="48">
        <f t="shared" si="528"/>
        <v>1544157.649</v>
      </c>
      <c r="H153" s="48">
        <f t="shared" si="528"/>
        <v>1769944.159</v>
      </c>
      <c r="I153" s="48">
        <f t="shared" si="528"/>
        <v>1958268.388</v>
      </c>
      <c r="J153" s="48">
        <f t="shared" si="528"/>
        <v>2404704.3080000002</v>
      </c>
      <c r="K153" s="48">
        <f t="shared" si="528"/>
        <v>3013241.9010000001</v>
      </c>
      <c r="L153" s="48">
        <f t="shared" si="528"/>
        <v>3648827.4890000001</v>
      </c>
      <c r="M153" s="48">
        <f t="shared" si="528"/>
        <v>4733320.3119999999</v>
      </c>
      <c r="N153" s="48">
        <f t="shared" si="528"/>
        <v>4784579.534</v>
      </c>
      <c r="O153" s="48">
        <f t="shared" si="528"/>
        <v>5198912.7149999999</v>
      </c>
      <c r="P153" s="48">
        <f t="shared" si="528"/>
        <v>5075884.318</v>
      </c>
      <c r="Q153" s="48">
        <f t="shared" si="528"/>
        <v>7013374.5851600002</v>
      </c>
      <c r="R153" s="48">
        <f t="shared" si="528"/>
        <v>6998142</v>
      </c>
      <c r="S153" s="48">
        <f t="shared" si="528"/>
        <v>7696019.4009999996</v>
      </c>
      <c r="T153" s="48">
        <f t="shared" si="528"/>
        <v>6998142.2419999996</v>
      </c>
      <c r="U153" s="48">
        <f t="shared" si="528"/>
        <v>7530801.2247399995</v>
      </c>
      <c r="V153" s="48">
        <f t="shared" si="528"/>
        <v>7722183.1390800001</v>
      </c>
      <c r="W153" s="173">
        <f t="shared" si="406"/>
        <v>0.10346191018701822</v>
      </c>
      <c r="Y153" s="100">
        <f t="shared" ref="Y153:BO153" si="529">Y154</f>
        <v>0</v>
      </c>
      <c r="Z153" s="100">
        <f t="shared" si="529"/>
        <v>1344965.348</v>
      </c>
      <c r="AA153" s="100">
        <f t="shared" si="529"/>
        <v>1544157.649</v>
      </c>
      <c r="AB153" s="100">
        <f t="shared" si="529"/>
        <v>1769944.159</v>
      </c>
      <c r="AC153" s="100">
        <f t="shared" si="529"/>
        <v>1958268.388</v>
      </c>
      <c r="AD153" s="100">
        <f t="shared" si="529"/>
        <v>2404704.3080000002</v>
      </c>
      <c r="AE153" s="100">
        <f t="shared" si="529"/>
        <v>3013241.9010000001</v>
      </c>
      <c r="AF153" s="100">
        <f t="shared" si="529"/>
        <v>3648827.4890000001</v>
      </c>
      <c r="AG153" s="100">
        <f t="shared" si="529"/>
        <v>4733320.3119999999</v>
      </c>
      <c r="AH153" s="100">
        <f t="shared" si="529"/>
        <v>4784579.534</v>
      </c>
      <c r="AI153" s="100">
        <f t="shared" si="529"/>
        <v>5198912.7149999999</v>
      </c>
      <c r="AJ153" s="100">
        <f t="shared" si="529"/>
        <v>5075884.318</v>
      </c>
      <c r="AK153" s="100">
        <f t="shared" si="529"/>
        <v>7013374.5851600002</v>
      </c>
      <c r="AL153" s="100">
        <f t="shared" si="529"/>
        <v>6998142</v>
      </c>
      <c r="AM153" s="100">
        <f t="shared" si="529"/>
        <v>7696019.4009999996</v>
      </c>
      <c r="AN153" s="100">
        <f t="shared" si="529"/>
        <v>6998142.2419999996</v>
      </c>
      <c r="AO153" s="100">
        <f t="shared" si="529"/>
        <v>7530801.2247399995</v>
      </c>
      <c r="AP153" s="100">
        <f t="shared" si="529"/>
        <v>7722183.1390800001</v>
      </c>
      <c r="AQ153" s="173">
        <f>AP153/AL153-1</f>
        <v>0.10346191018701822</v>
      </c>
      <c r="AS153" s="100">
        <f t="shared" si="529"/>
        <v>0</v>
      </c>
      <c r="AT153" s="100">
        <f t="shared" si="529"/>
        <v>1344965.348</v>
      </c>
      <c r="AU153" s="100">
        <f t="shared" si="529"/>
        <v>1544157.649</v>
      </c>
      <c r="AV153" s="100">
        <f t="shared" si="529"/>
        <v>1769944.159</v>
      </c>
      <c r="AW153" s="100">
        <f t="shared" si="529"/>
        <v>1958268.388</v>
      </c>
      <c r="AX153" s="100">
        <f t="shared" si="529"/>
        <v>2404704.3080000002</v>
      </c>
      <c r="AY153" s="100">
        <f t="shared" si="529"/>
        <v>3013241.9010000001</v>
      </c>
      <c r="AZ153" s="100">
        <f t="shared" si="529"/>
        <v>3648827.4890000001</v>
      </c>
      <c r="BA153" s="100">
        <f t="shared" si="529"/>
        <v>4733320.3119999999</v>
      </c>
      <c r="BB153" s="100">
        <f t="shared" si="529"/>
        <v>4784579.534</v>
      </c>
      <c r="BC153" s="100">
        <f t="shared" si="529"/>
        <v>5198912.7149999999</v>
      </c>
      <c r="BD153" s="100">
        <f t="shared" si="529"/>
        <v>5075884.318</v>
      </c>
      <c r="BE153" s="100">
        <f t="shared" si="529"/>
        <v>7013374.5851600002</v>
      </c>
      <c r="BF153" s="100">
        <f t="shared" si="529"/>
        <v>6998142</v>
      </c>
      <c r="BG153" s="100">
        <f t="shared" si="529"/>
        <v>7696019.4009999996</v>
      </c>
      <c r="BH153" s="100">
        <f t="shared" si="529"/>
        <v>6998142.2419999996</v>
      </c>
      <c r="BI153" s="100">
        <f t="shared" si="529"/>
        <v>7530801.2247399995</v>
      </c>
      <c r="BJ153" s="100">
        <f t="shared" si="529"/>
        <v>7722183.1390800001</v>
      </c>
      <c r="BL153" s="100">
        <f t="shared" si="529"/>
        <v>0</v>
      </c>
      <c r="BM153" s="100">
        <f t="shared" si="529"/>
        <v>1344965.348</v>
      </c>
      <c r="BN153" s="100">
        <f t="shared" si="529"/>
        <v>1544157.649</v>
      </c>
      <c r="BO153" s="100">
        <f t="shared" si="529"/>
        <v>1769944.159</v>
      </c>
      <c r="BP153" s="100">
        <f t="shared" ref="BP153:CC153" si="530">BP154</f>
        <v>1958268.388</v>
      </c>
      <c r="BQ153" s="100">
        <f t="shared" si="530"/>
        <v>2404704.3080000002</v>
      </c>
      <c r="BR153" s="100">
        <f t="shared" si="530"/>
        <v>3013241.9010000001</v>
      </c>
      <c r="BS153" s="100">
        <f t="shared" si="530"/>
        <v>3648827.4890000001</v>
      </c>
      <c r="BT153" s="100">
        <f t="shared" si="530"/>
        <v>4733320.3119999999</v>
      </c>
      <c r="BU153" s="100">
        <f t="shared" si="530"/>
        <v>4784579.534</v>
      </c>
      <c r="BV153" s="100">
        <f t="shared" si="530"/>
        <v>5198912.7149999999</v>
      </c>
      <c r="BW153" s="100">
        <f t="shared" si="530"/>
        <v>5075884.318</v>
      </c>
      <c r="BX153" s="100">
        <f t="shared" si="530"/>
        <v>7013374.5851600002</v>
      </c>
      <c r="BY153" s="100">
        <f t="shared" si="530"/>
        <v>6998142</v>
      </c>
      <c r="BZ153" s="100">
        <f t="shared" si="530"/>
        <v>7696019.4009999996</v>
      </c>
      <c r="CA153" s="100">
        <f t="shared" si="530"/>
        <v>6998142.2419999996</v>
      </c>
      <c r="CB153" s="100">
        <f t="shared" si="530"/>
        <v>7530801.2247399995</v>
      </c>
      <c r="CC153" s="100">
        <f t="shared" si="530"/>
        <v>7722183.1390800001</v>
      </c>
      <c r="CE153" s="100">
        <f t="shared" ref="CE153:CV153" si="531">CE154</f>
        <v>0</v>
      </c>
      <c r="CF153" s="100">
        <f t="shared" si="531"/>
        <v>1344965.348</v>
      </c>
      <c r="CG153" s="100">
        <f t="shared" si="531"/>
        <v>1544157.649</v>
      </c>
      <c r="CH153" s="100">
        <f t="shared" si="531"/>
        <v>1769944.159</v>
      </c>
      <c r="CI153" s="100">
        <f t="shared" si="531"/>
        <v>1958268.388</v>
      </c>
      <c r="CJ153" s="100">
        <f t="shared" si="531"/>
        <v>2404704.3080000002</v>
      </c>
      <c r="CK153" s="100">
        <f t="shared" si="531"/>
        <v>3013241.9010000001</v>
      </c>
      <c r="CL153" s="100">
        <f t="shared" si="531"/>
        <v>3648827.4890000001</v>
      </c>
      <c r="CM153" s="100">
        <f t="shared" si="531"/>
        <v>4733320.3119999999</v>
      </c>
      <c r="CN153" s="100">
        <f t="shared" si="531"/>
        <v>4784579.534</v>
      </c>
      <c r="CO153" s="100">
        <f t="shared" si="531"/>
        <v>5198912.7149999999</v>
      </c>
      <c r="CP153" s="100">
        <f t="shared" si="531"/>
        <v>5075884.318</v>
      </c>
      <c r="CQ153" s="100">
        <f t="shared" si="531"/>
        <v>7013374.5851600002</v>
      </c>
      <c r="CR153" s="100">
        <f t="shared" si="531"/>
        <v>6998142</v>
      </c>
      <c r="CS153" s="100">
        <f t="shared" si="531"/>
        <v>7696019.4009999996</v>
      </c>
      <c r="CT153" s="100">
        <f t="shared" si="531"/>
        <v>6998142.2419999996</v>
      </c>
      <c r="CU153" s="100">
        <f t="shared" si="531"/>
        <v>7530801.2247399995</v>
      </c>
      <c r="CV153" s="100">
        <f t="shared" si="531"/>
        <v>7722183.1390800001</v>
      </c>
      <c r="CW153" s="173">
        <f>CV153/CR153-1</f>
        <v>0.10346191018701822</v>
      </c>
      <c r="CY153" s="100">
        <f t="shared" ref="CY153:DP153" si="532">CY154</f>
        <v>0</v>
      </c>
      <c r="CZ153" s="100">
        <f t="shared" si="532"/>
        <v>1344965.348</v>
      </c>
      <c r="DA153" s="100">
        <f t="shared" si="532"/>
        <v>1544157.649</v>
      </c>
      <c r="DB153" s="100">
        <f t="shared" si="532"/>
        <v>1769944.159</v>
      </c>
      <c r="DC153" s="100">
        <f t="shared" si="532"/>
        <v>1958268.388</v>
      </c>
      <c r="DD153" s="100">
        <f t="shared" si="532"/>
        <v>2404704.3080000002</v>
      </c>
      <c r="DE153" s="100">
        <f t="shared" si="532"/>
        <v>3013241.9010000001</v>
      </c>
      <c r="DF153" s="100">
        <f t="shared" si="532"/>
        <v>3648827.4890000001</v>
      </c>
      <c r="DG153" s="100">
        <f t="shared" si="532"/>
        <v>4733320.3119999999</v>
      </c>
      <c r="DH153" s="100">
        <f t="shared" si="532"/>
        <v>4784579.534</v>
      </c>
      <c r="DI153" s="100">
        <f t="shared" si="532"/>
        <v>5198912.7149999999</v>
      </c>
      <c r="DJ153" s="100">
        <f t="shared" si="532"/>
        <v>5075884.318</v>
      </c>
      <c r="DK153" s="100">
        <f t="shared" si="532"/>
        <v>7013374.5851600002</v>
      </c>
      <c r="DL153" s="100">
        <f t="shared" si="532"/>
        <v>6998142</v>
      </c>
      <c r="DM153" s="100">
        <f t="shared" si="532"/>
        <v>7696019.4009999996</v>
      </c>
      <c r="DN153" s="100">
        <f t="shared" si="532"/>
        <v>6998142.2419999996</v>
      </c>
      <c r="DO153" s="100">
        <f t="shared" si="532"/>
        <v>7530801.2247399995</v>
      </c>
      <c r="DP153" s="100">
        <f t="shared" si="532"/>
        <v>7722183.1390800001</v>
      </c>
    </row>
    <row r="154" spans="2:120" x14ac:dyDescent="0.3">
      <c r="C154" s="65" t="s">
        <v>112</v>
      </c>
      <c r="D154" s="77">
        <v>37</v>
      </c>
      <c r="E154" s="97"/>
      <c r="F154" s="97">
        <v>1344965.348</v>
      </c>
      <c r="G154" s="97">
        <v>1544157.649</v>
      </c>
      <c r="H154" s="97">
        <v>1769944.159</v>
      </c>
      <c r="I154" s="97">
        <v>1958268.388</v>
      </c>
      <c r="J154" s="97">
        <v>2404704.3080000002</v>
      </c>
      <c r="K154" s="97">
        <v>3013241.9010000001</v>
      </c>
      <c r="L154" s="97">
        <v>3648827.4890000001</v>
      </c>
      <c r="M154" s="97">
        <v>4733320.3119999999</v>
      </c>
      <c r="N154" s="97">
        <v>4784579.534</v>
      </c>
      <c r="O154" s="97">
        <v>5198912.7149999999</v>
      </c>
      <c r="P154" s="97">
        <v>5075884.318</v>
      </c>
      <c r="Q154" s="97">
        <v>7013374.5851600002</v>
      </c>
      <c r="R154" s="97">
        <v>6998142</v>
      </c>
      <c r="S154" s="97">
        <v>7696019.4009999996</v>
      </c>
      <c r="T154" s="97">
        <v>6998142.2419999996</v>
      </c>
      <c r="U154" s="97">
        <v>7530801.2247399995</v>
      </c>
      <c r="V154" s="97">
        <v>7722183.1390800001</v>
      </c>
      <c r="W154" s="190">
        <f t="shared" si="406"/>
        <v>0.10346191018701822</v>
      </c>
      <c r="Y154" s="67">
        <f>$E154</f>
        <v>0</v>
      </c>
      <c r="Z154" s="67">
        <f>$F154</f>
        <v>1344965.348</v>
      </c>
      <c r="AA154" s="67">
        <f>$G154</f>
        <v>1544157.649</v>
      </c>
      <c r="AB154" s="67">
        <f>$H154</f>
        <v>1769944.159</v>
      </c>
      <c r="AC154" s="67">
        <f>$I154</f>
        <v>1958268.388</v>
      </c>
      <c r="AD154" s="67">
        <f>$J154</f>
        <v>2404704.3080000002</v>
      </c>
      <c r="AE154" s="67">
        <f>$K154</f>
        <v>3013241.9010000001</v>
      </c>
      <c r="AF154" s="158">
        <f>$L154</f>
        <v>3648827.4890000001</v>
      </c>
      <c r="AG154" s="158">
        <f>$M154</f>
        <v>4733320.3119999999</v>
      </c>
      <c r="AH154" s="158">
        <f>$N154</f>
        <v>4784579.534</v>
      </c>
      <c r="AI154" s="158">
        <f>$O154</f>
        <v>5198912.7149999999</v>
      </c>
      <c r="AJ154" s="158">
        <f>$P154</f>
        <v>5075884.318</v>
      </c>
      <c r="AK154" s="158">
        <f>$Q154</f>
        <v>7013374.5851600002</v>
      </c>
      <c r="AL154" s="158">
        <f>$R154</f>
        <v>6998142</v>
      </c>
      <c r="AM154" s="158">
        <f>$S154</f>
        <v>7696019.4009999996</v>
      </c>
      <c r="AN154" s="158">
        <f>$T154</f>
        <v>6998142.2419999996</v>
      </c>
      <c r="AO154" s="158">
        <f>$U154</f>
        <v>7530801.2247399995</v>
      </c>
      <c r="AP154" s="158">
        <f>$V154</f>
        <v>7722183.1390800001</v>
      </c>
      <c r="AQ154" s="190"/>
      <c r="AR154" s="64"/>
      <c r="AS154" s="67">
        <f>$E154</f>
        <v>0</v>
      </c>
      <c r="AT154" s="67">
        <f>$F154</f>
        <v>1344965.348</v>
      </c>
      <c r="AU154" s="67">
        <f>$G154</f>
        <v>1544157.649</v>
      </c>
      <c r="AV154" s="67">
        <f>$H154</f>
        <v>1769944.159</v>
      </c>
      <c r="AW154" s="67">
        <f>$I154</f>
        <v>1958268.388</v>
      </c>
      <c r="AX154" s="67">
        <f>$J154</f>
        <v>2404704.3080000002</v>
      </c>
      <c r="AY154" s="67">
        <f>$K154</f>
        <v>3013241.9010000001</v>
      </c>
      <c r="AZ154" s="158">
        <f>$L154</f>
        <v>3648827.4890000001</v>
      </c>
      <c r="BA154" s="158">
        <f>$M154</f>
        <v>4733320.3119999999</v>
      </c>
      <c r="BB154" s="158">
        <f>$N154</f>
        <v>4784579.534</v>
      </c>
      <c r="BC154" s="158">
        <f>$O154</f>
        <v>5198912.7149999999</v>
      </c>
      <c r="BD154" s="158">
        <f>$P154</f>
        <v>5075884.318</v>
      </c>
      <c r="BE154" s="158">
        <f>$Q154</f>
        <v>7013374.5851600002</v>
      </c>
      <c r="BF154" s="158">
        <f>$R154</f>
        <v>6998142</v>
      </c>
      <c r="BG154" s="158">
        <f>$S154</f>
        <v>7696019.4009999996</v>
      </c>
      <c r="BH154" s="158">
        <f>$T154</f>
        <v>6998142.2419999996</v>
      </c>
      <c r="BI154" s="158">
        <f>$U154</f>
        <v>7530801.2247399995</v>
      </c>
      <c r="BJ154" s="158">
        <f>$V154</f>
        <v>7722183.1390800001</v>
      </c>
      <c r="BK154" s="64"/>
      <c r="BL154" s="67">
        <f>$E154</f>
        <v>0</v>
      </c>
      <c r="BM154" s="67">
        <f>$F154</f>
        <v>1344965.348</v>
      </c>
      <c r="BN154" s="67">
        <f>$G154</f>
        <v>1544157.649</v>
      </c>
      <c r="BO154" s="67">
        <f>$H154</f>
        <v>1769944.159</v>
      </c>
      <c r="BP154" s="67">
        <f>$I154</f>
        <v>1958268.388</v>
      </c>
      <c r="BQ154" s="67">
        <f>$J154</f>
        <v>2404704.3080000002</v>
      </c>
      <c r="BR154" s="67">
        <f>$K154</f>
        <v>3013241.9010000001</v>
      </c>
      <c r="BS154" s="158">
        <f>$L154</f>
        <v>3648827.4890000001</v>
      </c>
      <c r="BT154" s="158">
        <f>$M154</f>
        <v>4733320.3119999999</v>
      </c>
      <c r="BU154" s="158">
        <f>$N154</f>
        <v>4784579.534</v>
      </c>
      <c r="BV154" s="158">
        <f>$O154</f>
        <v>5198912.7149999999</v>
      </c>
      <c r="BW154" s="158">
        <f>$P154</f>
        <v>5075884.318</v>
      </c>
      <c r="BX154" s="158">
        <f>$Q154</f>
        <v>7013374.5851600002</v>
      </c>
      <c r="BY154" s="158">
        <f>$R154</f>
        <v>6998142</v>
      </c>
      <c r="BZ154" s="158">
        <f>$S154</f>
        <v>7696019.4009999996</v>
      </c>
      <c r="CA154" s="158">
        <f>$T154</f>
        <v>6998142.2419999996</v>
      </c>
      <c r="CB154" s="158">
        <f>$U154</f>
        <v>7530801.2247399995</v>
      </c>
      <c r="CC154" s="158">
        <f>$V154</f>
        <v>7722183.1390800001</v>
      </c>
      <c r="CD154" s="64"/>
      <c r="CE154" s="67">
        <f>$E154</f>
        <v>0</v>
      </c>
      <c r="CF154" s="67">
        <f>$F154</f>
        <v>1344965.348</v>
      </c>
      <c r="CG154" s="67">
        <f>$G154</f>
        <v>1544157.649</v>
      </c>
      <c r="CH154" s="67">
        <f>$H154</f>
        <v>1769944.159</v>
      </c>
      <c r="CI154" s="67">
        <f>$I154</f>
        <v>1958268.388</v>
      </c>
      <c r="CJ154" s="67">
        <f>$J154</f>
        <v>2404704.3080000002</v>
      </c>
      <c r="CK154" s="67">
        <f>$K154</f>
        <v>3013241.9010000001</v>
      </c>
      <c r="CL154" s="158">
        <f>$L154</f>
        <v>3648827.4890000001</v>
      </c>
      <c r="CM154" s="158">
        <f>$M154</f>
        <v>4733320.3119999999</v>
      </c>
      <c r="CN154" s="158">
        <f>$N154</f>
        <v>4784579.534</v>
      </c>
      <c r="CO154" s="158">
        <f>$O154</f>
        <v>5198912.7149999999</v>
      </c>
      <c r="CP154" s="158">
        <f>$P154</f>
        <v>5075884.318</v>
      </c>
      <c r="CQ154" s="158">
        <f>$Q154</f>
        <v>7013374.5851600002</v>
      </c>
      <c r="CR154" s="158">
        <f>$R154</f>
        <v>6998142</v>
      </c>
      <c r="CS154" s="158">
        <f>$S154</f>
        <v>7696019.4009999996</v>
      </c>
      <c r="CT154" s="158">
        <f>$T154</f>
        <v>6998142.2419999996</v>
      </c>
      <c r="CU154" s="158">
        <f>$U154</f>
        <v>7530801.2247399995</v>
      </c>
      <c r="CV154" s="158">
        <f>$V154</f>
        <v>7722183.1390800001</v>
      </c>
      <c r="CW154" s="190"/>
      <c r="CX154" s="64"/>
      <c r="CY154" s="67">
        <f>$E154</f>
        <v>0</v>
      </c>
      <c r="CZ154" s="67">
        <f>$F154</f>
        <v>1344965.348</v>
      </c>
      <c r="DA154" s="67">
        <f>$G154</f>
        <v>1544157.649</v>
      </c>
      <c r="DB154" s="67">
        <f>$H154</f>
        <v>1769944.159</v>
      </c>
      <c r="DC154" s="67">
        <f>$I154</f>
        <v>1958268.388</v>
      </c>
      <c r="DD154" s="67">
        <f>$J154</f>
        <v>2404704.3080000002</v>
      </c>
      <c r="DE154" s="67">
        <f>$K154</f>
        <v>3013241.9010000001</v>
      </c>
      <c r="DF154" s="158">
        <f>$L154</f>
        <v>3648827.4890000001</v>
      </c>
      <c r="DG154" s="158">
        <f>$M154</f>
        <v>4733320.3119999999</v>
      </c>
      <c r="DH154" s="158">
        <f>$N154</f>
        <v>4784579.534</v>
      </c>
      <c r="DI154" s="158">
        <f>$O154</f>
        <v>5198912.7149999999</v>
      </c>
      <c r="DJ154" s="158">
        <f>$P154</f>
        <v>5075884.318</v>
      </c>
      <c r="DK154" s="158">
        <f>$Q154</f>
        <v>7013374.5851600002</v>
      </c>
      <c r="DL154" s="158">
        <f>$R154</f>
        <v>6998142</v>
      </c>
      <c r="DM154" s="158">
        <f>$S154</f>
        <v>7696019.4009999996</v>
      </c>
      <c r="DN154" s="158">
        <f>$T154</f>
        <v>6998142.2419999996</v>
      </c>
      <c r="DO154" s="158">
        <f>$U154</f>
        <v>7530801.2247399995</v>
      </c>
      <c r="DP154" s="158">
        <f>$V154</f>
        <v>7722183.1390800001</v>
      </c>
    </row>
    <row r="155" spans="2:120" x14ac:dyDescent="0.3">
      <c r="C155" s="65"/>
      <c r="D155" s="77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W155" s="169"/>
      <c r="Y155" s="40"/>
      <c r="Z155" s="40"/>
      <c r="AA155" s="40"/>
      <c r="AB155" s="40"/>
      <c r="AC155" s="40"/>
      <c r="AD155" s="40"/>
      <c r="AE155" s="40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169"/>
      <c r="AS155" s="40"/>
      <c r="AT155" s="40"/>
      <c r="AU155" s="40"/>
      <c r="AV155" s="40"/>
      <c r="AW155" s="40"/>
      <c r="AX155" s="40"/>
      <c r="AY155" s="40"/>
      <c r="AZ155" s="41"/>
      <c r="BA155" s="41"/>
      <c r="BB155" s="41"/>
      <c r="BC155" s="41"/>
      <c r="BD155" s="41"/>
      <c r="BE155" s="41"/>
      <c r="BF155" s="41"/>
      <c r="BG155" s="41"/>
      <c r="BH155" s="41"/>
      <c r="BI155" s="41"/>
      <c r="BJ155" s="41"/>
      <c r="BL155" s="40"/>
      <c r="BM155" s="40"/>
      <c r="BN155" s="40"/>
      <c r="BO155" s="40"/>
      <c r="BP155" s="40"/>
      <c r="BQ155" s="40"/>
      <c r="BR155" s="40"/>
      <c r="BS155" s="41"/>
      <c r="BT155" s="41"/>
      <c r="BU155" s="41"/>
      <c r="BV155" s="41"/>
      <c r="BW155" s="41"/>
      <c r="BX155" s="41"/>
      <c r="BY155" s="41"/>
      <c r="BZ155" s="41"/>
      <c r="CA155" s="41"/>
      <c r="CB155" s="41"/>
      <c r="CC155" s="41"/>
      <c r="CE155" s="40"/>
      <c r="CF155" s="40"/>
      <c r="CG155" s="40"/>
      <c r="CH155" s="40"/>
      <c r="CI155" s="40"/>
      <c r="CJ155" s="40"/>
      <c r="CK155" s="40"/>
      <c r="CL155" s="41"/>
      <c r="CM155" s="41"/>
      <c r="CN155" s="41"/>
      <c r="CO155" s="41"/>
      <c r="CP155" s="41"/>
      <c r="CQ155" s="41"/>
      <c r="CR155" s="41"/>
      <c r="CS155" s="41"/>
      <c r="CT155" s="41"/>
      <c r="CU155" s="41"/>
      <c r="CV155" s="41"/>
      <c r="CW155" s="169"/>
      <c r="CY155" s="40"/>
      <c r="CZ155" s="40"/>
      <c r="DA155" s="40"/>
      <c r="DB155" s="40"/>
      <c r="DC155" s="40"/>
      <c r="DD155" s="40"/>
      <c r="DE155" s="40"/>
      <c r="DF155" s="41"/>
      <c r="DG155" s="41"/>
      <c r="DH155" s="41"/>
      <c r="DI155" s="41"/>
      <c r="DJ155" s="41"/>
      <c r="DK155" s="41"/>
      <c r="DL155" s="41"/>
      <c r="DM155" s="41"/>
      <c r="DN155" s="41"/>
      <c r="DO155" s="41"/>
      <c r="DP155" s="41"/>
    </row>
    <row r="156" spans="2:120" x14ac:dyDescent="0.3">
      <c r="C156" s="80" t="s">
        <v>114</v>
      </c>
      <c r="D156" s="122"/>
      <c r="E156" s="48">
        <f t="shared" ref="E156:L156" si="533">SUM(E157:E160)</f>
        <v>0</v>
      </c>
      <c r="F156" s="48">
        <f t="shared" si="533"/>
        <v>6092385.5559</v>
      </c>
      <c r="G156" s="48">
        <f t="shared" si="533"/>
        <v>7370825.709139999</v>
      </c>
      <c r="H156" s="48">
        <f t="shared" si="533"/>
        <v>6952792.6654900005</v>
      </c>
      <c r="I156" s="48">
        <f>SUM(I157:I160)</f>
        <v>7497299.0793241635</v>
      </c>
      <c r="J156" s="48">
        <f t="shared" si="533"/>
        <v>8070138.8522099992</v>
      </c>
      <c r="K156" s="48">
        <f t="shared" si="533"/>
        <v>8328984.3363899998</v>
      </c>
      <c r="L156" s="48">
        <f t="shared" si="533"/>
        <v>8587769.36309921</v>
      </c>
      <c r="M156" s="48">
        <f t="shared" ref="M156:V156" si="534">SUM(M157:M160)</f>
        <v>8296874.3771767002</v>
      </c>
      <c r="N156" s="48">
        <f t="shared" si="534"/>
        <v>10273567.47518984</v>
      </c>
      <c r="O156" s="48">
        <f t="shared" si="534"/>
        <v>11521202.716</v>
      </c>
      <c r="P156" s="48">
        <f t="shared" si="534"/>
        <v>13374967.718999999</v>
      </c>
      <c r="Q156" s="48">
        <f t="shared" si="534"/>
        <v>14362005.461184949</v>
      </c>
      <c r="R156" s="48">
        <f t="shared" si="534"/>
        <v>14790726.199999999</v>
      </c>
      <c r="S156" s="48">
        <f t="shared" si="534"/>
        <v>13976451.812527383</v>
      </c>
      <c r="T156" s="48">
        <f t="shared" si="534"/>
        <v>13747813.077329999</v>
      </c>
      <c r="U156" s="48">
        <f t="shared" si="534"/>
        <v>13049129.769865882</v>
      </c>
      <c r="V156" s="48">
        <f t="shared" si="534"/>
        <v>14597264.453412892</v>
      </c>
      <c r="W156" s="173">
        <f t="shared" si="406"/>
        <v>-1.3079935627982042E-2</v>
      </c>
      <c r="Y156" s="100">
        <f t="shared" ref="Y156:AF156" si="535">SUM(Y157:Y160)</f>
        <v>0</v>
      </c>
      <c r="Z156" s="100">
        <f t="shared" si="535"/>
        <v>6092385.5559</v>
      </c>
      <c r="AA156" s="100">
        <f>SUM(AA157:AA160)</f>
        <v>7370825.709139999</v>
      </c>
      <c r="AB156" s="100">
        <f>SUM(AB157:AB160)</f>
        <v>6952792.6654900005</v>
      </c>
      <c r="AC156" s="100">
        <f>SUM(AC157:AC160)</f>
        <v>7497299.0793241635</v>
      </c>
      <c r="AD156" s="100">
        <f t="shared" si="535"/>
        <v>8070138.8522099992</v>
      </c>
      <c r="AE156" s="100">
        <f t="shared" si="535"/>
        <v>8328984.3363899998</v>
      </c>
      <c r="AF156" s="100">
        <f t="shared" si="535"/>
        <v>8587769.36309921</v>
      </c>
      <c r="AG156" s="100">
        <f t="shared" ref="AG156:AP156" si="536">SUM(AG157:AG160)</f>
        <v>8296874.3771767002</v>
      </c>
      <c r="AH156" s="100">
        <f t="shared" si="536"/>
        <v>10273567.47518984</v>
      </c>
      <c r="AI156" s="100">
        <f t="shared" si="536"/>
        <v>11521202.716</v>
      </c>
      <c r="AJ156" s="100">
        <f t="shared" si="536"/>
        <v>13374967.718999999</v>
      </c>
      <c r="AK156" s="100">
        <f t="shared" si="536"/>
        <v>14362005.461184949</v>
      </c>
      <c r="AL156" s="100">
        <f t="shared" si="536"/>
        <v>14790726.199999999</v>
      </c>
      <c r="AM156" s="100">
        <f t="shared" si="536"/>
        <v>13976451.812527383</v>
      </c>
      <c r="AN156" s="100">
        <f t="shared" si="536"/>
        <v>13747813.077329999</v>
      </c>
      <c r="AO156" s="100">
        <f t="shared" si="536"/>
        <v>13049129.769865882</v>
      </c>
      <c r="AP156" s="100">
        <f t="shared" si="536"/>
        <v>14597264.453412892</v>
      </c>
      <c r="AQ156" s="173">
        <f>AP156/AL156-1</f>
        <v>-1.3079935627982042E-2</v>
      </c>
      <c r="AS156" s="100">
        <f t="shared" ref="AS156:AZ156" si="537">SUM(AS157:AS160)</f>
        <v>0</v>
      </c>
      <c r="AT156" s="100">
        <f t="shared" si="537"/>
        <v>6092385.5559</v>
      </c>
      <c r="AU156" s="100">
        <f t="shared" si="537"/>
        <v>7370825.709139999</v>
      </c>
      <c r="AV156" s="100">
        <f t="shared" si="537"/>
        <v>6952792.6654900005</v>
      </c>
      <c r="AW156" s="100">
        <f t="shared" si="537"/>
        <v>7497299.0793241635</v>
      </c>
      <c r="AX156" s="100">
        <f t="shared" si="537"/>
        <v>8070138.8522099992</v>
      </c>
      <c r="AY156" s="100">
        <f t="shared" si="537"/>
        <v>8328984.3363899998</v>
      </c>
      <c r="AZ156" s="100">
        <f t="shared" si="537"/>
        <v>8587769.36309921</v>
      </c>
      <c r="BA156" s="100">
        <f t="shared" ref="BA156:BG156" si="538">SUM(BA157:BA160)</f>
        <v>8296874.3771767002</v>
      </c>
      <c r="BB156" s="100">
        <f t="shared" si="538"/>
        <v>10273567.47518984</v>
      </c>
      <c r="BC156" s="100">
        <f t="shared" si="538"/>
        <v>11521202.716</v>
      </c>
      <c r="BD156" s="100">
        <f t="shared" si="538"/>
        <v>13374967.718999999</v>
      </c>
      <c r="BE156" s="100">
        <f t="shared" si="538"/>
        <v>14362005.461184949</v>
      </c>
      <c r="BF156" s="100">
        <f t="shared" si="538"/>
        <v>14790726.199999999</v>
      </c>
      <c r="BG156" s="100">
        <f t="shared" si="538"/>
        <v>13976451.812527383</v>
      </c>
      <c r="BH156" s="100">
        <f>SUM(BH157:BH160)</f>
        <v>13747813.077329999</v>
      </c>
      <c r="BI156" s="100">
        <f>SUM(BI157:BI160)</f>
        <v>13049129.769865882</v>
      </c>
      <c r="BJ156" s="100">
        <f>SUM(BJ157:BJ160)</f>
        <v>14597264.453412892</v>
      </c>
      <c r="BK156" s="100"/>
      <c r="BL156" s="100">
        <f t="shared" ref="BL156:BS156" si="539">SUM(BL157:BL160)</f>
        <v>0</v>
      </c>
      <c r="BM156" s="100">
        <f t="shared" si="539"/>
        <v>6092385.5559</v>
      </c>
      <c r="BN156" s="100">
        <f t="shared" si="539"/>
        <v>7370825.709139999</v>
      </c>
      <c r="BO156" s="100">
        <f t="shared" si="539"/>
        <v>6952792.6654900005</v>
      </c>
      <c r="BP156" s="100">
        <f t="shared" si="539"/>
        <v>7497299.0793241635</v>
      </c>
      <c r="BQ156" s="100">
        <f t="shared" si="539"/>
        <v>8070138.8522099992</v>
      </c>
      <c r="BR156" s="100">
        <f t="shared" si="539"/>
        <v>8328984.3363899998</v>
      </c>
      <c r="BS156" s="100">
        <f t="shared" si="539"/>
        <v>8587769.36309921</v>
      </c>
      <c r="BT156" s="100">
        <f t="shared" ref="BT156:BZ156" si="540">SUM(BT157:BT160)</f>
        <v>8296874.3771767002</v>
      </c>
      <c r="BU156" s="100">
        <f t="shared" si="540"/>
        <v>10273567.47518984</v>
      </c>
      <c r="BV156" s="100">
        <f t="shared" si="540"/>
        <v>11521202.716</v>
      </c>
      <c r="BW156" s="100">
        <f t="shared" si="540"/>
        <v>13374967.718999999</v>
      </c>
      <c r="BX156" s="100">
        <f t="shared" si="540"/>
        <v>14362005.461184949</v>
      </c>
      <c r="BY156" s="100">
        <f t="shared" si="540"/>
        <v>14790726.199999999</v>
      </c>
      <c r="BZ156" s="100">
        <f t="shared" si="540"/>
        <v>13976451.812527383</v>
      </c>
      <c r="CA156" s="100">
        <f>SUM(CA157:CA160)</f>
        <v>13747813.077329999</v>
      </c>
      <c r="CB156" s="100">
        <f>SUM(CB157:CB160)</f>
        <v>13049129.769865882</v>
      </c>
      <c r="CC156" s="100">
        <f>SUM(CC157:CC160)</f>
        <v>14597264.453412892</v>
      </c>
      <c r="CD156" s="100"/>
      <c r="CE156" s="100">
        <f t="shared" ref="CE156:CL156" si="541">SUM(CE157:CE160)</f>
        <v>0</v>
      </c>
      <c r="CF156" s="100">
        <f t="shared" si="541"/>
        <v>6092385.5559</v>
      </c>
      <c r="CG156" s="100">
        <f t="shared" si="541"/>
        <v>7370825.709139999</v>
      </c>
      <c r="CH156" s="100">
        <f t="shared" si="541"/>
        <v>6952792.6654900005</v>
      </c>
      <c r="CI156" s="100">
        <f t="shared" si="541"/>
        <v>7497299.0793241635</v>
      </c>
      <c r="CJ156" s="100">
        <f t="shared" si="541"/>
        <v>8070138.8522099992</v>
      </c>
      <c r="CK156" s="100">
        <f t="shared" si="541"/>
        <v>8328984.3363899998</v>
      </c>
      <c r="CL156" s="100">
        <f t="shared" si="541"/>
        <v>8587769.36309921</v>
      </c>
      <c r="CM156" s="100">
        <f t="shared" ref="CM156:CS156" si="542">SUM(CM157:CM160)</f>
        <v>8296874.3771767002</v>
      </c>
      <c r="CN156" s="100">
        <f t="shared" si="542"/>
        <v>10273567.47518984</v>
      </c>
      <c r="CO156" s="100">
        <f t="shared" si="542"/>
        <v>11521202.716</v>
      </c>
      <c r="CP156" s="100">
        <f t="shared" si="542"/>
        <v>13374967.718999999</v>
      </c>
      <c r="CQ156" s="100">
        <f t="shared" si="542"/>
        <v>14362005.461184949</v>
      </c>
      <c r="CR156" s="100">
        <f t="shared" si="542"/>
        <v>14790726.199999999</v>
      </c>
      <c r="CS156" s="100">
        <f t="shared" si="542"/>
        <v>13976451.812527383</v>
      </c>
      <c r="CT156" s="100">
        <f>SUM(CT157:CT160)</f>
        <v>13747813.077329999</v>
      </c>
      <c r="CU156" s="100">
        <f>SUM(CU157:CU160)</f>
        <v>13049129.769865882</v>
      </c>
      <c r="CV156" s="100">
        <f>SUM(CV157:CV160)</f>
        <v>14597264.453412892</v>
      </c>
      <c r="CW156" s="173">
        <f>CV156/CR156-1</f>
        <v>-1.3079935627982042E-2</v>
      </c>
      <c r="CX156" s="100"/>
      <c r="CY156" s="100">
        <f t="shared" ref="CY156:DF156" si="543">SUM(CY157:CY160)</f>
        <v>0</v>
      </c>
      <c r="CZ156" s="100">
        <f t="shared" si="543"/>
        <v>6092385.5559</v>
      </c>
      <c r="DA156" s="100">
        <f t="shared" si="543"/>
        <v>7370825.709139999</v>
      </c>
      <c r="DB156" s="100">
        <f t="shared" si="543"/>
        <v>6952792.6654900005</v>
      </c>
      <c r="DC156" s="100">
        <f t="shared" si="543"/>
        <v>7497299.0793241635</v>
      </c>
      <c r="DD156" s="100">
        <f t="shared" si="543"/>
        <v>8070138.8522099992</v>
      </c>
      <c r="DE156" s="100">
        <f t="shared" si="543"/>
        <v>8328984.3363899998</v>
      </c>
      <c r="DF156" s="100">
        <f t="shared" si="543"/>
        <v>8587769.36309921</v>
      </c>
      <c r="DG156" s="100">
        <f t="shared" ref="DG156:DM156" si="544">SUM(DG157:DG160)</f>
        <v>8296874.3771767002</v>
      </c>
      <c r="DH156" s="100">
        <f t="shared" si="544"/>
        <v>10273567.47518984</v>
      </c>
      <c r="DI156" s="100">
        <f t="shared" si="544"/>
        <v>11521202.716</v>
      </c>
      <c r="DJ156" s="100">
        <f t="shared" si="544"/>
        <v>13374967.718999999</v>
      </c>
      <c r="DK156" s="100">
        <f t="shared" si="544"/>
        <v>14362005.461184949</v>
      </c>
      <c r="DL156" s="100">
        <f t="shared" si="544"/>
        <v>14790726.199999999</v>
      </c>
      <c r="DM156" s="100">
        <f t="shared" si="544"/>
        <v>13976451.812527383</v>
      </c>
      <c r="DN156" s="100">
        <f>SUM(DN157:DN160)</f>
        <v>13747813.077329999</v>
      </c>
      <c r="DO156" s="100">
        <f>SUM(DO157:DO160)</f>
        <v>13049129.769865882</v>
      </c>
      <c r="DP156" s="100">
        <f>SUM(DP157:DP160)</f>
        <v>14597264.453412892</v>
      </c>
    </row>
    <row r="157" spans="2:120" x14ac:dyDescent="0.3">
      <c r="C157" s="77" t="s">
        <v>142</v>
      </c>
      <c r="D157" s="77">
        <v>48.2</v>
      </c>
      <c r="E157" s="97"/>
      <c r="F157" s="97">
        <v>4651708.7318099998</v>
      </c>
      <c r="G157" s="97">
        <v>3986361.93</v>
      </c>
      <c r="H157" s="97">
        <v>3434489.79</v>
      </c>
      <c r="I157" s="97">
        <v>2879462.7549999999</v>
      </c>
      <c r="J157" s="97">
        <v>2402184.9225400002</v>
      </c>
      <c r="K157" s="97">
        <v>1972627.9669999999</v>
      </c>
      <c r="L157" s="97">
        <v>1635653.6646199999</v>
      </c>
      <c r="M157" s="97">
        <v>1323545.121</v>
      </c>
      <c r="N157" s="97">
        <v>2137960.0600399999</v>
      </c>
      <c r="O157" s="97">
        <v>3723295.8229999999</v>
      </c>
      <c r="P157" s="97">
        <v>5170920.2549999999</v>
      </c>
      <c r="Q157" s="97">
        <v>6066639.8618000001</v>
      </c>
      <c r="R157" s="97">
        <v>6761753</v>
      </c>
      <c r="S157" s="97">
        <v>5974277.0455299998</v>
      </c>
      <c r="T157" s="97">
        <v>6266540.9663300002</v>
      </c>
      <c r="U157" s="97">
        <v>5526512</v>
      </c>
      <c r="V157" s="97">
        <v>6074997</v>
      </c>
      <c r="W157" s="190">
        <f t="shared" si="406"/>
        <v>-0.10156478652799061</v>
      </c>
      <c r="Y157" s="67">
        <f>$E157</f>
        <v>0</v>
      </c>
      <c r="Z157" s="67">
        <f>$F157</f>
        <v>4651708.7318099998</v>
      </c>
      <c r="AA157" s="67">
        <f>$G157</f>
        <v>3986361.93</v>
      </c>
      <c r="AB157" s="67">
        <f>$H157</f>
        <v>3434489.79</v>
      </c>
      <c r="AC157" s="67">
        <f>$I157</f>
        <v>2879462.7549999999</v>
      </c>
      <c r="AD157" s="67">
        <f>$J157</f>
        <v>2402184.9225400002</v>
      </c>
      <c r="AE157" s="67">
        <f>$K157</f>
        <v>1972627.9669999999</v>
      </c>
      <c r="AF157" s="158">
        <f>$L157</f>
        <v>1635653.6646199999</v>
      </c>
      <c r="AG157" s="158">
        <f>$M157</f>
        <v>1323545.121</v>
      </c>
      <c r="AH157" s="158">
        <f>$N157</f>
        <v>2137960.0600399999</v>
      </c>
      <c r="AI157" s="158">
        <f>$O157</f>
        <v>3723295.8229999999</v>
      </c>
      <c r="AJ157" s="158">
        <f>$P157</f>
        <v>5170920.2549999999</v>
      </c>
      <c r="AK157" s="158">
        <f>$Q157</f>
        <v>6066639.8618000001</v>
      </c>
      <c r="AL157" s="158">
        <f>$R157</f>
        <v>6761753</v>
      </c>
      <c r="AM157" s="158">
        <f>$S157</f>
        <v>5974277.0455299998</v>
      </c>
      <c r="AN157" s="158">
        <f>$T157</f>
        <v>6266540.9663300002</v>
      </c>
      <c r="AO157" s="158">
        <f>$U157</f>
        <v>5526512</v>
      </c>
      <c r="AP157" s="158">
        <f>$V157</f>
        <v>6074997</v>
      </c>
      <c r="AQ157" s="190">
        <f>AP157/AL157-1</f>
        <v>-0.10156478652799061</v>
      </c>
      <c r="AR157" s="64"/>
      <c r="AS157" s="67">
        <f>$E157</f>
        <v>0</v>
      </c>
      <c r="AT157" s="67">
        <f>$F157</f>
        <v>4651708.7318099998</v>
      </c>
      <c r="AU157" s="67">
        <f>$G157</f>
        <v>3986361.93</v>
      </c>
      <c r="AV157" s="67">
        <f>$H157</f>
        <v>3434489.79</v>
      </c>
      <c r="AW157" s="67">
        <f>$I157</f>
        <v>2879462.7549999999</v>
      </c>
      <c r="AX157" s="67">
        <f>$J157</f>
        <v>2402184.9225400002</v>
      </c>
      <c r="AY157" s="67">
        <f>$K157</f>
        <v>1972627.9669999999</v>
      </c>
      <c r="AZ157" s="158">
        <f>$L157</f>
        <v>1635653.6646199999</v>
      </c>
      <c r="BA157" s="158">
        <f>$M157</f>
        <v>1323545.121</v>
      </c>
      <c r="BB157" s="158">
        <f>$N157</f>
        <v>2137960.0600399999</v>
      </c>
      <c r="BC157" s="158">
        <f>$O157</f>
        <v>3723295.8229999999</v>
      </c>
      <c r="BD157" s="158">
        <f>$P157</f>
        <v>5170920.2549999999</v>
      </c>
      <c r="BE157" s="158">
        <f>$Q157</f>
        <v>6066639.8618000001</v>
      </c>
      <c r="BF157" s="158">
        <f>$R157</f>
        <v>6761753</v>
      </c>
      <c r="BG157" s="158">
        <f>$S157</f>
        <v>5974277.0455299998</v>
      </c>
      <c r="BH157" s="158">
        <f>$T157</f>
        <v>6266540.9663300002</v>
      </c>
      <c r="BI157" s="158">
        <f>$U157</f>
        <v>5526512</v>
      </c>
      <c r="BJ157" s="158">
        <f>$V157</f>
        <v>6074997</v>
      </c>
      <c r="BK157" s="64"/>
      <c r="BL157" s="67">
        <f>$E157</f>
        <v>0</v>
      </c>
      <c r="BM157" s="67">
        <f>$F157</f>
        <v>4651708.7318099998</v>
      </c>
      <c r="BN157" s="67">
        <f>$G157</f>
        <v>3986361.93</v>
      </c>
      <c r="BO157" s="67">
        <f>$H157</f>
        <v>3434489.79</v>
      </c>
      <c r="BP157" s="67">
        <f>$I157</f>
        <v>2879462.7549999999</v>
      </c>
      <c r="BQ157" s="67">
        <f>$J157</f>
        <v>2402184.9225400002</v>
      </c>
      <c r="BR157" s="67">
        <f>$K157</f>
        <v>1972627.9669999999</v>
      </c>
      <c r="BS157" s="158">
        <f>$L157</f>
        <v>1635653.6646199999</v>
      </c>
      <c r="BT157" s="158">
        <f>$M157</f>
        <v>1323545.121</v>
      </c>
      <c r="BU157" s="158">
        <f>$N157</f>
        <v>2137960.0600399999</v>
      </c>
      <c r="BV157" s="158">
        <f>$O157</f>
        <v>3723295.8229999999</v>
      </c>
      <c r="BW157" s="158">
        <f>$P157</f>
        <v>5170920.2549999999</v>
      </c>
      <c r="BX157" s="158">
        <f>$Q157</f>
        <v>6066639.8618000001</v>
      </c>
      <c r="BY157" s="158">
        <f>$R157</f>
        <v>6761753</v>
      </c>
      <c r="BZ157" s="158">
        <f>$S157</f>
        <v>5974277.0455299998</v>
      </c>
      <c r="CA157" s="158">
        <f>$T157</f>
        <v>6266540.9663300002</v>
      </c>
      <c r="CB157" s="158">
        <f>$U157</f>
        <v>5526512</v>
      </c>
      <c r="CC157" s="158">
        <f>$V157</f>
        <v>6074997</v>
      </c>
      <c r="CD157" s="64"/>
      <c r="CE157" s="67">
        <f>$E157</f>
        <v>0</v>
      </c>
      <c r="CF157" s="67">
        <f>$F157</f>
        <v>4651708.7318099998</v>
      </c>
      <c r="CG157" s="67">
        <f>$G157</f>
        <v>3986361.93</v>
      </c>
      <c r="CH157" s="67">
        <f>$H157</f>
        <v>3434489.79</v>
      </c>
      <c r="CI157" s="67">
        <f>$I157</f>
        <v>2879462.7549999999</v>
      </c>
      <c r="CJ157" s="67">
        <f>$J157</f>
        <v>2402184.9225400002</v>
      </c>
      <c r="CK157" s="67">
        <f>$K157</f>
        <v>1972627.9669999999</v>
      </c>
      <c r="CL157" s="158">
        <f>$L157</f>
        <v>1635653.6646199999</v>
      </c>
      <c r="CM157" s="158">
        <f>$M157</f>
        <v>1323545.121</v>
      </c>
      <c r="CN157" s="158">
        <f>$N157</f>
        <v>2137960.0600399999</v>
      </c>
      <c r="CO157" s="158">
        <f>$O157</f>
        <v>3723295.8229999999</v>
      </c>
      <c r="CP157" s="158">
        <f>$P157</f>
        <v>5170920.2549999999</v>
      </c>
      <c r="CQ157" s="158">
        <f>$Q157</f>
        <v>6066639.8618000001</v>
      </c>
      <c r="CR157" s="158">
        <f>$R157</f>
        <v>6761753</v>
      </c>
      <c r="CS157" s="158">
        <f>$S157</f>
        <v>5974277.0455299998</v>
      </c>
      <c r="CT157" s="158">
        <f>$T157</f>
        <v>6266540.9663300002</v>
      </c>
      <c r="CU157" s="158">
        <f>$U157</f>
        <v>5526512</v>
      </c>
      <c r="CV157" s="158">
        <f>$V157</f>
        <v>6074997</v>
      </c>
      <c r="CW157" s="190">
        <f>CV157/CR157-1</f>
        <v>-0.10156478652799061</v>
      </c>
      <c r="CX157" s="64"/>
      <c r="CY157" s="67">
        <f>$E157</f>
        <v>0</v>
      </c>
      <c r="CZ157" s="67">
        <f>$F157</f>
        <v>4651708.7318099998</v>
      </c>
      <c r="DA157" s="67">
        <f>$G157</f>
        <v>3986361.93</v>
      </c>
      <c r="DB157" s="67">
        <f>$H157</f>
        <v>3434489.79</v>
      </c>
      <c r="DC157" s="67">
        <f>$I157</f>
        <v>2879462.7549999999</v>
      </c>
      <c r="DD157" s="67">
        <f>$J157</f>
        <v>2402184.9225400002</v>
      </c>
      <c r="DE157" s="67">
        <f>$K157</f>
        <v>1972627.9669999999</v>
      </c>
      <c r="DF157" s="158">
        <f>$L157</f>
        <v>1635653.6646199999</v>
      </c>
      <c r="DG157" s="158">
        <f>$M157</f>
        <v>1323545.121</v>
      </c>
      <c r="DH157" s="158">
        <f>$N157</f>
        <v>2137960.0600399999</v>
      </c>
      <c r="DI157" s="158">
        <f>$O157</f>
        <v>3723295.8229999999</v>
      </c>
      <c r="DJ157" s="158">
        <f>$P157</f>
        <v>5170920.2549999999</v>
      </c>
      <c r="DK157" s="158">
        <f>$Q157</f>
        <v>6066639.8618000001</v>
      </c>
      <c r="DL157" s="158">
        <f>$R157</f>
        <v>6761753</v>
      </c>
      <c r="DM157" s="158">
        <f>$S157</f>
        <v>5974277.0455299998</v>
      </c>
      <c r="DN157" s="158">
        <f>$T157</f>
        <v>6266540.9663300002</v>
      </c>
      <c r="DO157" s="158">
        <f>$U157</f>
        <v>5526512</v>
      </c>
      <c r="DP157" s="158">
        <f>$V157</f>
        <v>6074997</v>
      </c>
    </row>
    <row r="158" spans="2:120" x14ac:dyDescent="0.3">
      <c r="C158" s="77" t="s">
        <v>107</v>
      </c>
      <c r="D158" s="77" t="s">
        <v>149</v>
      </c>
      <c r="E158" s="97"/>
      <c r="F158" s="97">
        <v>0</v>
      </c>
      <c r="G158" s="97">
        <v>914396.86613999901</v>
      </c>
      <c r="H158" s="97">
        <v>1832841.2210899999</v>
      </c>
      <c r="I158" s="97">
        <v>2425641.7347900001</v>
      </c>
      <c r="J158" s="97">
        <v>3150198.9686699994</v>
      </c>
      <c r="K158" s="97">
        <v>3888879.0953899999</v>
      </c>
      <c r="L158" s="97">
        <v>3779873.5290100002</v>
      </c>
      <c r="M158" s="97">
        <v>3768306.1971399998</v>
      </c>
      <c r="N158" s="97">
        <v>4347921.2783399997</v>
      </c>
      <c r="O158" s="97">
        <v>3986734</v>
      </c>
      <c r="P158" s="97">
        <v>4325457</v>
      </c>
      <c r="Q158" s="97">
        <v>4320630.0999999996</v>
      </c>
      <c r="R158" s="97">
        <v>4238136</v>
      </c>
      <c r="S158" s="97">
        <v>3778454</v>
      </c>
      <c r="T158" s="97">
        <v>3237260</v>
      </c>
      <c r="U158" s="97">
        <v>2678254</v>
      </c>
      <c r="V158" s="97">
        <v>2227048</v>
      </c>
      <c r="W158" s="190">
        <f t="shared" si="406"/>
        <v>-0.47452181808228899</v>
      </c>
      <c r="Y158" s="67">
        <f>$E158</f>
        <v>0</v>
      </c>
      <c r="Z158" s="67">
        <f>$F158</f>
        <v>0</v>
      </c>
      <c r="AA158" s="67">
        <f>$G158</f>
        <v>914396.86613999901</v>
      </c>
      <c r="AB158" s="67">
        <f>$H158</f>
        <v>1832841.2210899999</v>
      </c>
      <c r="AC158" s="67">
        <f>$I158</f>
        <v>2425641.7347900001</v>
      </c>
      <c r="AD158" s="67">
        <f>$J158</f>
        <v>3150198.9686699994</v>
      </c>
      <c r="AE158" s="67">
        <f>$K158</f>
        <v>3888879.0953899999</v>
      </c>
      <c r="AF158" s="158">
        <f>$L158</f>
        <v>3779873.5290100002</v>
      </c>
      <c r="AG158" s="158">
        <f>$M158</f>
        <v>3768306.1971399998</v>
      </c>
      <c r="AH158" s="158">
        <f>$N158</f>
        <v>4347921.2783399997</v>
      </c>
      <c r="AI158" s="158">
        <f>$O158</f>
        <v>3986734</v>
      </c>
      <c r="AJ158" s="158">
        <f>$P158</f>
        <v>4325457</v>
      </c>
      <c r="AK158" s="158">
        <f>$Q158</f>
        <v>4320630.0999999996</v>
      </c>
      <c r="AL158" s="158">
        <f>$R158</f>
        <v>4238136</v>
      </c>
      <c r="AM158" s="158">
        <f>$S158</f>
        <v>3778454</v>
      </c>
      <c r="AN158" s="158">
        <f>$T158</f>
        <v>3237260</v>
      </c>
      <c r="AO158" s="158">
        <f>$U158</f>
        <v>2678254</v>
      </c>
      <c r="AP158" s="158">
        <f>$V158</f>
        <v>2227048</v>
      </c>
      <c r="AQ158" s="190">
        <f>AP158/AL158-1</f>
        <v>-0.47452181808228899</v>
      </c>
      <c r="AR158" s="64"/>
      <c r="AS158" s="67">
        <f>$E158</f>
        <v>0</v>
      </c>
      <c r="AT158" s="67">
        <f>$F158</f>
        <v>0</v>
      </c>
      <c r="AU158" s="67">
        <f>$G158</f>
        <v>914396.86613999901</v>
      </c>
      <c r="AV158" s="67">
        <f>$H158</f>
        <v>1832841.2210899999</v>
      </c>
      <c r="AW158" s="67">
        <f>$I158</f>
        <v>2425641.7347900001</v>
      </c>
      <c r="AX158" s="67">
        <f>$J158</f>
        <v>3150198.9686699994</v>
      </c>
      <c r="AY158" s="67">
        <f>$K158</f>
        <v>3888879.0953899999</v>
      </c>
      <c r="AZ158" s="158">
        <f>$L158</f>
        <v>3779873.5290100002</v>
      </c>
      <c r="BA158" s="158">
        <f>$M158</f>
        <v>3768306.1971399998</v>
      </c>
      <c r="BB158" s="158">
        <f>$N158</f>
        <v>4347921.2783399997</v>
      </c>
      <c r="BC158" s="158">
        <f>$O158</f>
        <v>3986734</v>
      </c>
      <c r="BD158" s="158">
        <f>$P158</f>
        <v>4325457</v>
      </c>
      <c r="BE158" s="158">
        <f>$Q158</f>
        <v>4320630.0999999996</v>
      </c>
      <c r="BF158" s="158">
        <f>$R158</f>
        <v>4238136</v>
      </c>
      <c r="BG158" s="158">
        <f>$S158</f>
        <v>3778454</v>
      </c>
      <c r="BH158" s="158">
        <f>$T158</f>
        <v>3237260</v>
      </c>
      <c r="BI158" s="158">
        <f>$U158</f>
        <v>2678254</v>
      </c>
      <c r="BJ158" s="158">
        <f>$V158</f>
        <v>2227048</v>
      </c>
      <c r="BK158" s="64"/>
      <c r="BL158" s="67">
        <f>$E158</f>
        <v>0</v>
      </c>
      <c r="BM158" s="67">
        <f>$F158</f>
        <v>0</v>
      </c>
      <c r="BN158" s="67">
        <f>$G158</f>
        <v>914396.86613999901</v>
      </c>
      <c r="BO158" s="67">
        <f>$H158</f>
        <v>1832841.2210899999</v>
      </c>
      <c r="BP158" s="67">
        <f>$I158</f>
        <v>2425641.7347900001</v>
      </c>
      <c r="BQ158" s="67">
        <f>$J158</f>
        <v>3150198.9686699994</v>
      </c>
      <c r="BR158" s="67">
        <f>$K158</f>
        <v>3888879.0953899999</v>
      </c>
      <c r="BS158" s="158">
        <f>$L158</f>
        <v>3779873.5290100002</v>
      </c>
      <c r="BT158" s="158">
        <f>$M158</f>
        <v>3768306.1971399998</v>
      </c>
      <c r="BU158" s="158">
        <f>$N158</f>
        <v>4347921.2783399997</v>
      </c>
      <c r="BV158" s="158">
        <f>$O158</f>
        <v>3986734</v>
      </c>
      <c r="BW158" s="158">
        <f>$P158</f>
        <v>4325457</v>
      </c>
      <c r="BX158" s="158">
        <f>$Q158</f>
        <v>4320630.0999999996</v>
      </c>
      <c r="BY158" s="158">
        <f>$R158</f>
        <v>4238136</v>
      </c>
      <c r="BZ158" s="158">
        <f>$S158</f>
        <v>3778454</v>
      </c>
      <c r="CA158" s="158">
        <f>$T158</f>
        <v>3237260</v>
      </c>
      <c r="CB158" s="158">
        <f>$U158</f>
        <v>2678254</v>
      </c>
      <c r="CC158" s="158">
        <f>$V158</f>
        <v>2227048</v>
      </c>
      <c r="CD158" s="64"/>
      <c r="CE158" s="67">
        <f>$E158</f>
        <v>0</v>
      </c>
      <c r="CF158" s="67">
        <f>$F158</f>
        <v>0</v>
      </c>
      <c r="CG158" s="67">
        <f>$G158</f>
        <v>914396.86613999901</v>
      </c>
      <c r="CH158" s="67">
        <f>$H158</f>
        <v>1832841.2210899999</v>
      </c>
      <c r="CI158" s="67">
        <f>$I158</f>
        <v>2425641.7347900001</v>
      </c>
      <c r="CJ158" s="67">
        <f>$J158</f>
        <v>3150198.9686699994</v>
      </c>
      <c r="CK158" s="67">
        <f>$K158</f>
        <v>3888879.0953899999</v>
      </c>
      <c r="CL158" s="158">
        <f>$L158</f>
        <v>3779873.5290100002</v>
      </c>
      <c r="CM158" s="158">
        <f>$M158</f>
        <v>3768306.1971399998</v>
      </c>
      <c r="CN158" s="158">
        <f>$N158</f>
        <v>4347921.2783399997</v>
      </c>
      <c r="CO158" s="158">
        <f>$O158</f>
        <v>3986734</v>
      </c>
      <c r="CP158" s="158">
        <f>$P158</f>
        <v>4325457</v>
      </c>
      <c r="CQ158" s="158">
        <f>$Q158</f>
        <v>4320630.0999999996</v>
      </c>
      <c r="CR158" s="158">
        <f>$R158</f>
        <v>4238136</v>
      </c>
      <c r="CS158" s="158">
        <f>$S158</f>
        <v>3778454</v>
      </c>
      <c r="CT158" s="158">
        <f>$T158</f>
        <v>3237260</v>
      </c>
      <c r="CU158" s="158">
        <f>$U158</f>
        <v>2678254</v>
      </c>
      <c r="CV158" s="158">
        <f>$V158</f>
        <v>2227048</v>
      </c>
      <c r="CW158" s="190">
        <f>CV158/CR158-1</f>
        <v>-0.47452181808228899</v>
      </c>
      <c r="CX158" s="64"/>
      <c r="CY158" s="67">
        <f>$E158</f>
        <v>0</v>
      </c>
      <c r="CZ158" s="67">
        <f>$F158</f>
        <v>0</v>
      </c>
      <c r="DA158" s="67">
        <f>$G158</f>
        <v>914396.86613999901</v>
      </c>
      <c r="DB158" s="67">
        <f>$H158</f>
        <v>1832841.2210899999</v>
      </c>
      <c r="DC158" s="67">
        <f>$I158</f>
        <v>2425641.7347900001</v>
      </c>
      <c r="DD158" s="67">
        <f>$J158</f>
        <v>3150198.9686699994</v>
      </c>
      <c r="DE158" s="67">
        <f>$K158</f>
        <v>3888879.0953899999</v>
      </c>
      <c r="DF158" s="158">
        <f>$L158</f>
        <v>3779873.5290100002</v>
      </c>
      <c r="DG158" s="158">
        <f>$M158</f>
        <v>3768306.1971399998</v>
      </c>
      <c r="DH158" s="158">
        <f>$N158</f>
        <v>4347921.2783399997</v>
      </c>
      <c r="DI158" s="158">
        <f>$O158</f>
        <v>3986734</v>
      </c>
      <c r="DJ158" s="158">
        <f>$P158</f>
        <v>4325457</v>
      </c>
      <c r="DK158" s="158">
        <f>$Q158</f>
        <v>4320630.0999999996</v>
      </c>
      <c r="DL158" s="158">
        <f>$R158</f>
        <v>4238136</v>
      </c>
      <c r="DM158" s="158">
        <f>$S158</f>
        <v>3778454</v>
      </c>
      <c r="DN158" s="158">
        <f>$T158</f>
        <v>3237260</v>
      </c>
      <c r="DO158" s="158">
        <f>$U158</f>
        <v>2678254</v>
      </c>
      <c r="DP158" s="158">
        <f>$V158</f>
        <v>2227048</v>
      </c>
    </row>
    <row r="159" spans="2:120" ht="22" x14ac:dyDescent="0.85">
      <c r="C159" s="77" t="s">
        <v>108</v>
      </c>
      <c r="D159" s="77" t="s">
        <v>150</v>
      </c>
      <c r="E159" s="97"/>
      <c r="F159" s="97">
        <v>1385931.1740899999</v>
      </c>
      <c r="G159" s="97">
        <v>2468506.4019999998</v>
      </c>
      <c r="H159" s="97">
        <v>1669323.1994100001</v>
      </c>
      <c r="I159" s="97">
        <v>2184447.3611541637</v>
      </c>
      <c r="J159" s="97">
        <v>2468506.4019999998</v>
      </c>
      <c r="K159" s="97">
        <v>2467477.2740000002</v>
      </c>
      <c r="L159" s="97">
        <v>3151717.1597192101</v>
      </c>
      <c r="M159" s="97">
        <v>3147882.955685264</v>
      </c>
      <c r="N159" s="97">
        <v>3679875.97580984</v>
      </c>
      <c r="O159" s="97">
        <v>3623741.392</v>
      </c>
      <c r="P159" s="97">
        <v>3570998</v>
      </c>
      <c r="Q159" s="97">
        <v>3641712.9503493397</v>
      </c>
      <c r="R159" s="97">
        <v>3433078</v>
      </c>
      <c r="S159" s="97">
        <v>3552657.5559973842</v>
      </c>
      <c r="T159" s="97">
        <v>3367094.16</v>
      </c>
      <c r="U159" s="97">
        <v>3894294.8849999998</v>
      </c>
      <c r="V159" s="97">
        <v>5539650</v>
      </c>
      <c r="W159" s="190">
        <f t="shared" si="406"/>
        <v>0.61361029373640807</v>
      </c>
      <c r="X159" s="250"/>
      <c r="Y159" s="67">
        <f>$E159</f>
        <v>0</v>
      </c>
      <c r="Z159" s="67">
        <f>$F159</f>
        <v>1385931.1740899999</v>
      </c>
      <c r="AA159" s="67">
        <f>$G159</f>
        <v>2468506.4019999998</v>
      </c>
      <c r="AB159" s="67">
        <f>$H159</f>
        <v>1669323.1994100001</v>
      </c>
      <c r="AC159" s="67">
        <f>$I159</f>
        <v>2184447.3611541637</v>
      </c>
      <c r="AD159" s="67">
        <f>$J159</f>
        <v>2468506.4019999998</v>
      </c>
      <c r="AE159" s="67">
        <f>$K159</f>
        <v>2467477.2740000002</v>
      </c>
      <c r="AF159" s="158">
        <f>$L159</f>
        <v>3151717.1597192101</v>
      </c>
      <c r="AG159" s="158">
        <f>$M159</f>
        <v>3147882.955685264</v>
      </c>
      <c r="AH159" s="158">
        <f>$N159</f>
        <v>3679875.97580984</v>
      </c>
      <c r="AI159" s="158">
        <f>$O159</f>
        <v>3623741.392</v>
      </c>
      <c r="AJ159" s="158">
        <f>$P159</f>
        <v>3570998</v>
      </c>
      <c r="AK159" s="158">
        <f>$Q159</f>
        <v>3641712.9503493397</v>
      </c>
      <c r="AL159" s="158">
        <f>$R159</f>
        <v>3433078</v>
      </c>
      <c r="AM159" s="158">
        <f>$S159</f>
        <v>3552657.5559973842</v>
      </c>
      <c r="AN159" s="158">
        <f>$T159</f>
        <v>3367094.16</v>
      </c>
      <c r="AO159" s="158">
        <f>$U159</f>
        <v>3894294.8849999998</v>
      </c>
      <c r="AP159" s="158">
        <f>$V159</f>
        <v>5539650</v>
      </c>
      <c r="AQ159" s="190">
        <f>AP159/AL159-1</f>
        <v>0.61361029373640807</v>
      </c>
      <c r="AR159" s="64"/>
      <c r="AS159" s="67">
        <f>$E159</f>
        <v>0</v>
      </c>
      <c r="AT159" s="67">
        <f>$F159</f>
        <v>1385931.1740899999</v>
      </c>
      <c r="AU159" s="67">
        <f>$G159</f>
        <v>2468506.4019999998</v>
      </c>
      <c r="AV159" s="67">
        <f>$H159</f>
        <v>1669323.1994100001</v>
      </c>
      <c r="AW159" s="67">
        <f>$I159</f>
        <v>2184447.3611541637</v>
      </c>
      <c r="AX159" s="67">
        <f>$J159</f>
        <v>2468506.4019999998</v>
      </c>
      <c r="AY159" s="67">
        <f>$K159</f>
        <v>2467477.2740000002</v>
      </c>
      <c r="AZ159" s="158">
        <f>$L159</f>
        <v>3151717.1597192101</v>
      </c>
      <c r="BA159" s="158">
        <f>$M159</f>
        <v>3147882.955685264</v>
      </c>
      <c r="BB159" s="158">
        <f>$N159</f>
        <v>3679875.97580984</v>
      </c>
      <c r="BC159" s="158">
        <f>$O159</f>
        <v>3623741.392</v>
      </c>
      <c r="BD159" s="158">
        <f>$P159</f>
        <v>3570998</v>
      </c>
      <c r="BE159" s="158">
        <f>$Q159</f>
        <v>3641712.9503493397</v>
      </c>
      <c r="BF159" s="158">
        <f>$R159</f>
        <v>3433078</v>
      </c>
      <c r="BG159" s="158">
        <f>$S159</f>
        <v>3552657.5559973842</v>
      </c>
      <c r="BH159" s="158">
        <f>$T159</f>
        <v>3367094.16</v>
      </c>
      <c r="BI159" s="158">
        <f>$U159</f>
        <v>3894294.8849999998</v>
      </c>
      <c r="BJ159" s="158">
        <f>$V159</f>
        <v>5539650</v>
      </c>
      <c r="BK159" s="64"/>
      <c r="BL159" s="67">
        <f>$E159</f>
        <v>0</v>
      </c>
      <c r="BM159" s="67">
        <f>$F159</f>
        <v>1385931.1740899999</v>
      </c>
      <c r="BN159" s="67">
        <f>$G159</f>
        <v>2468506.4019999998</v>
      </c>
      <c r="BO159" s="67">
        <f>$H159</f>
        <v>1669323.1994100001</v>
      </c>
      <c r="BP159" s="67">
        <f>$I159</f>
        <v>2184447.3611541637</v>
      </c>
      <c r="BQ159" s="67">
        <f>$J159</f>
        <v>2468506.4019999998</v>
      </c>
      <c r="BR159" s="67">
        <f>$K159</f>
        <v>2467477.2740000002</v>
      </c>
      <c r="BS159" s="158">
        <f>$L159</f>
        <v>3151717.1597192101</v>
      </c>
      <c r="BT159" s="158">
        <f>$M159</f>
        <v>3147882.955685264</v>
      </c>
      <c r="BU159" s="158">
        <f>$N159</f>
        <v>3679875.97580984</v>
      </c>
      <c r="BV159" s="158">
        <f>$O159</f>
        <v>3623741.392</v>
      </c>
      <c r="BW159" s="158">
        <f>$P159</f>
        <v>3570998</v>
      </c>
      <c r="BX159" s="158">
        <f>$Q159</f>
        <v>3641712.9503493397</v>
      </c>
      <c r="BY159" s="158">
        <f>$R159</f>
        <v>3433078</v>
      </c>
      <c r="BZ159" s="158">
        <f>$S159</f>
        <v>3552657.5559973842</v>
      </c>
      <c r="CA159" s="158">
        <f>$T159</f>
        <v>3367094.16</v>
      </c>
      <c r="CB159" s="158">
        <f>$U159</f>
        <v>3894294.8849999998</v>
      </c>
      <c r="CC159" s="158">
        <f>$V159</f>
        <v>5539650</v>
      </c>
      <c r="CD159" s="64"/>
      <c r="CE159" s="67">
        <f>$E159</f>
        <v>0</v>
      </c>
      <c r="CF159" s="67">
        <f>$F159</f>
        <v>1385931.1740899999</v>
      </c>
      <c r="CG159" s="67">
        <f>$G159</f>
        <v>2468506.4019999998</v>
      </c>
      <c r="CH159" s="67">
        <f>$H159</f>
        <v>1669323.1994100001</v>
      </c>
      <c r="CI159" s="67">
        <f>$I159</f>
        <v>2184447.3611541637</v>
      </c>
      <c r="CJ159" s="67">
        <f>$J159</f>
        <v>2468506.4019999998</v>
      </c>
      <c r="CK159" s="67">
        <f>$K159</f>
        <v>2467477.2740000002</v>
      </c>
      <c r="CL159" s="158">
        <f>$L159</f>
        <v>3151717.1597192101</v>
      </c>
      <c r="CM159" s="158">
        <f>$M159</f>
        <v>3147882.955685264</v>
      </c>
      <c r="CN159" s="158">
        <f>$N159</f>
        <v>3679875.97580984</v>
      </c>
      <c r="CO159" s="158">
        <f>$O159</f>
        <v>3623741.392</v>
      </c>
      <c r="CP159" s="158">
        <f>$P159</f>
        <v>3570998</v>
      </c>
      <c r="CQ159" s="158">
        <f>$Q159</f>
        <v>3641712.9503493397</v>
      </c>
      <c r="CR159" s="158">
        <f>$R159</f>
        <v>3433078</v>
      </c>
      <c r="CS159" s="158">
        <f>$S159</f>
        <v>3552657.5559973842</v>
      </c>
      <c r="CT159" s="158">
        <f>$T159</f>
        <v>3367094.16</v>
      </c>
      <c r="CU159" s="158">
        <f>$U159</f>
        <v>3894294.8849999998</v>
      </c>
      <c r="CV159" s="158">
        <f>$V159</f>
        <v>5539650</v>
      </c>
      <c r="CW159" s="190">
        <f>CV159/CR159-1</f>
        <v>0.61361029373640807</v>
      </c>
      <c r="CX159" s="64"/>
      <c r="CY159" s="67">
        <f>$E159</f>
        <v>0</v>
      </c>
      <c r="CZ159" s="67">
        <f>$F159</f>
        <v>1385931.1740899999</v>
      </c>
      <c r="DA159" s="67">
        <f>$G159</f>
        <v>2468506.4019999998</v>
      </c>
      <c r="DB159" s="67">
        <f>$H159</f>
        <v>1669323.1994100001</v>
      </c>
      <c r="DC159" s="67">
        <f>$I159</f>
        <v>2184447.3611541637</v>
      </c>
      <c r="DD159" s="67">
        <f>$J159</f>
        <v>2468506.4019999998</v>
      </c>
      <c r="DE159" s="67">
        <f>$K159</f>
        <v>2467477.2740000002</v>
      </c>
      <c r="DF159" s="158">
        <f>$L159</f>
        <v>3151717.1597192101</v>
      </c>
      <c r="DG159" s="158">
        <f>$M159</f>
        <v>3147882.955685264</v>
      </c>
      <c r="DH159" s="158">
        <f>$N159</f>
        <v>3679875.97580984</v>
      </c>
      <c r="DI159" s="158">
        <f>$O159</f>
        <v>3623741.392</v>
      </c>
      <c r="DJ159" s="158">
        <f>$P159</f>
        <v>3570998</v>
      </c>
      <c r="DK159" s="158">
        <f>$Q159</f>
        <v>3641712.9503493397</v>
      </c>
      <c r="DL159" s="158">
        <f>$R159</f>
        <v>3433078</v>
      </c>
      <c r="DM159" s="158">
        <f>$S159</f>
        <v>3552657.5559973842</v>
      </c>
      <c r="DN159" s="158">
        <f>$T159</f>
        <v>3367094.16</v>
      </c>
      <c r="DO159" s="158">
        <f>$U159</f>
        <v>3894294.8849999998</v>
      </c>
      <c r="DP159" s="158">
        <f>$V159</f>
        <v>5539650</v>
      </c>
    </row>
    <row r="160" spans="2:120" ht="22" x14ac:dyDescent="0.85">
      <c r="C160" s="77" t="s">
        <v>109</v>
      </c>
      <c r="D160" s="77">
        <v>46</v>
      </c>
      <c r="E160" s="97"/>
      <c r="F160" s="97">
        <v>54745.65</v>
      </c>
      <c r="G160" s="97">
        <v>1560.511</v>
      </c>
      <c r="H160" s="97">
        <v>16138.454990000002</v>
      </c>
      <c r="I160" s="97">
        <v>7747.2283799999996</v>
      </c>
      <c r="J160" s="97">
        <v>49248.559000000001</v>
      </c>
      <c r="K160" s="97">
        <v>0</v>
      </c>
      <c r="L160" s="97">
        <v>20525.009750000001</v>
      </c>
      <c r="M160" s="97">
        <v>57140.103351436934</v>
      </c>
      <c r="N160" s="97">
        <v>107810.16099999999</v>
      </c>
      <c r="O160" s="97">
        <v>187431.50099999999</v>
      </c>
      <c r="P160" s="97">
        <v>307592.46399999998</v>
      </c>
      <c r="Q160" s="97">
        <v>333022.549035609</v>
      </c>
      <c r="R160" s="97">
        <v>357759.2</v>
      </c>
      <c r="S160" s="97">
        <f>671063211/1000</f>
        <v>671063.21100000001</v>
      </c>
      <c r="T160" s="97">
        <v>876917.951</v>
      </c>
      <c r="U160" s="97">
        <v>950068.88486588094</v>
      </c>
      <c r="V160" s="97">
        <v>755569.45341289195</v>
      </c>
      <c r="W160" s="190">
        <f t="shared" si="406"/>
        <v>1.1119497511535466</v>
      </c>
      <c r="X160" s="250"/>
      <c r="Y160" s="67">
        <f>$E160</f>
        <v>0</v>
      </c>
      <c r="Z160" s="67">
        <f>$F160</f>
        <v>54745.65</v>
      </c>
      <c r="AA160" s="67">
        <f>$G160</f>
        <v>1560.511</v>
      </c>
      <c r="AB160" s="67">
        <f>$H160</f>
        <v>16138.454990000002</v>
      </c>
      <c r="AC160" s="67">
        <f>$I160</f>
        <v>7747.2283799999996</v>
      </c>
      <c r="AD160" s="67">
        <f>$J160</f>
        <v>49248.559000000001</v>
      </c>
      <c r="AE160" s="67">
        <f>$K160</f>
        <v>0</v>
      </c>
      <c r="AF160" s="158">
        <f>$L160</f>
        <v>20525.009750000001</v>
      </c>
      <c r="AG160" s="158">
        <f>$M160</f>
        <v>57140.103351436934</v>
      </c>
      <c r="AH160" s="158">
        <f>$N160</f>
        <v>107810.16099999999</v>
      </c>
      <c r="AI160" s="158">
        <f>$O160</f>
        <v>187431.50099999999</v>
      </c>
      <c r="AJ160" s="158">
        <f>$P160</f>
        <v>307592.46399999998</v>
      </c>
      <c r="AK160" s="158">
        <f>$Q160</f>
        <v>333022.549035609</v>
      </c>
      <c r="AL160" s="158">
        <f>$R160</f>
        <v>357759.2</v>
      </c>
      <c r="AM160" s="158">
        <f>$S160</f>
        <v>671063.21100000001</v>
      </c>
      <c r="AN160" s="158">
        <f>$T160</f>
        <v>876917.951</v>
      </c>
      <c r="AO160" s="158">
        <f>$U160</f>
        <v>950068.88486588094</v>
      </c>
      <c r="AP160" s="158">
        <f>$V160</f>
        <v>755569.45341289195</v>
      </c>
      <c r="AQ160" s="190">
        <f>AP160/AL160-1</f>
        <v>1.1119497511535466</v>
      </c>
      <c r="AR160" s="64"/>
      <c r="AS160" s="67">
        <f>$E160</f>
        <v>0</v>
      </c>
      <c r="AT160" s="67">
        <f>$F160</f>
        <v>54745.65</v>
      </c>
      <c r="AU160" s="67">
        <f>$G160</f>
        <v>1560.511</v>
      </c>
      <c r="AV160" s="67">
        <f>$H160</f>
        <v>16138.454990000002</v>
      </c>
      <c r="AW160" s="67">
        <f>$I160</f>
        <v>7747.2283799999996</v>
      </c>
      <c r="AX160" s="67">
        <f>$J160</f>
        <v>49248.559000000001</v>
      </c>
      <c r="AY160" s="67">
        <f>$K160</f>
        <v>0</v>
      </c>
      <c r="AZ160" s="158">
        <f>$L160</f>
        <v>20525.009750000001</v>
      </c>
      <c r="BA160" s="158">
        <f>$M160</f>
        <v>57140.103351436934</v>
      </c>
      <c r="BB160" s="158">
        <f>$N160</f>
        <v>107810.16099999999</v>
      </c>
      <c r="BC160" s="158">
        <f>$O160</f>
        <v>187431.50099999999</v>
      </c>
      <c r="BD160" s="158">
        <f>$P160</f>
        <v>307592.46399999998</v>
      </c>
      <c r="BE160" s="158">
        <f>$Q160</f>
        <v>333022.549035609</v>
      </c>
      <c r="BF160" s="158">
        <f>$R160</f>
        <v>357759.2</v>
      </c>
      <c r="BG160" s="158">
        <f>$S160</f>
        <v>671063.21100000001</v>
      </c>
      <c r="BH160" s="158">
        <f>$T160</f>
        <v>876917.951</v>
      </c>
      <c r="BI160" s="158">
        <f>$U160</f>
        <v>950068.88486588094</v>
      </c>
      <c r="BJ160" s="158">
        <f>$V160</f>
        <v>755569.45341289195</v>
      </c>
      <c r="BK160" s="64"/>
      <c r="BL160" s="67">
        <f>$E160</f>
        <v>0</v>
      </c>
      <c r="BM160" s="67">
        <f>$F160</f>
        <v>54745.65</v>
      </c>
      <c r="BN160" s="67">
        <f>$G160</f>
        <v>1560.511</v>
      </c>
      <c r="BO160" s="67">
        <f>$H160</f>
        <v>16138.454990000002</v>
      </c>
      <c r="BP160" s="67">
        <f>$I160</f>
        <v>7747.2283799999996</v>
      </c>
      <c r="BQ160" s="67">
        <f>$J160</f>
        <v>49248.559000000001</v>
      </c>
      <c r="BR160" s="67">
        <f>$K160</f>
        <v>0</v>
      </c>
      <c r="BS160" s="158">
        <f>$L160</f>
        <v>20525.009750000001</v>
      </c>
      <c r="BT160" s="158">
        <f>$M160</f>
        <v>57140.103351436934</v>
      </c>
      <c r="BU160" s="158">
        <f>$N160</f>
        <v>107810.16099999999</v>
      </c>
      <c r="BV160" s="158">
        <f>$O160</f>
        <v>187431.50099999999</v>
      </c>
      <c r="BW160" s="158">
        <f>$P160</f>
        <v>307592.46399999998</v>
      </c>
      <c r="BX160" s="158">
        <f>$Q160</f>
        <v>333022.549035609</v>
      </c>
      <c r="BY160" s="158">
        <f>$R160</f>
        <v>357759.2</v>
      </c>
      <c r="BZ160" s="158">
        <f>$S160</f>
        <v>671063.21100000001</v>
      </c>
      <c r="CA160" s="158">
        <f>$T160</f>
        <v>876917.951</v>
      </c>
      <c r="CB160" s="158">
        <f>$U160</f>
        <v>950068.88486588094</v>
      </c>
      <c r="CC160" s="158">
        <f>$V160</f>
        <v>755569.45341289195</v>
      </c>
      <c r="CD160" s="64"/>
      <c r="CE160" s="67">
        <f>$E160</f>
        <v>0</v>
      </c>
      <c r="CF160" s="67">
        <f>$F160</f>
        <v>54745.65</v>
      </c>
      <c r="CG160" s="67">
        <f>$G160</f>
        <v>1560.511</v>
      </c>
      <c r="CH160" s="67">
        <f>$H160</f>
        <v>16138.454990000002</v>
      </c>
      <c r="CI160" s="67">
        <f>$I160</f>
        <v>7747.2283799999996</v>
      </c>
      <c r="CJ160" s="67">
        <f>$J160</f>
        <v>49248.559000000001</v>
      </c>
      <c r="CK160" s="67">
        <f>$K160</f>
        <v>0</v>
      </c>
      <c r="CL160" s="158">
        <f>$L160</f>
        <v>20525.009750000001</v>
      </c>
      <c r="CM160" s="158">
        <f>$M160</f>
        <v>57140.103351436934</v>
      </c>
      <c r="CN160" s="158">
        <f>$N160</f>
        <v>107810.16099999999</v>
      </c>
      <c r="CO160" s="158">
        <f>$O160</f>
        <v>187431.50099999999</v>
      </c>
      <c r="CP160" s="158">
        <f>$P160</f>
        <v>307592.46399999998</v>
      </c>
      <c r="CQ160" s="158">
        <f>$Q160</f>
        <v>333022.549035609</v>
      </c>
      <c r="CR160" s="158">
        <f>$R160</f>
        <v>357759.2</v>
      </c>
      <c r="CS160" s="158">
        <f>$S160</f>
        <v>671063.21100000001</v>
      </c>
      <c r="CT160" s="158">
        <f>$T160</f>
        <v>876917.951</v>
      </c>
      <c r="CU160" s="158">
        <f>$U160</f>
        <v>950068.88486588094</v>
      </c>
      <c r="CV160" s="158">
        <f>$V160</f>
        <v>755569.45341289195</v>
      </c>
      <c r="CW160" s="190">
        <f>CV160/CR160-1</f>
        <v>1.1119497511535466</v>
      </c>
      <c r="CX160" s="64"/>
      <c r="CY160" s="67">
        <f>$E160</f>
        <v>0</v>
      </c>
      <c r="CZ160" s="67">
        <f>$F160</f>
        <v>54745.65</v>
      </c>
      <c r="DA160" s="67">
        <f>$G160</f>
        <v>1560.511</v>
      </c>
      <c r="DB160" s="67">
        <f>$H160</f>
        <v>16138.454990000002</v>
      </c>
      <c r="DC160" s="67">
        <f>$I160</f>
        <v>7747.2283799999996</v>
      </c>
      <c r="DD160" s="67">
        <f>$J160</f>
        <v>49248.559000000001</v>
      </c>
      <c r="DE160" s="67">
        <f>$K160</f>
        <v>0</v>
      </c>
      <c r="DF160" s="158">
        <f>$L160</f>
        <v>20525.009750000001</v>
      </c>
      <c r="DG160" s="158">
        <f>$M160</f>
        <v>57140.103351436934</v>
      </c>
      <c r="DH160" s="158">
        <f>$N160</f>
        <v>107810.16099999999</v>
      </c>
      <c r="DI160" s="158">
        <f>$O160</f>
        <v>187431.50099999999</v>
      </c>
      <c r="DJ160" s="158">
        <f>$P160</f>
        <v>307592.46399999998</v>
      </c>
      <c r="DK160" s="158">
        <f>$Q160</f>
        <v>333022.549035609</v>
      </c>
      <c r="DL160" s="158">
        <f>$R160</f>
        <v>357759.2</v>
      </c>
      <c r="DM160" s="158">
        <f>$S160</f>
        <v>671063.21100000001</v>
      </c>
      <c r="DN160" s="158">
        <f>$T160</f>
        <v>876917.951</v>
      </c>
      <c r="DO160" s="158">
        <f>$U160</f>
        <v>950068.88486588094</v>
      </c>
      <c r="DP160" s="158">
        <f>$V160</f>
        <v>755569.45341289195</v>
      </c>
    </row>
    <row r="161" spans="2:120" x14ac:dyDescent="0.3">
      <c r="C161" s="77"/>
      <c r="D161" s="77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169"/>
      <c r="X161" s="42"/>
      <c r="Y161" s="40"/>
      <c r="Z161" s="40"/>
      <c r="AA161" s="40"/>
      <c r="AB161" s="40"/>
      <c r="AC161" s="40"/>
      <c r="AD161" s="40"/>
      <c r="AE161" s="40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169"/>
      <c r="AS161" s="40"/>
      <c r="AT161" s="40"/>
      <c r="AU161" s="40"/>
      <c r="AV161" s="40"/>
      <c r="AW161" s="40"/>
      <c r="AX161" s="40"/>
      <c r="AY161" s="40"/>
      <c r="AZ161" s="41"/>
      <c r="BA161" s="41"/>
      <c r="BB161" s="41"/>
      <c r="BC161" s="41"/>
      <c r="BD161" s="41"/>
      <c r="BE161" s="41"/>
      <c r="BF161" s="41"/>
      <c r="BG161" s="41"/>
      <c r="BH161" s="41"/>
      <c r="BI161" s="41"/>
      <c r="BJ161" s="41"/>
      <c r="BL161" s="40"/>
      <c r="BM161" s="40"/>
      <c r="BN161" s="40"/>
      <c r="BO161" s="40"/>
      <c r="BP161" s="40"/>
      <c r="BQ161" s="40"/>
      <c r="BR161" s="40"/>
      <c r="BS161" s="41"/>
      <c r="BT161" s="41"/>
      <c r="BU161" s="41"/>
      <c r="BV161" s="41"/>
      <c r="BW161" s="41"/>
      <c r="BX161" s="41"/>
      <c r="BY161" s="41"/>
      <c r="BZ161" s="41"/>
      <c r="CA161" s="41"/>
      <c r="CB161" s="41"/>
      <c r="CC161" s="41"/>
      <c r="CE161" s="40"/>
      <c r="CF161" s="40"/>
      <c r="CG161" s="40"/>
      <c r="CH161" s="40"/>
      <c r="CI161" s="40"/>
      <c r="CJ161" s="40"/>
      <c r="CK161" s="40"/>
      <c r="CL161" s="41"/>
      <c r="CM161" s="41"/>
      <c r="CN161" s="41"/>
      <c r="CO161" s="41"/>
      <c r="CP161" s="41"/>
      <c r="CQ161" s="41"/>
      <c r="CR161" s="41"/>
      <c r="CS161" s="41"/>
      <c r="CT161" s="41"/>
      <c r="CU161" s="41"/>
      <c r="CV161" s="41"/>
      <c r="CW161" s="169"/>
      <c r="CY161" s="40"/>
      <c r="CZ161" s="40"/>
      <c r="DA161" s="40"/>
      <c r="DB161" s="40"/>
      <c r="DC161" s="40"/>
      <c r="DD161" s="40"/>
      <c r="DE161" s="40"/>
      <c r="DF161" s="41"/>
      <c r="DG161" s="41"/>
      <c r="DH161" s="41"/>
      <c r="DI161" s="41"/>
      <c r="DJ161" s="41"/>
      <c r="DK161" s="41"/>
      <c r="DL161" s="41"/>
      <c r="DM161" s="41"/>
      <c r="DN161" s="41"/>
      <c r="DO161" s="41"/>
      <c r="DP161" s="41"/>
    </row>
    <row r="162" spans="2:120" ht="13.5" thickBot="1" x14ac:dyDescent="0.35">
      <c r="C162" s="78" t="s">
        <v>113</v>
      </c>
      <c r="D162" s="124"/>
      <c r="E162" s="102">
        <f>E153+E156</f>
        <v>0</v>
      </c>
      <c r="F162" s="102">
        <f>F153+F156</f>
        <v>7437350.9039000003</v>
      </c>
      <c r="G162" s="102">
        <f t="shared" ref="G162:L162" si="545">G153+G156</f>
        <v>8914983.3581399992</v>
      </c>
      <c r="H162" s="102">
        <f t="shared" si="545"/>
        <v>8722736.8244899996</v>
      </c>
      <c r="I162" s="102">
        <f>I153+I156</f>
        <v>9455567.4673241638</v>
      </c>
      <c r="J162" s="102">
        <f t="shared" si="545"/>
        <v>10474843.160209998</v>
      </c>
      <c r="K162" s="102">
        <f t="shared" si="545"/>
        <v>11342226.23739</v>
      </c>
      <c r="L162" s="102">
        <f t="shared" si="545"/>
        <v>12236596.85209921</v>
      </c>
      <c r="M162" s="102">
        <f t="shared" ref="M162:V162" si="546">M153+M156</f>
        <v>13030194.689176701</v>
      </c>
      <c r="N162" s="102">
        <f t="shared" si="546"/>
        <v>15058147.00918984</v>
      </c>
      <c r="O162" s="102">
        <f t="shared" si="546"/>
        <v>16720115.431</v>
      </c>
      <c r="P162" s="102">
        <f t="shared" si="546"/>
        <v>18450852.037</v>
      </c>
      <c r="Q162" s="102">
        <f t="shared" si="546"/>
        <v>21375380.046344951</v>
      </c>
      <c r="R162" s="102">
        <f t="shared" si="546"/>
        <v>21788868.199999999</v>
      </c>
      <c r="S162" s="102">
        <f t="shared" si="546"/>
        <v>21672471.213527381</v>
      </c>
      <c r="T162" s="102">
        <f t="shared" si="546"/>
        <v>20745955.319329999</v>
      </c>
      <c r="U162" s="102">
        <f t="shared" si="546"/>
        <v>20579930.99460588</v>
      </c>
      <c r="V162" s="102">
        <f t="shared" si="546"/>
        <v>22319447.592492893</v>
      </c>
      <c r="W162" s="194">
        <f t="shared" si="406"/>
        <v>2.4350938636312103E-2</v>
      </c>
      <c r="X162" s="71"/>
      <c r="Y162" s="102">
        <f t="shared" ref="Y162:AF162" si="547">Y153+Y156</f>
        <v>0</v>
      </c>
      <c r="Z162" s="102">
        <f t="shared" si="547"/>
        <v>7437350.9039000003</v>
      </c>
      <c r="AA162" s="102">
        <f t="shared" si="547"/>
        <v>8914983.3581399992</v>
      </c>
      <c r="AB162" s="102">
        <f t="shared" si="547"/>
        <v>8722736.8244899996</v>
      </c>
      <c r="AC162" s="102">
        <f>AC153+AC156</f>
        <v>9455567.4673241638</v>
      </c>
      <c r="AD162" s="102">
        <f t="shared" si="547"/>
        <v>10474843.160209998</v>
      </c>
      <c r="AE162" s="102">
        <f t="shared" si="547"/>
        <v>11342226.23739</v>
      </c>
      <c r="AF162" s="102">
        <f t="shared" si="547"/>
        <v>12236596.85209921</v>
      </c>
      <c r="AG162" s="102">
        <f t="shared" ref="AG162:AP162" si="548">AG153+AG156</f>
        <v>13030194.689176701</v>
      </c>
      <c r="AH162" s="102">
        <f t="shared" si="548"/>
        <v>15058147.00918984</v>
      </c>
      <c r="AI162" s="102">
        <f t="shared" si="548"/>
        <v>16720115.431</v>
      </c>
      <c r="AJ162" s="102">
        <f t="shared" si="548"/>
        <v>18450852.037</v>
      </c>
      <c r="AK162" s="102">
        <f t="shared" si="548"/>
        <v>21375380.046344951</v>
      </c>
      <c r="AL162" s="102">
        <f t="shared" si="548"/>
        <v>21788868.199999999</v>
      </c>
      <c r="AM162" s="102">
        <f t="shared" si="548"/>
        <v>21672471.213527381</v>
      </c>
      <c r="AN162" s="102">
        <f t="shared" si="548"/>
        <v>20745955.319329999</v>
      </c>
      <c r="AO162" s="102">
        <f t="shared" si="548"/>
        <v>20579930.99460588</v>
      </c>
      <c r="AP162" s="102">
        <f t="shared" si="548"/>
        <v>22319447.592492893</v>
      </c>
      <c r="AQ162" s="194">
        <f>AP162/AL162-1</f>
        <v>2.4350938636312103E-2</v>
      </c>
      <c r="AR162" s="71"/>
      <c r="AS162" s="102">
        <f t="shared" ref="AS162:BJ162" si="549">AS153+AS156</f>
        <v>0</v>
      </c>
      <c r="AT162" s="102">
        <f t="shared" si="549"/>
        <v>7437350.9039000003</v>
      </c>
      <c r="AU162" s="102">
        <f t="shared" si="549"/>
        <v>8914983.3581399992</v>
      </c>
      <c r="AV162" s="102">
        <f t="shared" si="549"/>
        <v>8722736.8244899996</v>
      </c>
      <c r="AW162" s="102">
        <f t="shared" si="549"/>
        <v>9455567.4673241638</v>
      </c>
      <c r="AX162" s="102">
        <f t="shared" si="549"/>
        <v>10474843.160209998</v>
      </c>
      <c r="AY162" s="102">
        <f t="shared" si="549"/>
        <v>11342226.23739</v>
      </c>
      <c r="AZ162" s="102">
        <f t="shared" si="549"/>
        <v>12236596.85209921</v>
      </c>
      <c r="BA162" s="102">
        <f t="shared" si="549"/>
        <v>13030194.689176701</v>
      </c>
      <c r="BB162" s="102">
        <f t="shared" si="549"/>
        <v>15058147.00918984</v>
      </c>
      <c r="BC162" s="102">
        <f t="shared" si="549"/>
        <v>16720115.431</v>
      </c>
      <c r="BD162" s="102">
        <f t="shared" si="549"/>
        <v>18450852.037</v>
      </c>
      <c r="BE162" s="102">
        <f t="shared" si="549"/>
        <v>21375380.046344951</v>
      </c>
      <c r="BF162" s="102">
        <f t="shared" si="549"/>
        <v>21788868.199999999</v>
      </c>
      <c r="BG162" s="102">
        <f t="shared" si="549"/>
        <v>21672471.213527381</v>
      </c>
      <c r="BH162" s="102">
        <f t="shared" si="549"/>
        <v>20745955.319329999</v>
      </c>
      <c r="BI162" s="102">
        <f t="shared" si="549"/>
        <v>20579930.99460588</v>
      </c>
      <c r="BJ162" s="102">
        <f t="shared" si="549"/>
        <v>22319447.592492893</v>
      </c>
      <c r="BK162" s="100"/>
      <c r="BL162" s="102">
        <f t="shared" ref="BL162:CC162" si="550">BL153+BL156</f>
        <v>0</v>
      </c>
      <c r="BM162" s="102">
        <f t="shared" si="550"/>
        <v>7437350.9039000003</v>
      </c>
      <c r="BN162" s="102">
        <f t="shared" si="550"/>
        <v>8914983.3581399992</v>
      </c>
      <c r="BO162" s="102">
        <f t="shared" si="550"/>
        <v>8722736.8244899996</v>
      </c>
      <c r="BP162" s="102">
        <f t="shared" si="550"/>
        <v>9455567.4673241638</v>
      </c>
      <c r="BQ162" s="102">
        <f t="shared" si="550"/>
        <v>10474843.160209998</v>
      </c>
      <c r="BR162" s="102">
        <f t="shared" si="550"/>
        <v>11342226.23739</v>
      </c>
      <c r="BS162" s="102">
        <f t="shared" si="550"/>
        <v>12236596.85209921</v>
      </c>
      <c r="BT162" s="102">
        <f t="shared" si="550"/>
        <v>13030194.689176701</v>
      </c>
      <c r="BU162" s="102">
        <f t="shared" si="550"/>
        <v>15058147.00918984</v>
      </c>
      <c r="BV162" s="102">
        <f t="shared" si="550"/>
        <v>16720115.431</v>
      </c>
      <c r="BW162" s="102">
        <f t="shared" si="550"/>
        <v>18450852.037</v>
      </c>
      <c r="BX162" s="102">
        <f t="shared" si="550"/>
        <v>21375380.046344951</v>
      </c>
      <c r="BY162" s="102">
        <f t="shared" si="550"/>
        <v>21788868.199999999</v>
      </c>
      <c r="BZ162" s="102">
        <f t="shared" si="550"/>
        <v>21672471.213527381</v>
      </c>
      <c r="CA162" s="102">
        <f t="shared" si="550"/>
        <v>20745955.319329999</v>
      </c>
      <c r="CB162" s="102">
        <f t="shared" si="550"/>
        <v>20579930.99460588</v>
      </c>
      <c r="CC162" s="102">
        <f t="shared" si="550"/>
        <v>22319447.592492893</v>
      </c>
      <c r="CD162" s="100"/>
      <c r="CE162" s="102">
        <f t="shared" ref="CE162:CV162" si="551">CE153+CE156</f>
        <v>0</v>
      </c>
      <c r="CF162" s="102">
        <f t="shared" si="551"/>
        <v>7437350.9039000003</v>
      </c>
      <c r="CG162" s="102">
        <f t="shared" si="551"/>
        <v>8914983.3581399992</v>
      </c>
      <c r="CH162" s="102">
        <f t="shared" si="551"/>
        <v>8722736.8244899996</v>
      </c>
      <c r="CI162" s="102">
        <f t="shared" si="551"/>
        <v>9455567.4673241638</v>
      </c>
      <c r="CJ162" s="102">
        <f t="shared" si="551"/>
        <v>10474843.160209998</v>
      </c>
      <c r="CK162" s="102">
        <f t="shared" si="551"/>
        <v>11342226.23739</v>
      </c>
      <c r="CL162" s="102">
        <f t="shared" si="551"/>
        <v>12236596.85209921</v>
      </c>
      <c r="CM162" s="102">
        <f t="shared" si="551"/>
        <v>13030194.689176701</v>
      </c>
      <c r="CN162" s="102">
        <f t="shared" si="551"/>
        <v>15058147.00918984</v>
      </c>
      <c r="CO162" s="102">
        <f t="shared" si="551"/>
        <v>16720115.431</v>
      </c>
      <c r="CP162" s="102">
        <f t="shared" si="551"/>
        <v>18450852.037</v>
      </c>
      <c r="CQ162" s="102">
        <f t="shared" si="551"/>
        <v>21375380.046344951</v>
      </c>
      <c r="CR162" s="102">
        <f t="shared" si="551"/>
        <v>21788868.199999999</v>
      </c>
      <c r="CS162" s="102">
        <f t="shared" si="551"/>
        <v>21672471.213527381</v>
      </c>
      <c r="CT162" s="102">
        <f t="shared" si="551"/>
        <v>20745955.319329999</v>
      </c>
      <c r="CU162" s="102">
        <f t="shared" si="551"/>
        <v>20579930.99460588</v>
      </c>
      <c r="CV162" s="102">
        <f t="shared" si="551"/>
        <v>22319447.592492893</v>
      </c>
      <c r="CW162" s="194">
        <f>CV162/CR162-1</f>
        <v>2.4350938636312103E-2</v>
      </c>
      <c r="CX162" s="100"/>
      <c r="CY162" s="102">
        <f t="shared" ref="CY162:DP162" si="552">CY153+CY156</f>
        <v>0</v>
      </c>
      <c r="CZ162" s="102">
        <f t="shared" si="552"/>
        <v>7437350.9039000003</v>
      </c>
      <c r="DA162" s="102">
        <f t="shared" si="552"/>
        <v>8914983.3581399992</v>
      </c>
      <c r="DB162" s="102">
        <f t="shared" si="552"/>
        <v>8722736.8244899996</v>
      </c>
      <c r="DC162" s="102">
        <f t="shared" si="552"/>
        <v>9455567.4673241638</v>
      </c>
      <c r="DD162" s="102">
        <f t="shared" si="552"/>
        <v>10474843.160209998</v>
      </c>
      <c r="DE162" s="102">
        <f t="shared" si="552"/>
        <v>11342226.23739</v>
      </c>
      <c r="DF162" s="102">
        <f t="shared" si="552"/>
        <v>12236596.85209921</v>
      </c>
      <c r="DG162" s="102">
        <f t="shared" si="552"/>
        <v>13030194.689176701</v>
      </c>
      <c r="DH162" s="102">
        <f t="shared" si="552"/>
        <v>15058147.00918984</v>
      </c>
      <c r="DI162" s="102">
        <f t="shared" si="552"/>
        <v>16720115.431</v>
      </c>
      <c r="DJ162" s="102">
        <f t="shared" si="552"/>
        <v>18450852.037</v>
      </c>
      <c r="DK162" s="102">
        <f t="shared" si="552"/>
        <v>21375380.046344951</v>
      </c>
      <c r="DL162" s="102">
        <f t="shared" si="552"/>
        <v>21788868.199999999</v>
      </c>
      <c r="DM162" s="102">
        <f t="shared" si="552"/>
        <v>21672471.213527381</v>
      </c>
      <c r="DN162" s="102">
        <f t="shared" si="552"/>
        <v>20745955.319329999</v>
      </c>
      <c r="DO162" s="102">
        <f t="shared" si="552"/>
        <v>20579930.99460588</v>
      </c>
      <c r="DP162" s="102">
        <f t="shared" si="552"/>
        <v>22319447.592492893</v>
      </c>
    </row>
    <row r="163" spans="2:120" x14ac:dyDescent="0.3">
      <c r="C163" s="65"/>
      <c r="D163" s="77"/>
      <c r="E163" s="45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131"/>
      <c r="Y163" s="45"/>
      <c r="Z163" s="62"/>
      <c r="AA163" s="62"/>
      <c r="AB163" s="62"/>
      <c r="AC163" s="62"/>
      <c r="AD163" s="62"/>
      <c r="AE163" s="62"/>
      <c r="AF163" s="62"/>
      <c r="AG163" s="62"/>
      <c r="AH163" s="62"/>
      <c r="AI163" s="62"/>
      <c r="AJ163" s="62"/>
      <c r="AK163" s="62"/>
      <c r="AL163" s="62"/>
      <c r="AM163" s="62"/>
      <c r="AN163" s="62"/>
      <c r="AO163" s="62"/>
      <c r="AP163" s="62"/>
      <c r="AQ163" s="131"/>
      <c r="AS163" s="45"/>
      <c r="AT163" s="62"/>
      <c r="AU163" s="62"/>
      <c r="AV163" s="62"/>
      <c r="AW163" s="62"/>
      <c r="AX163" s="62"/>
      <c r="AY163" s="62"/>
      <c r="AZ163" s="62"/>
      <c r="BA163" s="62"/>
      <c r="BB163" s="62"/>
      <c r="BC163" s="62"/>
      <c r="BD163" s="62"/>
      <c r="BE163" s="62"/>
      <c r="BF163" s="62"/>
      <c r="BG163" s="62"/>
      <c r="BH163" s="62"/>
      <c r="BI163" s="62"/>
      <c r="BJ163" s="62"/>
      <c r="BL163" s="45"/>
      <c r="BM163" s="62"/>
      <c r="BN163" s="62"/>
      <c r="BO163" s="62"/>
      <c r="BP163" s="62"/>
      <c r="BQ163" s="62"/>
      <c r="BR163" s="62"/>
      <c r="BS163" s="62"/>
      <c r="BT163" s="62"/>
      <c r="BU163" s="62"/>
      <c r="BV163" s="62"/>
      <c r="BW163" s="62"/>
      <c r="BX163" s="62"/>
      <c r="BY163" s="62"/>
      <c r="BZ163" s="62"/>
      <c r="CA163" s="62"/>
      <c r="CB163" s="62"/>
      <c r="CC163" s="62"/>
      <c r="CE163" s="45"/>
      <c r="CF163" s="62"/>
      <c r="CG163" s="62"/>
      <c r="CH163" s="62"/>
      <c r="CI163" s="62"/>
      <c r="CJ163" s="62"/>
      <c r="CK163" s="62"/>
      <c r="CL163" s="62"/>
      <c r="CM163" s="62"/>
      <c r="CN163" s="62"/>
      <c r="CO163" s="62"/>
      <c r="CP163" s="62"/>
      <c r="CQ163" s="62"/>
      <c r="CR163" s="62"/>
      <c r="CS163" s="62"/>
      <c r="CT163" s="62"/>
      <c r="CU163" s="62"/>
      <c r="CV163" s="62"/>
      <c r="CW163" s="131"/>
      <c r="CY163" s="45"/>
      <c r="CZ163" s="62"/>
      <c r="DA163" s="62"/>
      <c r="DB163" s="62"/>
      <c r="DC163" s="62"/>
      <c r="DD163" s="62"/>
      <c r="DE163" s="62"/>
      <c r="DF163" s="62"/>
      <c r="DG163" s="62"/>
      <c r="DH163" s="62"/>
      <c r="DI163" s="62"/>
      <c r="DJ163" s="62"/>
      <c r="DK163" s="62"/>
      <c r="DL163" s="62"/>
      <c r="DM163" s="62"/>
      <c r="DN163" s="62"/>
      <c r="DO163" s="62"/>
      <c r="DP163" s="62"/>
    </row>
    <row r="164" spans="2:120" s="82" customFormat="1" x14ac:dyDescent="0.3">
      <c r="B164" s="81"/>
      <c r="C164" s="30" t="s">
        <v>95</v>
      </c>
      <c r="D164" s="30"/>
      <c r="E164" s="206"/>
      <c r="F164" s="206"/>
      <c r="G164" s="206"/>
      <c r="H164" s="206"/>
      <c r="I164" s="206"/>
      <c r="J164" s="206"/>
      <c r="K164" s="206"/>
      <c r="L164" s="206"/>
      <c r="M164" s="206"/>
      <c r="N164" s="206"/>
      <c r="O164" s="206"/>
      <c r="P164" s="206"/>
      <c r="Q164" s="206"/>
      <c r="R164" s="206"/>
      <c r="S164" s="206"/>
      <c r="T164" s="206"/>
      <c r="U164" s="206"/>
      <c r="V164" s="206"/>
      <c r="W164" s="185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185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  <c r="BF164" s="30"/>
      <c r="BG164" s="30"/>
      <c r="BH164" s="30"/>
      <c r="BI164" s="30"/>
      <c r="BJ164" s="30"/>
      <c r="BL164" s="30"/>
      <c r="BM164" s="30"/>
      <c r="BN164" s="30"/>
      <c r="BO164" s="30"/>
      <c r="BP164" s="30"/>
      <c r="BQ164" s="30"/>
      <c r="BR164" s="30"/>
      <c r="BS164" s="30"/>
      <c r="BT164" s="30"/>
      <c r="BU164" s="30"/>
      <c r="BV164" s="30"/>
      <c r="BW164" s="30"/>
      <c r="BX164" s="30"/>
      <c r="BY164" s="30"/>
      <c r="BZ164" s="30"/>
      <c r="CA164" s="30"/>
      <c r="CB164" s="30"/>
      <c r="CC164" s="30"/>
      <c r="CE164" s="30"/>
      <c r="CF164" s="30"/>
      <c r="CG164" s="30"/>
      <c r="CH164" s="30"/>
      <c r="CI164" s="30"/>
      <c r="CJ164" s="30"/>
      <c r="CK164" s="30"/>
      <c r="CL164" s="30"/>
      <c r="CM164" s="30"/>
      <c r="CN164" s="30"/>
      <c r="CO164" s="30"/>
      <c r="CP164" s="30"/>
      <c r="CQ164" s="30"/>
      <c r="CR164" s="30"/>
      <c r="CS164" s="30"/>
      <c r="CT164" s="30"/>
      <c r="CU164" s="30"/>
      <c r="CV164" s="30"/>
      <c r="CW164" s="185"/>
      <c r="CY164" s="30"/>
      <c r="CZ164" s="30"/>
      <c r="DA164" s="30"/>
      <c r="DB164" s="30"/>
      <c r="DC164" s="30"/>
      <c r="DD164" s="30"/>
      <c r="DE164" s="30"/>
      <c r="DF164" s="30"/>
      <c r="DG164" s="30"/>
      <c r="DH164" s="30"/>
      <c r="DI164" s="30"/>
      <c r="DJ164" s="30"/>
      <c r="DK164" s="30"/>
      <c r="DL164" s="30"/>
      <c r="DM164" s="30"/>
      <c r="DN164" s="30"/>
      <c r="DO164" s="30"/>
      <c r="DP164" s="30"/>
    </row>
    <row r="165" spans="2:120" s="85" customFormat="1" x14ac:dyDescent="0.3">
      <c r="B165" s="84"/>
      <c r="C165" s="63" t="s">
        <v>135</v>
      </c>
      <c r="D165" s="63"/>
      <c r="E165" s="63"/>
      <c r="F165" s="63" t="str">
        <f t="shared" ref="F165:V165" si="553">F3</f>
        <v>Q4-2020</v>
      </c>
      <c r="G165" s="63" t="str">
        <f t="shared" si="553"/>
        <v>Q1-2021</v>
      </c>
      <c r="H165" s="63" t="str">
        <f t="shared" si="553"/>
        <v>Q2-2021</v>
      </c>
      <c r="I165" s="63" t="str">
        <f t="shared" si="553"/>
        <v>Q3-2021</v>
      </c>
      <c r="J165" s="63" t="str">
        <f t="shared" si="553"/>
        <v>Q4-2021</v>
      </c>
      <c r="K165" s="63" t="str">
        <f t="shared" si="553"/>
        <v>Q1-2022</v>
      </c>
      <c r="L165" s="63" t="str">
        <f t="shared" si="553"/>
        <v>Q2-2022</v>
      </c>
      <c r="M165" s="63" t="str">
        <f t="shared" si="553"/>
        <v>Q3-2022</v>
      </c>
      <c r="N165" s="63" t="str">
        <f t="shared" si="553"/>
        <v>Q4-2022</v>
      </c>
      <c r="O165" s="63" t="str">
        <f t="shared" si="553"/>
        <v>Q1-2023</v>
      </c>
      <c r="P165" s="63" t="str">
        <f t="shared" si="553"/>
        <v>Q2-2023</v>
      </c>
      <c r="Q165" s="63" t="str">
        <f t="shared" si="553"/>
        <v>Q3-2023</v>
      </c>
      <c r="R165" s="63" t="str">
        <f t="shared" si="553"/>
        <v>Q4-2023</v>
      </c>
      <c r="S165" s="63" t="str">
        <f t="shared" si="553"/>
        <v>Q1-2024</v>
      </c>
      <c r="T165" s="63" t="str">
        <f t="shared" si="553"/>
        <v>Q2-2024</v>
      </c>
      <c r="U165" s="63" t="str">
        <f t="shared" si="553"/>
        <v>Q3-2024</v>
      </c>
      <c r="V165" s="63" t="str">
        <f t="shared" si="553"/>
        <v>Q4-2024</v>
      </c>
      <c r="W165" s="186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186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3"/>
      <c r="BH165" s="63"/>
      <c r="BI165" s="63"/>
      <c r="BJ165" s="63"/>
      <c r="BL165" s="63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186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</row>
    <row r="166" spans="2:120" x14ac:dyDescent="0.3">
      <c r="C166" s="105" t="s">
        <v>24</v>
      </c>
      <c r="D166" s="128"/>
      <c r="E166" s="106">
        <f>SUM(E167:E168)</f>
        <v>0</v>
      </c>
      <c r="F166" s="106">
        <f t="shared" ref="F166:L166" si="554">SUM(F167:F168)</f>
        <v>80939.287425315968</v>
      </c>
      <c r="G166" s="106">
        <f t="shared" si="554"/>
        <v>124707.9455845177</v>
      </c>
      <c r="H166" s="106">
        <f t="shared" si="554"/>
        <v>129574.62700000001</v>
      </c>
      <c r="I166" s="106">
        <f>SUM(I167:I168)</f>
        <v>121913.7599033607</v>
      </c>
      <c r="J166" s="106">
        <f t="shared" si="554"/>
        <v>140638.59551481929</v>
      </c>
      <c r="K166" s="106">
        <f t="shared" si="554"/>
        <v>252032.70800000001</v>
      </c>
      <c r="L166" s="106">
        <f t="shared" si="554"/>
        <v>252301.46900000001</v>
      </c>
      <c r="M166" s="106">
        <f t="shared" ref="M166:V166" si="555">SUM(M167:M168)</f>
        <v>219267.06674840147</v>
      </c>
      <c r="N166" s="106">
        <f t="shared" si="555"/>
        <v>224714.76152326091</v>
      </c>
      <c r="O166" s="106">
        <f t="shared" si="555"/>
        <v>436966.42597005679</v>
      </c>
      <c r="P166" s="106">
        <f t="shared" si="555"/>
        <v>395408.13399999996</v>
      </c>
      <c r="Q166" s="106">
        <f t="shared" si="555"/>
        <v>336397.85681808396</v>
      </c>
      <c r="R166" s="106">
        <f t="shared" si="555"/>
        <v>323070.59068968333</v>
      </c>
      <c r="S166" s="106">
        <f t="shared" si="555"/>
        <v>695604.62587029126</v>
      </c>
      <c r="T166" s="106">
        <f t="shared" si="555"/>
        <v>520402.07534918841</v>
      </c>
      <c r="U166" s="106">
        <f t="shared" si="555"/>
        <v>540572.1399999999</v>
      </c>
      <c r="V166" s="106">
        <f t="shared" si="555"/>
        <v>526150.81493399211</v>
      </c>
      <c r="W166" s="195">
        <f t="shared" si="406"/>
        <v>0.62859396706700532</v>
      </c>
      <c r="Y166" s="106">
        <f t="shared" ref="Y166:AI166" si="556">SUM(Y167:Y168)</f>
        <v>0</v>
      </c>
      <c r="Z166" s="106">
        <f t="shared" si="556"/>
        <v>80939.287425315968</v>
      </c>
      <c r="AA166" s="106">
        <f t="shared" si="556"/>
        <v>124707.9455845177</v>
      </c>
      <c r="AB166" s="106">
        <f t="shared" si="556"/>
        <v>129574.62700000001</v>
      </c>
      <c r="AC166" s="106">
        <f t="shared" si="556"/>
        <v>121913.7599033607</v>
      </c>
      <c r="AD166" s="106">
        <f t="shared" si="556"/>
        <v>140638.59551481929</v>
      </c>
      <c r="AE166" s="106">
        <f t="shared" si="556"/>
        <v>252032.70800000001</v>
      </c>
      <c r="AF166" s="106">
        <f t="shared" si="556"/>
        <v>252301.46900000001</v>
      </c>
      <c r="AG166" s="106">
        <f t="shared" si="556"/>
        <v>219267.06674840147</v>
      </c>
      <c r="AH166" s="106">
        <f t="shared" si="556"/>
        <v>224714.76152326091</v>
      </c>
      <c r="AI166" s="106">
        <f t="shared" si="556"/>
        <v>436966.42597005679</v>
      </c>
      <c r="AJ166" s="106">
        <f t="shared" ref="AJ166:AP166" si="557">SUM(AJ167:AJ168)</f>
        <v>395408.13399999996</v>
      </c>
      <c r="AK166" s="106">
        <f t="shared" si="557"/>
        <v>336397.85681808396</v>
      </c>
      <c r="AL166" s="106">
        <f t="shared" si="557"/>
        <v>323070.59068968333</v>
      </c>
      <c r="AM166" s="106">
        <f t="shared" si="557"/>
        <v>695604.62587029126</v>
      </c>
      <c r="AN166" s="106">
        <f t="shared" si="557"/>
        <v>520402.07534918841</v>
      </c>
      <c r="AO166" s="106">
        <f t="shared" si="557"/>
        <v>540572.1399999999</v>
      </c>
      <c r="AP166" s="106">
        <f t="shared" si="557"/>
        <v>526150.81493399211</v>
      </c>
      <c r="AQ166" s="195">
        <f>AP166/AL166-1</f>
        <v>0.62859396706700532</v>
      </c>
      <c r="AR166" s="64"/>
      <c r="AS166" s="106">
        <f t="shared" ref="AS166:BC166" si="558">SUM(AS167:AS168)</f>
        <v>0</v>
      </c>
      <c r="AT166" s="106">
        <f t="shared" si="558"/>
        <v>80939.287425315968</v>
      </c>
      <c r="AU166" s="106">
        <f t="shared" si="558"/>
        <v>124707.9455845177</v>
      </c>
      <c r="AV166" s="106">
        <f t="shared" si="558"/>
        <v>129574.62700000001</v>
      </c>
      <c r="AW166" s="106">
        <f t="shared" si="558"/>
        <v>121913.7599033607</v>
      </c>
      <c r="AX166" s="106">
        <f t="shared" si="558"/>
        <v>140638.59551481929</v>
      </c>
      <c r="AY166" s="106">
        <f t="shared" si="558"/>
        <v>252032.70800000001</v>
      </c>
      <c r="AZ166" s="106">
        <f t="shared" si="558"/>
        <v>252301.46900000001</v>
      </c>
      <c r="BA166" s="106">
        <f t="shared" si="558"/>
        <v>219267.06674840147</v>
      </c>
      <c r="BB166" s="106">
        <f t="shared" si="558"/>
        <v>224714.76152326091</v>
      </c>
      <c r="BC166" s="106">
        <f t="shared" si="558"/>
        <v>436966.42597005679</v>
      </c>
      <c r="BD166" s="106">
        <f t="shared" ref="BD166:BJ166" si="559">SUM(BD167:BD168)</f>
        <v>395408.13399999996</v>
      </c>
      <c r="BE166" s="106">
        <f t="shared" si="559"/>
        <v>336397.85681808396</v>
      </c>
      <c r="BF166" s="106">
        <f t="shared" si="559"/>
        <v>323070.59068968333</v>
      </c>
      <c r="BG166" s="106">
        <f t="shared" si="559"/>
        <v>695604.62587029126</v>
      </c>
      <c r="BH166" s="106">
        <f t="shared" si="559"/>
        <v>520402.07534918841</v>
      </c>
      <c r="BI166" s="106">
        <f t="shared" si="559"/>
        <v>540572.1399999999</v>
      </c>
      <c r="BJ166" s="106">
        <f t="shared" si="559"/>
        <v>526150.81493399211</v>
      </c>
      <c r="BK166" s="64"/>
      <c r="BL166" s="106">
        <f t="shared" ref="BL166:BV166" si="560">SUM(BL167:BL168)</f>
        <v>0</v>
      </c>
      <c r="BM166" s="106">
        <f t="shared" si="560"/>
        <v>80939.287425315968</v>
      </c>
      <c r="BN166" s="106">
        <f t="shared" si="560"/>
        <v>124707.9455845177</v>
      </c>
      <c r="BO166" s="106">
        <f t="shared" si="560"/>
        <v>129574.62700000001</v>
      </c>
      <c r="BP166" s="106">
        <f t="shared" si="560"/>
        <v>121913.7599033607</v>
      </c>
      <c r="BQ166" s="106">
        <f t="shared" si="560"/>
        <v>140638.59551481929</v>
      </c>
      <c r="BR166" s="106">
        <f t="shared" si="560"/>
        <v>252032.70800000001</v>
      </c>
      <c r="BS166" s="106">
        <f t="shared" si="560"/>
        <v>252301.46900000001</v>
      </c>
      <c r="BT166" s="106">
        <f t="shared" si="560"/>
        <v>219267.06674840147</v>
      </c>
      <c r="BU166" s="106">
        <f t="shared" si="560"/>
        <v>224714.76152326091</v>
      </c>
      <c r="BV166" s="106">
        <f t="shared" si="560"/>
        <v>436966.42597005679</v>
      </c>
      <c r="BW166" s="106">
        <f t="shared" ref="BW166:CC166" si="561">SUM(BW167:BW168)</f>
        <v>395408.13399999996</v>
      </c>
      <c r="BX166" s="106">
        <f t="shared" si="561"/>
        <v>336397.85681808396</v>
      </c>
      <c r="BY166" s="106">
        <f t="shared" si="561"/>
        <v>323070.59068968333</v>
      </c>
      <c r="BZ166" s="106">
        <f t="shared" si="561"/>
        <v>695604.62587029126</v>
      </c>
      <c r="CA166" s="106">
        <f t="shared" si="561"/>
        <v>520402.07534918841</v>
      </c>
      <c r="CB166" s="106">
        <f t="shared" si="561"/>
        <v>540572.1399999999</v>
      </c>
      <c r="CC166" s="106">
        <f t="shared" si="561"/>
        <v>526150.81493399211</v>
      </c>
      <c r="CD166" s="64"/>
      <c r="CE166" s="106">
        <f t="shared" ref="CE166:CO166" si="562">SUM(CE167:CE168)</f>
        <v>0</v>
      </c>
      <c r="CF166" s="106">
        <f t="shared" si="562"/>
        <v>80939.287425315968</v>
      </c>
      <c r="CG166" s="106">
        <f t="shared" si="562"/>
        <v>124707.9455845177</v>
      </c>
      <c r="CH166" s="106">
        <f t="shared" si="562"/>
        <v>129574.62700000001</v>
      </c>
      <c r="CI166" s="106">
        <f t="shared" si="562"/>
        <v>121913.7599033607</v>
      </c>
      <c r="CJ166" s="106">
        <f t="shared" si="562"/>
        <v>140638.59551481929</v>
      </c>
      <c r="CK166" s="106">
        <f t="shared" si="562"/>
        <v>252032.70800000001</v>
      </c>
      <c r="CL166" s="106">
        <f t="shared" si="562"/>
        <v>252301.46900000001</v>
      </c>
      <c r="CM166" s="106">
        <f t="shared" si="562"/>
        <v>219267.06674840147</v>
      </c>
      <c r="CN166" s="106">
        <f t="shared" si="562"/>
        <v>224714.76152326091</v>
      </c>
      <c r="CO166" s="106">
        <f t="shared" si="562"/>
        <v>436966.42597005679</v>
      </c>
      <c r="CP166" s="106">
        <f t="shared" ref="CP166:CV166" si="563">SUM(CP167:CP168)</f>
        <v>395408.13399999996</v>
      </c>
      <c r="CQ166" s="106">
        <f t="shared" si="563"/>
        <v>336397.85681808396</v>
      </c>
      <c r="CR166" s="106">
        <f t="shared" si="563"/>
        <v>323070.59068968333</v>
      </c>
      <c r="CS166" s="106">
        <f t="shared" si="563"/>
        <v>695604.62587029126</v>
      </c>
      <c r="CT166" s="106">
        <f t="shared" si="563"/>
        <v>520402.07534918841</v>
      </c>
      <c r="CU166" s="106">
        <f t="shared" si="563"/>
        <v>540572.1399999999</v>
      </c>
      <c r="CV166" s="106">
        <f t="shared" si="563"/>
        <v>526150.81493399211</v>
      </c>
      <c r="CW166" s="195">
        <f>CV166/CR166-1</f>
        <v>0.62859396706700532</v>
      </c>
      <c r="CX166" s="64"/>
      <c r="CY166" s="106">
        <f t="shared" ref="CY166:DI166" si="564">SUM(CY167:CY168)</f>
        <v>0</v>
      </c>
      <c r="CZ166" s="106">
        <f t="shared" si="564"/>
        <v>80939.287425315968</v>
      </c>
      <c r="DA166" s="106">
        <f t="shared" si="564"/>
        <v>124707.9455845177</v>
      </c>
      <c r="DB166" s="106">
        <f t="shared" si="564"/>
        <v>129574.62700000001</v>
      </c>
      <c r="DC166" s="106">
        <f t="shared" si="564"/>
        <v>121913.7599033607</v>
      </c>
      <c r="DD166" s="106">
        <f t="shared" si="564"/>
        <v>140638.59551481929</v>
      </c>
      <c r="DE166" s="106">
        <f t="shared" si="564"/>
        <v>252032.70800000001</v>
      </c>
      <c r="DF166" s="106">
        <f t="shared" si="564"/>
        <v>252301.46900000001</v>
      </c>
      <c r="DG166" s="106">
        <f t="shared" si="564"/>
        <v>219267.06674840147</v>
      </c>
      <c r="DH166" s="106">
        <f t="shared" si="564"/>
        <v>224714.76152326091</v>
      </c>
      <c r="DI166" s="106">
        <f t="shared" si="564"/>
        <v>436966.42597005679</v>
      </c>
      <c r="DJ166" s="106">
        <f t="shared" ref="DJ166:DP166" si="565">SUM(DJ167:DJ168)</f>
        <v>395408.13399999996</v>
      </c>
      <c r="DK166" s="106">
        <f t="shared" si="565"/>
        <v>336397.85681808396</v>
      </c>
      <c r="DL166" s="106">
        <f t="shared" si="565"/>
        <v>323070.59068968333</v>
      </c>
      <c r="DM166" s="106">
        <f t="shared" si="565"/>
        <v>695604.62587029126</v>
      </c>
      <c r="DN166" s="106">
        <f t="shared" si="565"/>
        <v>520402.07534918841</v>
      </c>
      <c r="DO166" s="106">
        <f t="shared" si="565"/>
        <v>540572.1399999999</v>
      </c>
      <c r="DP166" s="106">
        <f t="shared" si="565"/>
        <v>526150.81493399211</v>
      </c>
    </row>
    <row r="167" spans="2:120" x14ac:dyDescent="0.3">
      <c r="C167" s="65" t="s">
        <v>137</v>
      </c>
      <c r="D167" s="77"/>
      <c r="E167" s="97">
        <v>0</v>
      </c>
      <c r="F167" s="98">
        <v>67107.382029272601</v>
      </c>
      <c r="G167" s="98">
        <v>81223.069393087018</v>
      </c>
      <c r="H167" s="98">
        <v>89927.631000000008</v>
      </c>
      <c r="I167" s="98">
        <v>93439.534596862999</v>
      </c>
      <c r="J167" s="98">
        <v>87924.364575782965</v>
      </c>
      <c r="K167" s="98">
        <v>123193.67605509648</v>
      </c>
      <c r="L167" s="98">
        <v>136029.351</v>
      </c>
      <c r="M167" s="98">
        <v>138259.82100000003</v>
      </c>
      <c r="N167" s="98">
        <v>119879.151</v>
      </c>
      <c r="O167" s="98">
        <v>177964.77802999999</v>
      </c>
      <c r="P167" s="98">
        <v>183053.76799999998</v>
      </c>
      <c r="Q167" s="98">
        <v>203731.17537295463</v>
      </c>
      <c r="R167" s="98">
        <v>187599.81771999999</v>
      </c>
      <c r="S167" s="98">
        <v>240271.52047112581</v>
      </c>
      <c r="T167" s="98">
        <v>232488.35571253166</v>
      </c>
      <c r="U167" s="98">
        <v>293461.27795195486</v>
      </c>
      <c r="V167" s="98">
        <f>254205.217741137+250</f>
        <v>254455.21774113699</v>
      </c>
      <c r="W167" s="196">
        <f t="shared" si="406"/>
        <v>0.35637241460927904</v>
      </c>
      <c r="X167" s="203"/>
      <c r="Y167" s="67">
        <f>$E167</f>
        <v>0</v>
      </c>
      <c r="Z167" s="67">
        <f>$F167</f>
        <v>67107.382029272601</v>
      </c>
      <c r="AA167" s="67">
        <f>$G167</f>
        <v>81223.069393087018</v>
      </c>
      <c r="AB167" s="67">
        <f>$H167</f>
        <v>89927.631000000008</v>
      </c>
      <c r="AC167" s="67">
        <f>$I167</f>
        <v>93439.534596862999</v>
      </c>
      <c r="AD167" s="67">
        <f>$J167</f>
        <v>87924.364575782965</v>
      </c>
      <c r="AE167" s="67">
        <f>$K167</f>
        <v>123193.67605509648</v>
      </c>
      <c r="AF167" s="160">
        <f>$L167</f>
        <v>136029.351</v>
      </c>
      <c r="AG167" s="160">
        <f>$M167</f>
        <v>138259.82100000003</v>
      </c>
      <c r="AH167" s="160">
        <f>$N167</f>
        <v>119879.151</v>
      </c>
      <c r="AI167" s="160">
        <f>$O167</f>
        <v>177964.77802999999</v>
      </c>
      <c r="AJ167" s="160">
        <f>$P167</f>
        <v>183053.76799999998</v>
      </c>
      <c r="AK167" s="160">
        <f>$Q167</f>
        <v>203731.17537295463</v>
      </c>
      <c r="AL167" s="160">
        <f>$R167</f>
        <v>187599.81771999999</v>
      </c>
      <c r="AM167" s="160">
        <f>$S167</f>
        <v>240271.52047112581</v>
      </c>
      <c r="AN167" s="160">
        <f>$T167</f>
        <v>232488.35571253166</v>
      </c>
      <c r="AO167" s="160">
        <f>$U167</f>
        <v>293461.27795195486</v>
      </c>
      <c r="AP167" s="160">
        <f>$V167</f>
        <v>254455.21774113699</v>
      </c>
      <c r="AQ167" s="196">
        <f>AP167/AL167-1</f>
        <v>0.35637241460927904</v>
      </c>
      <c r="AR167" s="64"/>
      <c r="AS167" s="67">
        <f>$E167</f>
        <v>0</v>
      </c>
      <c r="AT167" s="67">
        <f>$F167</f>
        <v>67107.382029272601</v>
      </c>
      <c r="AU167" s="67">
        <f>$G167</f>
        <v>81223.069393087018</v>
      </c>
      <c r="AV167" s="67">
        <f>$H167</f>
        <v>89927.631000000008</v>
      </c>
      <c r="AW167" s="67">
        <f>$I167</f>
        <v>93439.534596862999</v>
      </c>
      <c r="AX167" s="67">
        <f>$J167</f>
        <v>87924.364575782965</v>
      </c>
      <c r="AY167" s="67">
        <f>$K167</f>
        <v>123193.67605509648</v>
      </c>
      <c r="AZ167" s="160">
        <f>$L167</f>
        <v>136029.351</v>
      </c>
      <c r="BA167" s="160">
        <f>$M167</f>
        <v>138259.82100000003</v>
      </c>
      <c r="BB167" s="160">
        <f>$N167</f>
        <v>119879.151</v>
      </c>
      <c r="BC167" s="160">
        <f>$O167</f>
        <v>177964.77802999999</v>
      </c>
      <c r="BD167" s="160">
        <f>$P167</f>
        <v>183053.76799999998</v>
      </c>
      <c r="BE167" s="160">
        <f>$Q167</f>
        <v>203731.17537295463</v>
      </c>
      <c r="BF167" s="160">
        <f>$R167</f>
        <v>187599.81771999999</v>
      </c>
      <c r="BG167" s="160">
        <f>$S167</f>
        <v>240271.52047112581</v>
      </c>
      <c r="BH167" s="160">
        <f>$T167</f>
        <v>232488.35571253166</v>
      </c>
      <c r="BI167" s="160">
        <f>$U167</f>
        <v>293461.27795195486</v>
      </c>
      <c r="BJ167" s="160">
        <f>$V167</f>
        <v>254455.21774113699</v>
      </c>
      <c r="BK167" s="64"/>
      <c r="BL167" s="67">
        <f>$E167</f>
        <v>0</v>
      </c>
      <c r="BM167" s="67">
        <f>$F167</f>
        <v>67107.382029272601</v>
      </c>
      <c r="BN167" s="67">
        <f>$G167</f>
        <v>81223.069393087018</v>
      </c>
      <c r="BO167" s="67">
        <f>$H167</f>
        <v>89927.631000000008</v>
      </c>
      <c r="BP167" s="67">
        <f>$I167</f>
        <v>93439.534596862999</v>
      </c>
      <c r="BQ167" s="67">
        <f>$J167</f>
        <v>87924.364575782965</v>
      </c>
      <c r="BR167" s="67">
        <f>$K167</f>
        <v>123193.67605509648</v>
      </c>
      <c r="BS167" s="160">
        <f>$L167</f>
        <v>136029.351</v>
      </c>
      <c r="BT167" s="160">
        <f>$M167</f>
        <v>138259.82100000003</v>
      </c>
      <c r="BU167" s="160">
        <f>$N167</f>
        <v>119879.151</v>
      </c>
      <c r="BV167" s="160">
        <f>$O167</f>
        <v>177964.77802999999</v>
      </c>
      <c r="BW167" s="160">
        <f>$P167</f>
        <v>183053.76799999998</v>
      </c>
      <c r="BX167" s="160">
        <f>$Q167</f>
        <v>203731.17537295463</v>
      </c>
      <c r="BY167" s="160">
        <f>$R167</f>
        <v>187599.81771999999</v>
      </c>
      <c r="BZ167" s="160">
        <f>$S167</f>
        <v>240271.52047112581</v>
      </c>
      <c r="CA167" s="160">
        <f>$T167</f>
        <v>232488.35571253166</v>
      </c>
      <c r="CB167" s="160">
        <f>$U167</f>
        <v>293461.27795195486</v>
      </c>
      <c r="CC167" s="160">
        <f>$V167</f>
        <v>254455.21774113699</v>
      </c>
      <c r="CD167" s="64"/>
      <c r="CE167" s="67">
        <f>$E167</f>
        <v>0</v>
      </c>
      <c r="CF167" s="67">
        <f>$F167</f>
        <v>67107.382029272601</v>
      </c>
      <c r="CG167" s="67">
        <f>$G167</f>
        <v>81223.069393087018</v>
      </c>
      <c r="CH167" s="67">
        <f>$H167</f>
        <v>89927.631000000008</v>
      </c>
      <c r="CI167" s="67">
        <f>$I167</f>
        <v>93439.534596862999</v>
      </c>
      <c r="CJ167" s="67">
        <f>$J167</f>
        <v>87924.364575782965</v>
      </c>
      <c r="CK167" s="67">
        <f>$K167</f>
        <v>123193.67605509648</v>
      </c>
      <c r="CL167" s="160">
        <f>$L167</f>
        <v>136029.351</v>
      </c>
      <c r="CM167" s="160">
        <f>$M167</f>
        <v>138259.82100000003</v>
      </c>
      <c r="CN167" s="160">
        <f>$N167</f>
        <v>119879.151</v>
      </c>
      <c r="CO167" s="160">
        <f>$O167</f>
        <v>177964.77802999999</v>
      </c>
      <c r="CP167" s="160">
        <f>$P167</f>
        <v>183053.76799999998</v>
      </c>
      <c r="CQ167" s="160">
        <f>$Q167</f>
        <v>203731.17537295463</v>
      </c>
      <c r="CR167" s="160">
        <f>$R167</f>
        <v>187599.81771999999</v>
      </c>
      <c r="CS167" s="160">
        <f>$S167</f>
        <v>240271.52047112581</v>
      </c>
      <c r="CT167" s="160">
        <f>$T167</f>
        <v>232488.35571253166</v>
      </c>
      <c r="CU167" s="160">
        <f>$U167</f>
        <v>293461.27795195486</v>
      </c>
      <c r="CV167" s="160">
        <f>$V167</f>
        <v>254455.21774113699</v>
      </c>
      <c r="CW167" s="196">
        <f>CV167/CR167-1</f>
        <v>0.35637241460927904</v>
      </c>
      <c r="CX167" s="134"/>
      <c r="CY167" s="67">
        <f>$E167</f>
        <v>0</v>
      </c>
      <c r="CZ167" s="67">
        <f>$F167</f>
        <v>67107.382029272601</v>
      </c>
      <c r="DA167" s="67">
        <f>$G167</f>
        <v>81223.069393087018</v>
      </c>
      <c r="DB167" s="67">
        <f>$H167</f>
        <v>89927.631000000008</v>
      </c>
      <c r="DC167" s="67">
        <f>$I167</f>
        <v>93439.534596862999</v>
      </c>
      <c r="DD167" s="67">
        <f>$J167</f>
        <v>87924.364575782965</v>
      </c>
      <c r="DE167" s="67">
        <f>$K167</f>
        <v>123193.67605509648</v>
      </c>
      <c r="DF167" s="160">
        <f>$L167</f>
        <v>136029.351</v>
      </c>
      <c r="DG167" s="160">
        <f>$M167</f>
        <v>138259.82100000003</v>
      </c>
      <c r="DH167" s="160">
        <f>$N167</f>
        <v>119879.151</v>
      </c>
      <c r="DI167" s="160">
        <f>$O167</f>
        <v>177964.77802999999</v>
      </c>
      <c r="DJ167" s="160">
        <f>$P167</f>
        <v>183053.76799999998</v>
      </c>
      <c r="DK167" s="160">
        <f>$Q167</f>
        <v>203731.17537295463</v>
      </c>
      <c r="DL167" s="160">
        <f>$R167</f>
        <v>187599.81771999999</v>
      </c>
      <c r="DM167" s="160">
        <f>$S167</f>
        <v>240271.52047112581</v>
      </c>
      <c r="DN167" s="160">
        <f>$T167</f>
        <v>232488.35571253166</v>
      </c>
      <c r="DO167" s="160">
        <f>$U167</f>
        <v>293461.27795195486</v>
      </c>
      <c r="DP167" s="160">
        <f>$V167</f>
        <v>254455.21774113699</v>
      </c>
    </row>
    <row r="168" spans="2:120" x14ac:dyDescent="0.3">
      <c r="C168" s="65" t="s">
        <v>138</v>
      </c>
      <c r="D168" s="77"/>
      <c r="E168" s="97">
        <v>0</v>
      </c>
      <c r="F168" s="98">
        <v>13831.905396043374</v>
      </c>
      <c r="G168" s="98">
        <v>43484.876191430689</v>
      </c>
      <c r="H168" s="98">
        <v>39646.996000000006</v>
      </c>
      <c r="I168" s="98">
        <v>28474.225306497701</v>
      </c>
      <c r="J168" s="98">
        <v>52714.230939036323</v>
      </c>
      <c r="K168" s="98">
        <v>128839.03194490353</v>
      </c>
      <c r="L168" s="98">
        <v>116272.11800000002</v>
      </c>
      <c r="M168" s="98">
        <v>81007.245748401445</v>
      </c>
      <c r="N168" s="98">
        <v>104835.61052326091</v>
      </c>
      <c r="O168" s="98">
        <v>259001.64794005681</v>
      </c>
      <c r="P168" s="98">
        <v>212354.36599999998</v>
      </c>
      <c r="Q168" s="98">
        <v>132666.68144512933</v>
      </c>
      <c r="R168" s="98">
        <v>135470.77296968331</v>
      </c>
      <c r="S168" s="98">
        <v>455333.10539916542</v>
      </c>
      <c r="T168" s="98">
        <v>287913.71963665675</v>
      </c>
      <c r="U168" s="98">
        <v>247110.86204804509</v>
      </c>
      <c r="V168" s="98">
        <v>271695.59719285509</v>
      </c>
      <c r="W168" s="196">
        <f t="shared" si="406"/>
        <v>1.005566154506679</v>
      </c>
      <c r="X168" s="230"/>
      <c r="Y168" s="67">
        <f>$E168</f>
        <v>0</v>
      </c>
      <c r="Z168" s="67">
        <f>$F168</f>
        <v>13831.905396043374</v>
      </c>
      <c r="AA168" s="67">
        <f>$G168</f>
        <v>43484.876191430689</v>
      </c>
      <c r="AB168" s="67">
        <f>$H168</f>
        <v>39646.996000000006</v>
      </c>
      <c r="AC168" s="67">
        <f>$I168</f>
        <v>28474.225306497701</v>
      </c>
      <c r="AD168" s="67">
        <f>$J168</f>
        <v>52714.230939036323</v>
      </c>
      <c r="AE168" s="67">
        <f>$K168</f>
        <v>128839.03194490353</v>
      </c>
      <c r="AF168" s="160">
        <f>$L168</f>
        <v>116272.11800000002</v>
      </c>
      <c r="AG168" s="160">
        <f>$M168</f>
        <v>81007.245748401445</v>
      </c>
      <c r="AH168" s="160">
        <f>$N168</f>
        <v>104835.61052326091</v>
      </c>
      <c r="AI168" s="160">
        <f>$O168</f>
        <v>259001.64794005681</v>
      </c>
      <c r="AJ168" s="160">
        <f>$P168</f>
        <v>212354.36599999998</v>
      </c>
      <c r="AK168" s="160">
        <f>$Q168</f>
        <v>132666.68144512933</v>
      </c>
      <c r="AL168" s="160">
        <f>$R168</f>
        <v>135470.77296968331</v>
      </c>
      <c r="AM168" s="160">
        <f>$S168</f>
        <v>455333.10539916542</v>
      </c>
      <c r="AN168" s="160">
        <f>$T168</f>
        <v>287913.71963665675</v>
      </c>
      <c r="AO168" s="160">
        <f>$U168</f>
        <v>247110.86204804509</v>
      </c>
      <c r="AP168" s="160">
        <f>$V168</f>
        <v>271695.59719285509</v>
      </c>
      <c r="AQ168" s="196">
        <f>AP168/AL168-1</f>
        <v>1.005566154506679</v>
      </c>
      <c r="AR168" s="64"/>
      <c r="AS168" s="67">
        <f>$E168</f>
        <v>0</v>
      </c>
      <c r="AT168" s="67">
        <f>$F168</f>
        <v>13831.905396043374</v>
      </c>
      <c r="AU168" s="67">
        <f>$G168</f>
        <v>43484.876191430689</v>
      </c>
      <c r="AV168" s="67">
        <f>$H168</f>
        <v>39646.996000000006</v>
      </c>
      <c r="AW168" s="67">
        <f>$I168</f>
        <v>28474.225306497701</v>
      </c>
      <c r="AX168" s="67">
        <f>$J168</f>
        <v>52714.230939036323</v>
      </c>
      <c r="AY168" s="67">
        <f>$K168</f>
        <v>128839.03194490353</v>
      </c>
      <c r="AZ168" s="160">
        <f>$L168</f>
        <v>116272.11800000002</v>
      </c>
      <c r="BA168" s="160">
        <f>$M168</f>
        <v>81007.245748401445</v>
      </c>
      <c r="BB168" s="160">
        <f>$N168</f>
        <v>104835.61052326091</v>
      </c>
      <c r="BC168" s="160">
        <f>$O168</f>
        <v>259001.64794005681</v>
      </c>
      <c r="BD168" s="160">
        <f>$P168</f>
        <v>212354.36599999998</v>
      </c>
      <c r="BE168" s="160">
        <f>$Q168</f>
        <v>132666.68144512933</v>
      </c>
      <c r="BF168" s="160">
        <f>$R168</f>
        <v>135470.77296968331</v>
      </c>
      <c r="BG168" s="160">
        <f>$S168</f>
        <v>455333.10539916542</v>
      </c>
      <c r="BH168" s="160">
        <f>$T168</f>
        <v>287913.71963665675</v>
      </c>
      <c r="BI168" s="160">
        <f>$U168</f>
        <v>247110.86204804509</v>
      </c>
      <c r="BJ168" s="160">
        <f>$V168</f>
        <v>271695.59719285509</v>
      </c>
      <c r="BK168" s="64"/>
      <c r="BL168" s="67">
        <f>$E168</f>
        <v>0</v>
      </c>
      <c r="BM168" s="67">
        <f>$F168</f>
        <v>13831.905396043374</v>
      </c>
      <c r="BN168" s="67">
        <f>$G168</f>
        <v>43484.876191430689</v>
      </c>
      <c r="BO168" s="67">
        <f>$H168</f>
        <v>39646.996000000006</v>
      </c>
      <c r="BP168" s="67">
        <f>$I168</f>
        <v>28474.225306497701</v>
      </c>
      <c r="BQ168" s="67">
        <f>$J168</f>
        <v>52714.230939036323</v>
      </c>
      <c r="BR168" s="67">
        <f>$K168</f>
        <v>128839.03194490353</v>
      </c>
      <c r="BS168" s="160">
        <f>$L168</f>
        <v>116272.11800000002</v>
      </c>
      <c r="BT168" s="160">
        <f>$M168</f>
        <v>81007.245748401445</v>
      </c>
      <c r="BU168" s="160">
        <f>$N168</f>
        <v>104835.61052326091</v>
      </c>
      <c r="BV168" s="160">
        <f>$O168</f>
        <v>259001.64794005681</v>
      </c>
      <c r="BW168" s="160">
        <f>$P168</f>
        <v>212354.36599999998</v>
      </c>
      <c r="BX168" s="160">
        <f>$Q168</f>
        <v>132666.68144512933</v>
      </c>
      <c r="BY168" s="160">
        <f>$R168</f>
        <v>135470.77296968331</v>
      </c>
      <c r="BZ168" s="160">
        <f>$S168</f>
        <v>455333.10539916542</v>
      </c>
      <c r="CA168" s="160">
        <f>$T168</f>
        <v>287913.71963665675</v>
      </c>
      <c r="CB168" s="160">
        <f>$U168</f>
        <v>247110.86204804509</v>
      </c>
      <c r="CC168" s="160">
        <f>$V168</f>
        <v>271695.59719285509</v>
      </c>
      <c r="CD168" s="64"/>
      <c r="CE168" s="67">
        <f>$E168</f>
        <v>0</v>
      </c>
      <c r="CF168" s="67">
        <f>$F168</f>
        <v>13831.905396043374</v>
      </c>
      <c r="CG168" s="67">
        <f>$G168</f>
        <v>43484.876191430689</v>
      </c>
      <c r="CH168" s="67">
        <f>$H168</f>
        <v>39646.996000000006</v>
      </c>
      <c r="CI168" s="67">
        <f>$I168</f>
        <v>28474.225306497701</v>
      </c>
      <c r="CJ168" s="67">
        <f>$J168</f>
        <v>52714.230939036323</v>
      </c>
      <c r="CK168" s="67">
        <f>$K168</f>
        <v>128839.03194490353</v>
      </c>
      <c r="CL168" s="160">
        <f>$L168</f>
        <v>116272.11800000002</v>
      </c>
      <c r="CM168" s="160">
        <f>$M168</f>
        <v>81007.245748401445</v>
      </c>
      <c r="CN168" s="160">
        <f>$N168</f>
        <v>104835.61052326091</v>
      </c>
      <c r="CO168" s="160">
        <f>$O168</f>
        <v>259001.64794005681</v>
      </c>
      <c r="CP168" s="160">
        <f>$P168</f>
        <v>212354.36599999998</v>
      </c>
      <c r="CQ168" s="160">
        <f>$Q168</f>
        <v>132666.68144512933</v>
      </c>
      <c r="CR168" s="160">
        <f>$R168</f>
        <v>135470.77296968331</v>
      </c>
      <c r="CS168" s="160">
        <f>$S168</f>
        <v>455333.10539916542</v>
      </c>
      <c r="CT168" s="160">
        <f>$T168</f>
        <v>287913.71963665675</v>
      </c>
      <c r="CU168" s="160">
        <f>$U168</f>
        <v>247110.86204804509</v>
      </c>
      <c r="CV168" s="160">
        <f>$V168</f>
        <v>271695.59719285509</v>
      </c>
      <c r="CW168" s="196">
        <f>CV168/CR168-1</f>
        <v>1.005566154506679</v>
      </c>
      <c r="CX168" s="134"/>
      <c r="CY168" s="67">
        <f>$E168</f>
        <v>0</v>
      </c>
      <c r="CZ168" s="67">
        <f>$F168</f>
        <v>13831.905396043374</v>
      </c>
      <c r="DA168" s="67">
        <f>$G168</f>
        <v>43484.876191430689</v>
      </c>
      <c r="DB168" s="67">
        <f>$H168</f>
        <v>39646.996000000006</v>
      </c>
      <c r="DC168" s="67">
        <f>$I168</f>
        <v>28474.225306497701</v>
      </c>
      <c r="DD168" s="67">
        <f>$J168</f>
        <v>52714.230939036323</v>
      </c>
      <c r="DE168" s="67">
        <f>$K168</f>
        <v>128839.03194490353</v>
      </c>
      <c r="DF168" s="160">
        <f>$L168</f>
        <v>116272.11800000002</v>
      </c>
      <c r="DG168" s="160">
        <f>$M168</f>
        <v>81007.245748401445</v>
      </c>
      <c r="DH168" s="160">
        <f>$N168</f>
        <v>104835.61052326091</v>
      </c>
      <c r="DI168" s="160">
        <f>$O168</f>
        <v>259001.64794005681</v>
      </c>
      <c r="DJ168" s="160">
        <f>$P168</f>
        <v>212354.36599999998</v>
      </c>
      <c r="DK168" s="160">
        <f>$Q168</f>
        <v>132666.68144512933</v>
      </c>
      <c r="DL168" s="160">
        <f>$R168</f>
        <v>135470.77296968331</v>
      </c>
      <c r="DM168" s="160">
        <f>$S168</f>
        <v>455333.10539916542</v>
      </c>
      <c r="DN168" s="160">
        <f>$T168</f>
        <v>287913.71963665675</v>
      </c>
      <c r="DO168" s="160">
        <f>$U168</f>
        <v>247110.86204804509</v>
      </c>
      <c r="DP168" s="160">
        <f>$V168</f>
        <v>271695.59719285509</v>
      </c>
    </row>
    <row r="169" spans="2:120" x14ac:dyDescent="0.3">
      <c r="C169" s="65" t="s">
        <v>51</v>
      </c>
      <c r="D169" s="77"/>
      <c r="E169" s="147"/>
      <c r="F169" s="148"/>
      <c r="G169" s="148">
        <f>G166-G41</f>
        <v>5.8451769291423261E-4</v>
      </c>
      <c r="H169" s="148">
        <f>H166-H41</f>
        <v>0</v>
      </c>
      <c r="I169" s="148">
        <f>I166-I41</f>
        <v>-0.41009663930162787</v>
      </c>
      <c r="J169" s="148"/>
      <c r="K169" s="148">
        <f t="shared" ref="K169:V169" si="566">K166-K41</f>
        <v>0</v>
      </c>
      <c r="L169" s="148">
        <f t="shared" si="566"/>
        <v>0</v>
      </c>
      <c r="M169" s="148">
        <f t="shared" si="566"/>
        <v>8.7484014802612364E-3</v>
      </c>
      <c r="N169" s="148">
        <f t="shared" si="566"/>
        <v>1.523260900285095E-3</v>
      </c>
      <c r="O169" s="148">
        <f t="shared" si="566"/>
        <v>5.9700568090192974E-3</v>
      </c>
      <c r="P169" s="148">
        <f t="shared" si="566"/>
        <v>0</v>
      </c>
      <c r="Q169" s="148">
        <f t="shared" si="566"/>
        <v>-3.3181916049215943E-2</v>
      </c>
      <c r="R169" s="148">
        <f t="shared" si="566"/>
        <v>-0.41831031668698415</v>
      </c>
      <c r="S169" s="148">
        <f t="shared" si="566"/>
        <v>-6.6129708779044449E-2</v>
      </c>
      <c r="T169" s="148">
        <f t="shared" si="566"/>
        <v>-2.6508115697652102E-3</v>
      </c>
      <c r="U169" s="148">
        <f t="shared" si="566"/>
        <v>0</v>
      </c>
      <c r="V169" s="148">
        <f t="shared" si="566"/>
        <v>-0.34606600785627961</v>
      </c>
      <c r="W169" s="202">
        <f t="shared" si="406"/>
        <v>-0.17270506116817563</v>
      </c>
      <c r="X169" s="197"/>
      <c r="Y169" s="67"/>
      <c r="Z169" s="67"/>
      <c r="AA169" s="67"/>
      <c r="AB169" s="67"/>
      <c r="AC169" s="67"/>
      <c r="AD169" s="67"/>
      <c r="AE169" s="67"/>
      <c r="AF169" s="161"/>
      <c r="AG169" s="161"/>
      <c r="AH169" s="161"/>
      <c r="AI169" s="161"/>
      <c r="AJ169" s="161"/>
      <c r="AK169" s="161"/>
      <c r="AL169" s="161"/>
      <c r="AM169" s="161"/>
      <c r="AN169" s="161"/>
      <c r="AO169" s="161"/>
      <c r="AP169" s="161"/>
      <c r="AQ169" s="202"/>
      <c r="AR169" s="64"/>
      <c r="AS169" s="67"/>
      <c r="AT169" s="67"/>
      <c r="AU169" s="67"/>
      <c r="AV169" s="67"/>
      <c r="AW169" s="67"/>
      <c r="AX169" s="67"/>
      <c r="AY169" s="67"/>
      <c r="AZ169" s="161"/>
      <c r="BA169" s="161"/>
      <c r="BB169" s="161"/>
      <c r="BC169" s="161"/>
      <c r="BD169" s="161"/>
      <c r="BE169" s="161"/>
      <c r="BF169" s="161"/>
      <c r="BG169" s="161"/>
      <c r="BH169" s="161"/>
      <c r="BI169" s="161"/>
      <c r="BJ169" s="161"/>
      <c r="BK169" s="64"/>
      <c r="BL169" s="67"/>
      <c r="BM169" s="67"/>
      <c r="BN169" s="67"/>
      <c r="BO169" s="67"/>
      <c r="BP169" s="67"/>
      <c r="BQ169" s="67"/>
      <c r="BR169" s="67"/>
      <c r="BS169" s="161"/>
      <c r="BT169" s="161"/>
      <c r="BU169" s="161"/>
      <c r="BV169" s="161"/>
      <c r="BW169" s="161"/>
      <c r="BX169" s="161"/>
      <c r="BY169" s="161"/>
      <c r="BZ169" s="161"/>
      <c r="CA169" s="161"/>
      <c r="CB169" s="161"/>
      <c r="CC169" s="161"/>
      <c r="CD169" s="64"/>
      <c r="CE169" s="67"/>
      <c r="CF169" s="67"/>
      <c r="CG169" s="67"/>
      <c r="CH169" s="67"/>
      <c r="CI169" s="67"/>
      <c r="CJ169" s="67"/>
      <c r="CK169" s="67"/>
      <c r="CL169" s="161"/>
      <c r="CM169" s="161"/>
      <c r="CN169" s="161"/>
      <c r="CO169" s="161"/>
      <c r="CP169" s="161"/>
      <c r="CQ169" s="161"/>
      <c r="CR169" s="161"/>
      <c r="CS169" s="161"/>
      <c r="CT169" s="161"/>
      <c r="CU169" s="161"/>
      <c r="CV169" s="161"/>
      <c r="CW169" s="202"/>
      <c r="CX169" s="134"/>
      <c r="CY169" s="67"/>
      <c r="CZ169" s="67"/>
      <c r="DA169" s="67"/>
      <c r="DB169" s="67"/>
      <c r="DC169" s="67"/>
      <c r="DD169" s="67"/>
      <c r="DE169" s="67"/>
      <c r="DF169" s="161"/>
      <c r="DG169" s="161"/>
      <c r="DH169" s="161"/>
      <c r="DI169" s="161"/>
      <c r="DJ169" s="161"/>
      <c r="DK169" s="161"/>
      <c r="DL169" s="161"/>
      <c r="DM169" s="161"/>
      <c r="DN169" s="161"/>
      <c r="DO169" s="161"/>
      <c r="DP169" s="161"/>
    </row>
    <row r="170" spans="2:120" x14ac:dyDescent="0.3">
      <c r="C170" s="65"/>
      <c r="D170" s="77"/>
      <c r="E170" s="147"/>
      <c r="F170" s="148"/>
      <c r="G170" s="148"/>
      <c r="H170" s="148"/>
      <c r="I170" s="148"/>
      <c r="J170" s="148"/>
      <c r="K170" s="148"/>
      <c r="L170" s="148"/>
      <c r="M170" s="148"/>
      <c r="N170" s="148"/>
      <c r="O170" s="148"/>
      <c r="P170" s="148"/>
      <c r="Q170" s="148"/>
      <c r="R170" s="148"/>
      <c r="W170" s="149"/>
      <c r="X170" s="197"/>
      <c r="Y170" s="67"/>
      <c r="Z170" s="67"/>
      <c r="AA170" s="67"/>
      <c r="AB170" s="67"/>
      <c r="AC170" s="67"/>
      <c r="AD170" s="67"/>
      <c r="AE170" s="67"/>
      <c r="AF170" s="161"/>
      <c r="AG170" s="161"/>
      <c r="AH170" s="161"/>
      <c r="AI170" s="161"/>
      <c r="AJ170" s="161"/>
      <c r="AK170" s="161"/>
      <c r="AL170" s="161"/>
      <c r="AM170" s="161"/>
      <c r="AN170" s="161"/>
      <c r="AO170" s="161"/>
      <c r="AP170" s="161"/>
      <c r="AQ170" s="149"/>
      <c r="AR170" s="64"/>
      <c r="AS170" s="67"/>
      <c r="AT170" s="67"/>
      <c r="AU170" s="67"/>
      <c r="AV170" s="67"/>
      <c r="AW170" s="67"/>
      <c r="AX170" s="67"/>
      <c r="AY170" s="67"/>
      <c r="AZ170" s="161"/>
      <c r="BA170" s="161"/>
      <c r="BB170" s="161"/>
      <c r="BC170" s="161"/>
      <c r="BD170" s="161"/>
      <c r="BE170" s="161"/>
      <c r="BF170" s="161"/>
      <c r="BG170" s="161"/>
      <c r="BH170" s="161"/>
      <c r="BI170" s="161"/>
      <c r="BJ170" s="161"/>
      <c r="BK170" s="64"/>
      <c r="BL170" s="67"/>
      <c r="BM170" s="67"/>
      <c r="BN170" s="67"/>
      <c r="BO170" s="67"/>
      <c r="BP170" s="67"/>
      <c r="BQ170" s="67"/>
      <c r="BR170" s="67"/>
      <c r="BS170" s="161"/>
      <c r="BT170" s="161"/>
      <c r="BU170" s="161"/>
      <c r="BV170" s="161"/>
      <c r="BW170" s="161"/>
      <c r="BX170" s="161"/>
      <c r="BY170" s="161"/>
      <c r="BZ170" s="161"/>
      <c r="CA170" s="161"/>
      <c r="CB170" s="161"/>
      <c r="CC170" s="161"/>
      <c r="CD170" s="64"/>
      <c r="CE170" s="67"/>
      <c r="CF170" s="67"/>
      <c r="CG170" s="67"/>
      <c r="CH170" s="67"/>
      <c r="CI170" s="67"/>
      <c r="CJ170" s="67"/>
      <c r="CK170" s="67"/>
      <c r="CL170" s="161"/>
      <c r="CM170" s="161"/>
      <c r="CN170" s="161"/>
      <c r="CO170" s="161"/>
      <c r="CP170" s="161"/>
      <c r="CQ170" s="161"/>
      <c r="CR170" s="161"/>
      <c r="CS170" s="161"/>
      <c r="CT170" s="161"/>
      <c r="CU170" s="161"/>
      <c r="CV170" s="161"/>
      <c r="CW170" s="149"/>
      <c r="CX170" s="134"/>
      <c r="CY170" s="67"/>
      <c r="CZ170" s="67"/>
      <c r="DA170" s="67"/>
      <c r="DB170" s="67"/>
      <c r="DC170" s="67"/>
      <c r="DD170" s="67"/>
      <c r="DE170" s="67"/>
      <c r="DF170" s="161"/>
      <c r="DG170" s="161"/>
      <c r="DH170" s="161"/>
      <c r="DI170" s="161"/>
      <c r="DJ170" s="161"/>
      <c r="DK170" s="161"/>
      <c r="DL170" s="161"/>
      <c r="DM170" s="161"/>
      <c r="DN170" s="161"/>
      <c r="DO170" s="161"/>
      <c r="DP170" s="161"/>
    </row>
    <row r="171" spans="2:120" x14ac:dyDescent="0.3">
      <c r="C171" s="65" t="s">
        <v>170</v>
      </c>
      <c r="D171" s="77"/>
      <c r="E171" s="147"/>
      <c r="F171" s="149">
        <f t="shared" ref="F171:V171" si="567">F167/F$166</f>
        <v>0.8291076455447387</v>
      </c>
      <c r="G171" s="149">
        <f t="shared" si="567"/>
        <v>0.65130629016769515</v>
      </c>
      <c r="H171" s="149">
        <f t="shared" si="567"/>
        <v>0.69402191680628955</v>
      </c>
      <c r="I171" s="149">
        <f t="shared" si="567"/>
        <v>0.76643961002376748</v>
      </c>
      <c r="J171" s="149">
        <f t="shared" si="567"/>
        <v>0.62517948400955303</v>
      </c>
      <c r="K171" s="149">
        <f t="shared" si="567"/>
        <v>0.48880035068740552</v>
      </c>
      <c r="L171" s="149">
        <f t="shared" si="567"/>
        <v>0.53915401895658399</v>
      </c>
      <c r="M171" s="149">
        <f t="shared" si="567"/>
        <v>0.63055443323208493</v>
      </c>
      <c r="N171" s="149">
        <f t="shared" si="567"/>
        <v>0.53347252395606837</v>
      </c>
      <c r="O171" s="149">
        <f t="shared" si="567"/>
        <v>0.40727334516587105</v>
      </c>
      <c r="P171" s="149">
        <f t="shared" si="567"/>
        <v>0.46294891849645159</v>
      </c>
      <c r="Q171" s="149">
        <f t="shared" si="567"/>
        <v>0.60562566390881512</v>
      </c>
      <c r="R171" s="149">
        <f t="shared" si="567"/>
        <v>0.5806774838883243</v>
      </c>
      <c r="S171" s="149">
        <f t="shared" si="567"/>
        <v>0.34541391982624481</v>
      </c>
      <c r="T171" s="149">
        <f t="shared" si="567"/>
        <v>0.44674755679352851</v>
      </c>
      <c r="U171" s="149">
        <f t="shared" si="567"/>
        <v>0.54287162847858739</v>
      </c>
      <c r="V171" s="149">
        <f t="shared" si="567"/>
        <v>0.483616504087444</v>
      </c>
      <c r="W171" s="149">
        <f t="shared" si="406"/>
        <v>-0.16715127156462473</v>
      </c>
      <c r="X171" s="197"/>
      <c r="Y171" s="67"/>
      <c r="Z171" s="67"/>
      <c r="AA171" s="67"/>
      <c r="AB171" s="67"/>
      <c r="AC171" s="67"/>
      <c r="AD171" s="67"/>
      <c r="AE171" s="67"/>
      <c r="AF171" s="161"/>
      <c r="AG171" s="161"/>
      <c r="AH171" s="161"/>
      <c r="AI171" s="161"/>
      <c r="AJ171" s="161"/>
      <c r="AK171" s="161"/>
      <c r="AL171" s="161"/>
      <c r="AM171" s="161"/>
      <c r="AN171" s="161"/>
      <c r="AO171" s="161"/>
      <c r="AP171" s="161"/>
      <c r="AQ171" s="149"/>
      <c r="AR171" s="64"/>
      <c r="AS171" s="67"/>
      <c r="AT171" s="67"/>
      <c r="AU171" s="67"/>
      <c r="AV171" s="67"/>
      <c r="AW171" s="67"/>
      <c r="AX171" s="67"/>
      <c r="AY171" s="67"/>
      <c r="AZ171" s="161"/>
      <c r="BA171" s="161"/>
      <c r="BB171" s="161"/>
      <c r="BC171" s="161"/>
      <c r="BD171" s="161"/>
      <c r="BE171" s="161"/>
      <c r="BF171" s="161"/>
      <c r="BG171" s="161"/>
      <c r="BH171" s="161"/>
      <c r="BI171" s="161"/>
      <c r="BJ171" s="161"/>
      <c r="BK171" s="64"/>
      <c r="BL171" s="67"/>
      <c r="BM171" s="67"/>
      <c r="BN171" s="67"/>
      <c r="BO171" s="67"/>
      <c r="BP171" s="67"/>
      <c r="BQ171" s="67"/>
      <c r="BR171" s="67"/>
      <c r="BS171" s="161"/>
      <c r="BT171" s="161"/>
      <c r="BU171" s="161"/>
      <c r="BV171" s="161"/>
      <c r="BW171" s="161"/>
      <c r="BX171" s="161"/>
      <c r="BY171" s="161"/>
      <c r="BZ171" s="161"/>
      <c r="CA171" s="161"/>
      <c r="CB171" s="161"/>
      <c r="CC171" s="161"/>
      <c r="CD171" s="64"/>
      <c r="CE171" s="67"/>
      <c r="CF171" s="67"/>
      <c r="CG171" s="67"/>
      <c r="CH171" s="67"/>
      <c r="CI171" s="67"/>
      <c r="CJ171" s="67"/>
      <c r="CK171" s="67"/>
      <c r="CL171" s="161"/>
      <c r="CM171" s="161"/>
      <c r="CN171" s="161"/>
      <c r="CO171" s="161"/>
      <c r="CP171" s="161"/>
      <c r="CQ171" s="161"/>
      <c r="CR171" s="161"/>
      <c r="CS171" s="161"/>
      <c r="CT171" s="161"/>
      <c r="CU171" s="161"/>
      <c r="CV171" s="161"/>
      <c r="CW171" s="149"/>
      <c r="CX171" s="134"/>
      <c r="CY171" s="67"/>
      <c r="CZ171" s="67"/>
      <c r="DA171" s="67"/>
      <c r="DB171" s="67"/>
      <c r="DC171" s="67"/>
      <c r="DD171" s="67"/>
      <c r="DE171" s="67"/>
      <c r="DF171" s="161"/>
      <c r="DG171" s="161"/>
      <c r="DH171" s="161"/>
      <c r="DI171" s="161"/>
      <c r="DJ171" s="161"/>
      <c r="DK171" s="161"/>
      <c r="DL171" s="161"/>
      <c r="DM171" s="161"/>
      <c r="DN171" s="161"/>
      <c r="DO171" s="161"/>
      <c r="DP171" s="161"/>
    </row>
    <row r="172" spans="2:120" x14ac:dyDescent="0.3">
      <c r="C172" s="65" t="s">
        <v>169</v>
      </c>
      <c r="D172" s="77"/>
      <c r="E172" s="147"/>
      <c r="F172" s="149">
        <f t="shared" ref="F172:V172" si="568">F168/F$166</f>
        <v>0.17089235445526135</v>
      </c>
      <c r="G172" s="149">
        <f t="shared" si="568"/>
        <v>0.34869370983230497</v>
      </c>
      <c r="H172" s="149">
        <f t="shared" si="568"/>
        <v>0.3059780831937105</v>
      </c>
      <c r="I172" s="149">
        <f t="shared" si="568"/>
        <v>0.23356038997623249</v>
      </c>
      <c r="J172" s="149">
        <f t="shared" si="568"/>
        <v>0.37482051599044697</v>
      </c>
      <c r="K172" s="149">
        <f t="shared" si="568"/>
        <v>0.51119964931259443</v>
      </c>
      <c r="L172" s="149">
        <f t="shared" si="568"/>
        <v>0.46084598104341601</v>
      </c>
      <c r="M172" s="149">
        <f t="shared" si="568"/>
        <v>0.36944556676791507</v>
      </c>
      <c r="N172" s="149">
        <f t="shared" si="568"/>
        <v>0.46652747604393163</v>
      </c>
      <c r="O172" s="149">
        <f t="shared" si="568"/>
        <v>0.5927266548341289</v>
      </c>
      <c r="P172" s="149">
        <f t="shared" si="568"/>
        <v>0.53705108150354841</v>
      </c>
      <c r="Q172" s="149">
        <f t="shared" si="568"/>
        <v>0.39437433609118488</v>
      </c>
      <c r="R172" s="149">
        <f t="shared" si="568"/>
        <v>0.41932251611167565</v>
      </c>
      <c r="S172" s="149">
        <f t="shared" si="568"/>
        <v>0.65458608017375508</v>
      </c>
      <c r="T172" s="149">
        <f t="shared" si="568"/>
        <v>0.55325244320647149</v>
      </c>
      <c r="U172" s="149">
        <f t="shared" si="568"/>
        <v>0.45712837152141272</v>
      </c>
      <c r="V172" s="149">
        <f t="shared" si="568"/>
        <v>0.51638349591255595</v>
      </c>
      <c r="W172" s="149">
        <f t="shared" si="406"/>
        <v>0.23147094675696023</v>
      </c>
      <c r="X172" s="197"/>
      <c r="Y172" s="67"/>
      <c r="Z172" s="67"/>
      <c r="AA172" s="67"/>
      <c r="AB172" s="67"/>
      <c r="AC172" s="67"/>
      <c r="AD172" s="67"/>
      <c r="AE172" s="67"/>
      <c r="AF172" s="161"/>
      <c r="AG172" s="161"/>
      <c r="AH172" s="161"/>
      <c r="AI172" s="161"/>
      <c r="AJ172" s="161"/>
      <c r="AK172" s="161"/>
      <c r="AL172" s="161"/>
      <c r="AM172" s="161"/>
      <c r="AN172" s="161"/>
      <c r="AO172" s="161"/>
      <c r="AP172" s="161"/>
      <c r="AQ172" s="149"/>
      <c r="AR172" s="64"/>
      <c r="AS172" s="67"/>
      <c r="AT172" s="67"/>
      <c r="AU172" s="67"/>
      <c r="AV172" s="67"/>
      <c r="AW172" s="67"/>
      <c r="AX172" s="67"/>
      <c r="AY172" s="67"/>
      <c r="AZ172" s="161"/>
      <c r="BA172" s="161"/>
      <c r="BB172" s="161"/>
      <c r="BC172" s="161"/>
      <c r="BD172" s="161"/>
      <c r="BE172" s="161"/>
      <c r="BF172" s="161"/>
      <c r="BG172" s="161"/>
      <c r="BH172" s="161"/>
      <c r="BI172" s="161"/>
      <c r="BJ172" s="161"/>
      <c r="BK172" s="64"/>
      <c r="BL172" s="67"/>
      <c r="BM172" s="67"/>
      <c r="BN172" s="67"/>
      <c r="BO172" s="67"/>
      <c r="BP172" s="67"/>
      <c r="BQ172" s="67"/>
      <c r="BR172" s="67"/>
      <c r="BS172" s="161"/>
      <c r="BT172" s="161"/>
      <c r="BU172" s="161"/>
      <c r="BV172" s="161"/>
      <c r="BW172" s="161"/>
      <c r="BX172" s="161"/>
      <c r="BY172" s="161"/>
      <c r="BZ172" s="161"/>
      <c r="CA172" s="161"/>
      <c r="CB172" s="161"/>
      <c r="CC172" s="161"/>
      <c r="CD172" s="64"/>
      <c r="CE172" s="67"/>
      <c r="CF172" s="67"/>
      <c r="CG172" s="67"/>
      <c r="CH172" s="67"/>
      <c r="CI172" s="67"/>
      <c r="CJ172" s="67"/>
      <c r="CK172" s="67"/>
      <c r="CL172" s="161"/>
      <c r="CM172" s="161"/>
      <c r="CN172" s="161"/>
      <c r="CO172" s="161"/>
      <c r="CP172" s="161"/>
      <c r="CQ172" s="161"/>
      <c r="CR172" s="161"/>
      <c r="CS172" s="161"/>
      <c r="CT172" s="161"/>
      <c r="CU172" s="161"/>
      <c r="CV172" s="161"/>
      <c r="CW172" s="149"/>
      <c r="CX172" s="134"/>
      <c r="CY172" s="67"/>
      <c r="CZ172" s="67"/>
      <c r="DA172" s="67"/>
      <c r="DB172" s="67"/>
      <c r="DC172" s="67"/>
      <c r="DD172" s="67"/>
      <c r="DE172" s="67"/>
      <c r="DF172" s="161"/>
      <c r="DG172" s="161"/>
      <c r="DH172" s="161"/>
      <c r="DI172" s="161"/>
      <c r="DJ172" s="161"/>
      <c r="DK172" s="161"/>
      <c r="DL172" s="161"/>
      <c r="DM172" s="161"/>
      <c r="DN172" s="161"/>
      <c r="DO172" s="161"/>
      <c r="DP172" s="161"/>
    </row>
    <row r="173" spans="2:120" x14ac:dyDescent="0.3">
      <c r="C173" s="65"/>
      <c r="D173" s="77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Y173" s="67"/>
      <c r="Z173" s="67"/>
      <c r="AA173" s="67"/>
      <c r="AB173" s="67"/>
      <c r="AC173" s="67"/>
      <c r="AD173" s="67"/>
      <c r="AE173" s="67"/>
      <c r="AF173" s="162"/>
      <c r="AG173" s="162"/>
      <c r="AH173" s="162"/>
      <c r="AI173" s="162"/>
      <c r="AJ173" s="162"/>
      <c r="AK173" s="162"/>
      <c r="AL173" s="162"/>
      <c r="AM173" s="162"/>
      <c r="AN173" s="162"/>
      <c r="AO173" s="162"/>
      <c r="AP173" s="162"/>
      <c r="AR173" s="64"/>
      <c r="AS173" s="67"/>
      <c r="AT173" s="67"/>
      <c r="AU173" s="67"/>
      <c r="AV173" s="67"/>
      <c r="AW173" s="67"/>
      <c r="AX173" s="67"/>
      <c r="AY173" s="67"/>
      <c r="AZ173" s="162"/>
      <c r="BA173" s="162"/>
      <c r="BB173" s="162"/>
      <c r="BC173" s="162"/>
      <c r="BD173" s="162"/>
      <c r="BE173" s="162"/>
      <c r="BF173" s="162"/>
      <c r="BG173" s="162"/>
      <c r="BH173" s="162"/>
      <c r="BI173" s="162"/>
      <c r="BJ173" s="162"/>
      <c r="BK173" s="64"/>
      <c r="BL173" s="67"/>
      <c r="BM173" s="67"/>
      <c r="BN173" s="67"/>
      <c r="BO173" s="67"/>
      <c r="BP173" s="67"/>
      <c r="BQ173" s="67"/>
      <c r="BR173" s="67"/>
      <c r="BS173" s="162"/>
      <c r="BT173" s="162"/>
      <c r="BU173" s="162"/>
      <c r="BV173" s="162"/>
      <c r="BW173" s="162"/>
      <c r="BX173" s="162"/>
      <c r="BY173" s="162"/>
      <c r="BZ173" s="162"/>
      <c r="CA173" s="162"/>
      <c r="CB173" s="162"/>
      <c r="CC173" s="162"/>
      <c r="CD173" s="64"/>
      <c r="CE173" s="67"/>
      <c r="CF173" s="67"/>
      <c r="CG173" s="67"/>
      <c r="CH173" s="67"/>
      <c r="CI173" s="67"/>
      <c r="CJ173" s="67"/>
      <c r="CK173" s="67"/>
      <c r="CL173" s="162"/>
      <c r="CM173" s="162"/>
      <c r="CN173" s="162"/>
      <c r="CO173" s="162"/>
      <c r="CP173" s="162"/>
      <c r="CQ173" s="162"/>
      <c r="CR173" s="162"/>
      <c r="CS173" s="162"/>
      <c r="CT173" s="162"/>
      <c r="CU173" s="162"/>
      <c r="CV173" s="162"/>
      <c r="CX173" s="64"/>
      <c r="CY173" s="67"/>
      <c r="CZ173" s="67"/>
      <c r="DA173" s="67"/>
      <c r="DB173" s="67"/>
      <c r="DC173" s="67"/>
      <c r="DD173" s="67"/>
      <c r="DE173" s="67"/>
      <c r="DF173" s="162"/>
      <c r="DG173" s="162"/>
      <c r="DH173" s="162"/>
      <c r="DI173" s="162"/>
      <c r="DJ173" s="162"/>
      <c r="DK173" s="162"/>
      <c r="DL173" s="162"/>
      <c r="DM173" s="162"/>
      <c r="DN173" s="162"/>
      <c r="DO173" s="162"/>
      <c r="DP173" s="162"/>
    </row>
    <row r="174" spans="2:120" x14ac:dyDescent="0.3">
      <c r="C174" s="105" t="s">
        <v>139</v>
      </c>
      <c r="D174" s="128"/>
      <c r="E174" s="106">
        <f>SUM(E175:E176)</f>
        <v>0</v>
      </c>
      <c r="F174" s="106">
        <f t="shared" ref="F174:L174" si="569">SUM(F175:F176)</f>
        <v>13692</v>
      </c>
      <c r="G174" s="106">
        <f t="shared" si="569"/>
        <v>16996</v>
      </c>
      <c r="H174" s="106">
        <f t="shared" si="569"/>
        <v>19015</v>
      </c>
      <c r="I174" s="106">
        <f>SUM(I175:I176)</f>
        <v>23067</v>
      </c>
      <c r="J174" s="106">
        <f t="shared" si="569"/>
        <v>17618</v>
      </c>
      <c r="K174" s="106">
        <f t="shared" si="569"/>
        <v>18840</v>
      </c>
      <c r="L174" s="106">
        <f t="shared" si="569"/>
        <v>18475</v>
      </c>
      <c r="M174" s="106">
        <f>SUM(M175:M176)</f>
        <v>19323</v>
      </c>
      <c r="N174" s="106">
        <f>SUM(N175:N176)</f>
        <v>19493</v>
      </c>
      <c r="O174" s="106">
        <f t="shared" ref="O174:T174" si="570">SUM(O175:O176)</f>
        <v>19047</v>
      </c>
      <c r="P174" s="106">
        <f t="shared" si="570"/>
        <v>21174</v>
      </c>
      <c r="Q174" s="106">
        <f t="shared" si="570"/>
        <v>20049</v>
      </c>
      <c r="R174" s="106">
        <f t="shared" si="570"/>
        <v>26340</v>
      </c>
      <c r="S174" s="106">
        <f t="shared" si="570"/>
        <v>38996</v>
      </c>
      <c r="T174" s="106">
        <f t="shared" si="570"/>
        <v>35555</v>
      </c>
      <c r="U174" s="106">
        <f>SUM(U175:U176)</f>
        <v>45837</v>
      </c>
      <c r="V174" s="106">
        <f>SUM(V175:V176)</f>
        <v>47938</v>
      </c>
      <c r="W174" s="195">
        <f t="shared" si="406"/>
        <v>0.819969627942293</v>
      </c>
      <c r="Y174" s="163">
        <f t="shared" ref="Y174:AI174" si="571">SUM(Y175:Y176)</f>
        <v>0</v>
      </c>
      <c r="Z174" s="163">
        <f t="shared" si="571"/>
        <v>13692</v>
      </c>
      <c r="AA174" s="163">
        <f t="shared" si="571"/>
        <v>16996</v>
      </c>
      <c r="AB174" s="163">
        <f t="shared" si="571"/>
        <v>19015</v>
      </c>
      <c r="AC174" s="163">
        <f t="shared" si="571"/>
        <v>23067</v>
      </c>
      <c r="AD174" s="163">
        <f t="shared" si="571"/>
        <v>17618</v>
      </c>
      <c r="AE174" s="163">
        <f t="shared" si="571"/>
        <v>18840</v>
      </c>
      <c r="AF174" s="163">
        <f t="shared" si="571"/>
        <v>18475</v>
      </c>
      <c r="AG174" s="163">
        <f t="shared" si="571"/>
        <v>19323</v>
      </c>
      <c r="AH174" s="163">
        <f t="shared" si="571"/>
        <v>19493</v>
      </c>
      <c r="AI174" s="163">
        <f t="shared" si="571"/>
        <v>19047</v>
      </c>
      <c r="AJ174" s="163">
        <f t="shared" ref="AJ174:AP174" si="572">SUM(AJ175:AJ176)</f>
        <v>21174</v>
      </c>
      <c r="AK174" s="163">
        <f t="shared" si="572"/>
        <v>20049</v>
      </c>
      <c r="AL174" s="163">
        <f t="shared" si="572"/>
        <v>26340</v>
      </c>
      <c r="AM174" s="163">
        <f t="shared" si="572"/>
        <v>38996</v>
      </c>
      <c r="AN174" s="163">
        <f t="shared" si="572"/>
        <v>35555</v>
      </c>
      <c r="AO174" s="163">
        <f t="shared" si="572"/>
        <v>45837</v>
      </c>
      <c r="AP174" s="163">
        <f t="shared" si="572"/>
        <v>47938</v>
      </c>
      <c r="AQ174" s="195">
        <f>AP174/AL174-1</f>
        <v>0.819969627942293</v>
      </c>
      <c r="AR174" s="64"/>
      <c r="AS174" s="163">
        <f t="shared" ref="AS174:BC174" si="573">SUM(AS175:AS176)</f>
        <v>0</v>
      </c>
      <c r="AT174" s="163">
        <f t="shared" si="573"/>
        <v>13692</v>
      </c>
      <c r="AU174" s="163">
        <f t="shared" si="573"/>
        <v>16996</v>
      </c>
      <c r="AV174" s="163">
        <f t="shared" si="573"/>
        <v>19015</v>
      </c>
      <c r="AW174" s="163">
        <f t="shared" si="573"/>
        <v>23067</v>
      </c>
      <c r="AX174" s="163">
        <f t="shared" si="573"/>
        <v>17618</v>
      </c>
      <c r="AY174" s="163">
        <f t="shared" si="573"/>
        <v>18840</v>
      </c>
      <c r="AZ174" s="163">
        <f t="shared" si="573"/>
        <v>18475</v>
      </c>
      <c r="BA174" s="163">
        <f t="shared" si="573"/>
        <v>19323</v>
      </c>
      <c r="BB174" s="163">
        <f t="shared" si="573"/>
        <v>19493</v>
      </c>
      <c r="BC174" s="163">
        <f t="shared" si="573"/>
        <v>19047</v>
      </c>
      <c r="BD174" s="163">
        <f t="shared" ref="BD174:BJ174" si="574">SUM(BD175:BD176)</f>
        <v>21174</v>
      </c>
      <c r="BE174" s="163">
        <f t="shared" si="574"/>
        <v>20049</v>
      </c>
      <c r="BF174" s="163">
        <f t="shared" si="574"/>
        <v>26340</v>
      </c>
      <c r="BG174" s="163">
        <f t="shared" si="574"/>
        <v>38996</v>
      </c>
      <c r="BH174" s="163">
        <f t="shared" si="574"/>
        <v>35555</v>
      </c>
      <c r="BI174" s="163">
        <f t="shared" si="574"/>
        <v>45837</v>
      </c>
      <c r="BJ174" s="163">
        <f t="shared" si="574"/>
        <v>47938</v>
      </c>
      <c r="BK174" s="64"/>
      <c r="BL174" s="163">
        <f t="shared" ref="BL174:BV174" si="575">SUM(BL175:BL176)</f>
        <v>0</v>
      </c>
      <c r="BM174" s="163">
        <f t="shared" si="575"/>
        <v>13692</v>
      </c>
      <c r="BN174" s="163">
        <f t="shared" si="575"/>
        <v>16996</v>
      </c>
      <c r="BO174" s="163">
        <f t="shared" si="575"/>
        <v>19015</v>
      </c>
      <c r="BP174" s="163">
        <f t="shared" si="575"/>
        <v>23067</v>
      </c>
      <c r="BQ174" s="163">
        <f t="shared" si="575"/>
        <v>17618</v>
      </c>
      <c r="BR174" s="163">
        <f t="shared" si="575"/>
        <v>18840</v>
      </c>
      <c r="BS174" s="163">
        <f t="shared" si="575"/>
        <v>18475</v>
      </c>
      <c r="BT174" s="163">
        <f t="shared" si="575"/>
        <v>19323</v>
      </c>
      <c r="BU174" s="163">
        <f t="shared" si="575"/>
        <v>19493</v>
      </c>
      <c r="BV174" s="163">
        <f t="shared" si="575"/>
        <v>19047</v>
      </c>
      <c r="BW174" s="163">
        <f t="shared" ref="BW174:CC174" si="576">SUM(BW175:BW176)</f>
        <v>21174</v>
      </c>
      <c r="BX174" s="163">
        <f t="shared" si="576"/>
        <v>20049</v>
      </c>
      <c r="BY174" s="163">
        <f t="shared" si="576"/>
        <v>26340</v>
      </c>
      <c r="BZ174" s="163">
        <f t="shared" si="576"/>
        <v>38996</v>
      </c>
      <c r="CA174" s="163">
        <f t="shared" si="576"/>
        <v>35555</v>
      </c>
      <c r="CB174" s="163">
        <f t="shared" si="576"/>
        <v>45837</v>
      </c>
      <c r="CC174" s="163">
        <f t="shared" si="576"/>
        <v>47938</v>
      </c>
      <c r="CD174" s="64"/>
      <c r="CE174" s="163">
        <f t="shared" ref="CE174:CO174" si="577">SUM(CE175:CE176)</f>
        <v>0</v>
      </c>
      <c r="CF174" s="163">
        <f t="shared" si="577"/>
        <v>13692</v>
      </c>
      <c r="CG174" s="163">
        <f t="shared" si="577"/>
        <v>16996</v>
      </c>
      <c r="CH174" s="163">
        <f t="shared" si="577"/>
        <v>19015</v>
      </c>
      <c r="CI174" s="163">
        <f t="shared" si="577"/>
        <v>23067</v>
      </c>
      <c r="CJ174" s="163">
        <f t="shared" si="577"/>
        <v>17618</v>
      </c>
      <c r="CK174" s="163">
        <f t="shared" si="577"/>
        <v>18840</v>
      </c>
      <c r="CL174" s="163">
        <f t="shared" si="577"/>
        <v>18475</v>
      </c>
      <c r="CM174" s="163">
        <f t="shared" si="577"/>
        <v>19323</v>
      </c>
      <c r="CN174" s="163">
        <f t="shared" si="577"/>
        <v>19493</v>
      </c>
      <c r="CO174" s="163">
        <f t="shared" si="577"/>
        <v>19047</v>
      </c>
      <c r="CP174" s="163">
        <f t="shared" ref="CP174:CV174" si="578">SUM(CP175:CP176)</f>
        <v>21174</v>
      </c>
      <c r="CQ174" s="163">
        <f t="shared" si="578"/>
        <v>20049</v>
      </c>
      <c r="CR174" s="163">
        <f t="shared" si="578"/>
        <v>26340</v>
      </c>
      <c r="CS174" s="163">
        <f t="shared" si="578"/>
        <v>38996</v>
      </c>
      <c r="CT174" s="163">
        <f t="shared" si="578"/>
        <v>35555</v>
      </c>
      <c r="CU174" s="163">
        <f t="shared" si="578"/>
        <v>45837</v>
      </c>
      <c r="CV174" s="163">
        <f t="shared" si="578"/>
        <v>47938</v>
      </c>
      <c r="CW174" s="195">
        <f>CV174/CR174-1</f>
        <v>0.819969627942293</v>
      </c>
      <c r="CX174" s="64"/>
      <c r="CY174" s="163">
        <f t="shared" ref="CY174:DI174" si="579">SUM(CY175:CY176)</f>
        <v>0</v>
      </c>
      <c r="CZ174" s="163">
        <f t="shared" si="579"/>
        <v>13692</v>
      </c>
      <c r="DA174" s="163">
        <f t="shared" si="579"/>
        <v>16996</v>
      </c>
      <c r="DB174" s="163">
        <f t="shared" si="579"/>
        <v>19015</v>
      </c>
      <c r="DC174" s="163">
        <f t="shared" si="579"/>
        <v>23067</v>
      </c>
      <c r="DD174" s="163">
        <f t="shared" si="579"/>
        <v>17618</v>
      </c>
      <c r="DE174" s="163">
        <f t="shared" si="579"/>
        <v>18840</v>
      </c>
      <c r="DF174" s="163">
        <f t="shared" si="579"/>
        <v>18475</v>
      </c>
      <c r="DG174" s="163">
        <f t="shared" si="579"/>
        <v>19323</v>
      </c>
      <c r="DH174" s="163">
        <f t="shared" si="579"/>
        <v>19493</v>
      </c>
      <c r="DI174" s="163">
        <f t="shared" si="579"/>
        <v>19047</v>
      </c>
      <c r="DJ174" s="163">
        <f t="shared" ref="DJ174:DP174" si="580">SUM(DJ175:DJ176)</f>
        <v>21174</v>
      </c>
      <c r="DK174" s="163">
        <f t="shared" si="580"/>
        <v>20049</v>
      </c>
      <c r="DL174" s="163">
        <f t="shared" si="580"/>
        <v>26340</v>
      </c>
      <c r="DM174" s="163">
        <f t="shared" si="580"/>
        <v>38996</v>
      </c>
      <c r="DN174" s="163">
        <f t="shared" si="580"/>
        <v>35555</v>
      </c>
      <c r="DO174" s="163">
        <f t="shared" si="580"/>
        <v>45837</v>
      </c>
      <c r="DP174" s="163">
        <f t="shared" si="580"/>
        <v>47938</v>
      </c>
    </row>
    <row r="175" spans="2:120" x14ac:dyDescent="0.3">
      <c r="C175" s="65" t="s">
        <v>137</v>
      </c>
      <c r="D175" s="77"/>
      <c r="E175" s="97">
        <v>0</v>
      </c>
      <c r="F175" s="98">
        <v>13661</v>
      </c>
      <c r="G175" s="98">
        <v>16895</v>
      </c>
      <c r="H175" s="98">
        <v>18927</v>
      </c>
      <c r="I175" s="98">
        <v>22966</v>
      </c>
      <c r="J175" s="98">
        <v>17380</v>
      </c>
      <c r="K175" s="98">
        <v>18324</v>
      </c>
      <c r="L175" s="98">
        <v>17692</v>
      </c>
      <c r="M175" s="98">
        <v>18428</v>
      </c>
      <c r="N175" s="98">
        <v>18426</v>
      </c>
      <c r="O175" s="98">
        <v>17149</v>
      </c>
      <c r="P175" s="98">
        <v>18126</v>
      </c>
      <c r="Q175" s="98">
        <v>16733</v>
      </c>
      <c r="R175" s="98">
        <v>20255</v>
      </c>
      <c r="S175" s="98">
        <v>32473</v>
      </c>
      <c r="T175" s="98">
        <v>25027</v>
      </c>
      <c r="U175" s="98">
        <v>33747</v>
      </c>
      <c r="V175" s="98">
        <v>44177</v>
      </c>
      <c r="W175" s="196">
        <f t="shared" si="406"/>
        <v>1.1810417180942978</v>
      </c>
      <c r="Y175" s="67">
        <f>$E175</f>
        <v>0</v>
      </c>
      <c r="Z175" s="67">
        <f>$F175</f>
        <v>13661</v>
      </c>
      <c r="AA175" s="67">
        <f>$G175</f>
        <v>16895</v>
      </c>
      <c r="AB175" s="67">
        <f>$H175</f>
        <v>18927</v>
      </c>
      <c r="AC175" s="67">
        <f>$I175</f>
        <v>22966</v>
      </c>
      <c r="AD175" s="67">
        <f>$J175</f>
        <v>17380</v>
      </c>
      <c r="AE175" s="67">
        <f>$K175</f>
        <v>18324</v>
      </c>
      <c r="AF175" s="160">
        <f>$L175</f>
        <v>17692</v>
      </c>
      <c r="AG175" s="160">
        <f>$M175</f>
        <v>18428</v>
      </c>
      <c r="AH175" s="160">
        <f>$N175</f>
        <v>18426</v>
      </c>
      <c r="AI175" s="160">
        <f>$O175</f>
        <v>17149</v>
      </c>
      <c r="AJ175" s="160">
        <f>$P175</f>
        <v>18126</v>
      </c>
      <c r="AK175" s="160">
        <f>$Q175</f>
        <v>16733</v>
      </c>
      <c r="AL175" s="160">
        <f>$R175</f>
        <v>20255</v>
      </c>
      <c r="AM175" s="160">
        <f>$S175</f>
        <v>32473</v>
      </c>
      <c r="AN175" s="160">
        <f>$T175</f>
        <v>25027</v>
      </c>
      <c r="AO175" s="160">
        <f>$U175</f>
        <v>33747</v>
      </c>
      <c r="AP175" s="160">
        <f>$V175</f>
        <v>44177</v>
      </c>
      <c r="AQ175" s="196">
        <f>AP175/AL175-1</f>
        <v>1.1810417180942978</v>
      </c>
      <c r="AR175" s="64"/>
      <c r="AS175" s="67">
        <f>$E175</f>
        <v>0</v>
      </c>
      <c r="AT175" s="67">
        <f>$F175</f>
        <v>13661</v>
      </c>
      <c r="AU175" s="67">
        <f>$G175</f>
        <v>16895</v>
      </c>
      <c r="AV175" s="67">
        <f>$H175</f>
        <v>18927</v>
      </c>
      <c r="AW175" s="67">
        <f>$I175</f>
        <v>22966</v>
      </c>
      <c r="AX175" s="67">
        <f>$J175</f>
        <v>17380</v>
      </c>
      <c r="AY175" s="67">
        <f>$K175</f>
        <v>18324</v>
      </c>
      <c r="AZ175" s="160">
        <f>$L175</f>
        <v>17692</v>
      </c>
      <c r="BA175" s="160">
        <f>$M175</f>
        <v>18428</v>
      </c>
      <c r="BB175" s="160">
        <f>$N175</f>
        <v>18426</v>
      </c>
      <c r="BC175" s="160">
        <f>$O175</f>
        <v>17149</v>
      </c>
      <c r="BD175" s="160">
        <f>$P175</f>
        <v>18126</v>
      </c>
      <c r="BE175" s="160">
        <f>$Q175</f>
        <v>16733</v>
      </c>
      <c r="BF175" s="160">
        <f>$R175</f>
        <v>20255</v>
      </c>
      <c r="BG175" s="160">
        <f>$S175</f>
        <v>32473</v>
      </c>
      <c r="BH175" s="160">
        <f>$T175</f>
        <v>25027</v>
      </c>
      <c r="BI175" s="160">
        <f>$U175</f>
        <v>33747</v>
      </c>
      <c r="BJ175" s="160">
        <f>$V175</f>
        <v>44177</v>
      </c>
      <c r="BK175" s="64"/>
      <c r="BL175" s="67">
        <f>$E175</f>
        <v>0</v>
      </c>
      <c r="BM175" s="67">
        <f>$F175</f>
        <v>13661</v>
      </c>
      <c r="BN175" s="67">
        <f>$G175</f>
        <v>16895</v>
      </c>
      <c r="BO175" s="67">
        <f>$H175</f>
        <v>18927</v>
      </c>
      <c r="BP175" s="67">
        <f>$I175</f>
        <v>22966</v>
      </c>
      <c r="BQ175" s="67">
        <f>$J175</f>
        <v>17380</v>
      </c>
      <c r="BR175" s="67">
        <f>$K175</f>
        <v>18324</v>
      </c>
      <c r="BS175" s="160">
        <f>$L175</f>
        <v>17692</v>
      </c>
      <c r="BT175" s="160">
        <f>$M175</f>
        <v>18428</v>
      </c>
      <c r="BU175" s="160">
        <f>$N175</f>
        <v>18426</v>
      </c>
      <c r="BV175" s="160">
        <f>$O175</f>
        <v>17149</v>
      </c>
      <c r="BW175" s="160">
        <f>$P175</f>
        <v>18126</v>
      </c>
      <c r="BX175" s="160">
        <f>$Q175</f>
        <v>16733</v>
      </c>
      <c r="BY175" s="160">
        <f>$R175</f>
        <v>20255</v>
      </c>
      <c r="BZ175" s="160">
        <f>$S175</f>
        <v>32473</v>
      </c>
      <c r="CA175" s="160">
        <f>$T175</f>
        <v>25027</v>
      </c>
      <c r="CB175" s="160">
        <f>$U175</f>
        <v>33747</v>
      </c>
      <c r="CC175" s="160">
        <f>$V175</f>
        <v>44177</v>
      </c>
      <c r="CD175" s="64"/>
      <c r="CE175" s="67">
        <f>$E175</f>
        <v>0</v>
      </c>
      <c r="CF175" s="67">
        <f>$F175</f>
        <v>13661</v>
      </c>
      <c r="CG175" s="67">
        <f>$G175</f>
        <v>16895</v>
      </c>
      <c r="CH175" s="67">
        <f>$H175</f>
        <v>18927</v>
      </c>
      <c r="CI175" s="67">
        <f>$I175</f>
        <v>22966</v>
      </c>
      <c r="CJ175" s="67">
        <f>$J175</f>
        <v>17380</v>
      </c>
      <c r="CK175" s="67">
        <f>$K175</f>
        <v>18324</v>
      </c>
      <c r="CL175" s="160">
        <f>$L175</f>
        <v>17692</v>
      </c>
      <c r="CM175" s="160">
        <f>$M175</f>
        <v>18428</v>
      </c>
      <c r="CN175" s="160">
        <f>$N175</f>
        <v>18426</v>
      </c>
      <c r="CO175" s="160">
        <f>$O175</f>
        <v>17149</v>
      </c>
      <c r="CP175" s="160">
        <f>$P175</f>
        <v>18126</v>
      </c>
      <c r="CQ175" s="160">
        <f>$Q175</f>
        <v>16733</v>
      </c>
      <c r="CR175" s="160">
        <f>$R175</f>
        <v>20255</v>
      </c>
      <c r="CS175" s="160">
        <f>$S175</f>
        <v>32473</v>
      </c>
      <c r="CT175" s="160">
        <f>$T175</f>
        <v>25027</v>
      </c>
      <c r="CU175" s="160">
        <f>$U175</f>
        <v>33747</v>
      </c>
      <c r="CV175" s="160">
        <f>$V175</f>
        <v>44177</v>
      </c>
      <c r="CW175" s="196">
        <f>CV175/CR175-1</f>
        <v>1.1810417180942978</v>
      </c>
      <c r="CX175" s="64"/>
      <c r="CY175" s="67">
        <f>$E175</f>
        <v>0</v>
      </c>
      <c r="CZ175" s="67">
        <f>$F175</f>
        <v>13661</v>
      </c>
      <c r="DA175" s="67">
        <f>$G175</f>
        <v>16895</v>
      </c>
      <c r="DB175" s="67">
        <f>$H175</f>
        <v>18927</v>
      </c>
      <c r="DC175" s="67">
        <f>$I175</f>
        <v>22966</v>
      </c>
      <c r="DD175" s="67">
        <f>$J175</f>
        <v>17380</v>
      </c>
      <c r="DE175" s="67">
        <f>$K175</f>
        <v>18324</v>
      </c>
      <c r="DF175" s="160">
        <f>$L175</f>
        <v>17692</v>
      </c>
      <c r="DG175" s="160">
        <f>$M175</f>
        <v>18428</v>
      </c>
      <c r="DH175" s="160">
        <f>$N175</f>
        <v>18426</v>
      </c>
      <c r="DI175" s="160">
        <f>$O175</f>
        <v>17149</v>
      </c>
      <c r="DJ175" s="160">
        <f>$P175</f>
        <v>18126</v>
      </c>
      <c r="DK175" s="160">
        <f>$Q175</f>
        <v>16733</v>
      </c>
      <c r="DL175" s="160">
        <f>$R175</f>
        <v>20255</v>
      </c>
      <c r="DM175" s="160">
        <f>$S175</f>
        <v>32473</v>
      </c>
      <c r="DN175" s="160">
        <f>$T175</f>
        <v>25027</v>
      </c>
      <c r="DO175" s="160">
        <f>$U175</f>
        <v>33747</v>
      </c>
      <c r="DP175" s="160">
        <f>$V175</f>
        <v>44177</v>
      </c>
    </row>
    <row r="176" spans="2:120" x14ac:dyDescent="0.3">
      <c r="C176" s="65" t="s">
        <v>138</v>
      </c>
      <c r="D176" s="77"/>
      <c r="E176" s="97">
        <v>0</v>
      </c>
      <c r="F176" s="98">
        <v>31</v>
      </c>
      <c r="G176" s="98">
        <v>101</v>
      </c>
      <c r="H176" s="98">
        <v>88</v>
      </c>
      <c r="I176" s="98">
        <v>101</v>
      </c>
      <c r="J176" s="98">
        <v>238</v>
      </c>
      <c r="K176" s="98">
        <v>516</v>
      </c>
      <c r="L176" s="98">
        <v>783</v>
      </c>
      <c r="M176" s="98">
        <v>895</v>
      </c>
      <c r="N176" s="98">
        <v>1067</v>
      </c>
      <c r="O176" s="98">
        <v>1898</v>
      </c>
      <c r="P176" s="98">
        <v>3048</v>
      </c>
      <c r="Q176" s="98">
        <v>3316</v>
      </c>
      <c r="R176" s="98">
        <v>6085</v>
      </c>
      <c r="S176" s="98">
        <v>6523</v>
      </c>
      <c r="T176" s="98">
        <v>10528</v>
      </c>
      <c r="U176" s="98">
        <v>12090</v>
      </c>
      <c r="V176" s="98">
        <v>3761</v>
      </c>
      <c r="W176" s="196">
        <f t="shared" si="406"/>
        <v>-0.38192276088742805</v>
      </c>
      <c r="Y176" s="67">
        <f>$E176</f>
        <v>0</v>
      </c>
      <c r="Z176" s="67">
        <f>$F176</f>
        <v>31</v>
      </c>
      <c r="AA176" s="67">
        <f>$G176</f>
        <v>101</v>
      </c>
      <c r="AB176" s="67">
        <f>$H176</f>
        <v>88</v>
      </c>
      <c r="AC176" s="67">
        <f>$I176</f>
        <v>101</v>
      </c>
      <c r="AD176" s="67">
        <f>$J176</f>
        <v>238</v>
      </c>
      <c r="AE176" s="67">
        <f>$K176</f>
        <v>516</v>
      </c>
      <c r="AF176" s="160">
        <f>$L176</f>
        <v>783</v>
      </c>
      <c r="AG176" s="160">
        <f>$M176</f>
        <v>895</v>
      </c>
      <c r="AH176" s="160">
        <f>$N176</f>
        <v>1067</v>
      </c>
      <c r="AI176" s="160">
        <f>$O176</f>
        <v>1898</v>
      </c>
      <c r="AJ176" s="160">
        <f>$P176</f>
        <v>3048</v>
      </c>
      <c r="AK176" s="160">
        <f>$Q176</f>
        <v>3316</v>
      </c>
      <c r="AL176" s="160">
        <f>$R176</f>
        <v>6085</v>
      </c>
      <c r="AM176" s="160">
        <f>$S176</f>
        <v>6523</v>
      </c>
      <c r="AN176" s="160">
        <f>$T176</f>
        <v>10528</v>
      </c>
      <c r="AO176" s="160">
        <f>$U176</f>
        <v>12090</v>
      </c>
      <c r="AP176" s="160">
        <f>$V176</f>
        <v>3761</v>
      </c>
      <c r="AQ176" s="196">
        <f>AP176/AL176-1</f>
        <v>-0.38192276088742805</v>
      </c>
      <c r="AR176" s="64"/>
      <c r="AS176" s="67">
        <f>$E176</f>
        <v>0</v>
      </c>
      <c r="AT176" s="67">
        <f>$F176</f>
        <v>31</v>
      </c>
      <c r="AU176" s="67">
        <f>$G176</f>
        <v>101</v>
      </c>
      <c r="AV176" s="67">
        <f>$H176</f>
        <v>88</v>
      </c>
      <c r="AW176" s="67">
        <f>$I176</f>
        <v>101</v>
      </c>
      <c r="AX176" s="67">
        <f>$J176</f>
        <v>238</v>
      </c>
      <c r="AY176" s="67">
        <f>$K176</f>
        <v>516</v>
      </c>
      <c r="AZ176" s="160">
        <f>$L176</f>
        <v>783</v>
      </c>
      <c r="BA176" s="160">
        <f>$M176</f>
        <v>895</v>
      </c>
      <c r="BB176" s="160">
        <f>$N176</f>
        <v>1067</v>
      </c>
      <c r="BC176" s="160">
        <f>$O176</f>
        <v>1898</v>
      </c>
      <c r="BD176" s="160">
        <f>$P176</f>
        <v>3048</v>
      </c>
      <c r="BE176" s="160">
        <f>$Q176</f>
        <v>3316</v>
      </c>
      <c r="BF176" s="160">
        <f>$R176</f>
        <v>6085</v>
      </c>
      <c r="BG176" s="160">
        <f>$S176</f>
        <v>6523</v>
      </c>
      <c r="BH176" s="160">
        <f>$T176</f>
        <v>10528</v>
      </c>
      <c r="BI176" s="160">
        <f>$U176</f>
        <v>12090</v>
      </c>
      <c r="BJ176" s="160">
        <f>$V176</f>
        <v>3761</v>
      </c>
      <c r="BK176" s="64"/>
      <c r="BL176" s="67">
        <f>$E176</f>
        <v>0</v>
      </c>
      <c r="BM176" s="67">
        <f>$F176</f>
        <v>31</v>
      </c>
      <c r="BN176" s="67">
        <f>$G176</f>
        <v>101</v>
      </c>
      <c r="BO176" s="67">
        <f>$H176</f>
        <v>88</v>
      </c>
      <c r="BP176" s="67">
        <f>$I176</f>
        <v>101</v>
      </c>
      <c r="BQ176" s="67">
        <f>$J176</f>
        <v>238</v>
      </c>
      <c r="BR176" s="67">
        <f>$K176</f>
        <v>516</v>
      </c>
      <c r="BS176" s="160">
        <f>$L176</f>
        <v>783</v>
      </c>
      <c r="BT176" s="160">
        <f>$M176</f>
        <v>895</v>
      </c>
      <c r="BU176" s="160">
        <f>$N176</f>
        <v>1067</v>
      </c>
      <c r="BV176" s="160">
        <f>$O176</f>
        <v>1898</v>
      </c>
      <c r="BW176" s="160">
        <f>$P176</f>
        <v>3048</v>
      </c>
      <c r="BX176" s="160">
        <f>$Q176</f>
        <v>3316</v>
      </c>
      <c r="BY176" s="160">
        <f>$R176</f>
        <v>6085</v>
      </c>
      <c r="BZ176" s="160">
        <f>$S176</f>
        <v>6523</v>
      </c>
      <c r="CA176" s="160">
        <f>$T176</f>
        <v>10528</v>
      </c>
      <c r="CB176" s="160">
        <f>$U176</f>
        <v>12090</v>
      </c>
      <c r="CC176" s="160">
        <f>$V176</f>
        <v>3761</v>
      </c>
      <c r="CD176" s="64"/>
      <c r="CE176" s="67">
        <f>$E176</f>
        <v>0</v>
      </c>
      <c r="CF176" s="67">
        <f>$F176</f>
        <v>31</v>
      </c>
      <c r="CG176" s="67">
        <f>$G176</f>
        <v>101</v>
      </c>
      <c r="CH176" s="67">
        <f>$H176</f>
        <v>88</v>
      </c>
      <c r="CI176" s="67">
        <f>$I176</f>
        <v>101</v>
      </c>
      <c r="CJ176" s="67">
        <f>$J176</f>
        <v>238</v>
      </c>
      <c r="CK176" s="67">
        <f>$K176</f>
        <v>516</v>
      </c>
      <c r="CL176" s="160">
        <f>$L176</f>
        <v>783</v>
      </c>
      <c r="CM176" s="160">
        <f>$M176</f>
        <v>895</v>
      </c>
      <c r="CN176" s="160">
        <f>$N176</f>
        <v>1067</v>
      </c>
      <c r="CO176" s="160">
        <f>$O176</f>
        <v>1898</v>
      </c>
      <c r="CP176" s="160">
        <f>$P176</f>
        <v>3048</v>
      </c>
      <c r="CQ176" s="160">
        <f>$Q176</f>
        <v>3316</v>
      </c>
      <c r="CR176" s="160">
        <f>$R176</f>
        <v>6085</v>
      </c>
      <c r="CS176" s="160">
        <f>$S176</f>
        <v>6523</v>
      </c>
      <c r="CT176" s="160">
        <f>$T176</f>
        <v>10528</v>
      </c>
      <c r="CU176" s="160">
        <f>$U176</f>
        <v>12090</v>
      </c>
      <c r="CV176" s="160">
        <f>$V176</f>
        <v>3761</v>
      </c>
      <c r="CW176" s="196">
        <f>CV176/CR176-1</f>
        <v>-0.38192276088742805</v>
      </c>
      <c r="CX176" s="64"/>
      <c r="CY176" s="67">
        <f>$E176</f>
        <v>0</v>
      </c>
      <c r="CZ176" s="67">
        <f>$F176</f>
        <v>31</v>
      </c>
      <c r="DA176" s="67">
        <f>$G176</f>
        <v>101</v>
      </c>
      <c r="DB176" s="67">
        <f>$H176</f>
        <v>88</v>
      </c>
      <c r="DC176" s="67">
        <f>$I176</f>
        <v>101</v>
      </c>
      <c r="DD176" s="67">
        <f>$J176</f>
        <v>238</v>
      </c>
      <c r="DE176" s="67">
        <f>$K176</f>
        <v>516</v>
      </c>
      <c r="DF176" s="160">
        <f>$L176</f>
        <v>783</v>
      </c>
      <c r="DG176" s="160">
        <f>$M176</f>
        <v>895</v>
      </c>
      <c r="DH176" s="160">
        <f>$N176</f>
        <v>1067</v>
      </c>
      <c r="DI176" s="160">
        <f>$O176</f>
        <v>1898</v>
      </c>
      <c r="DJ176" s="160">
        <f>$P176</f>
        <v>3048</v>
      </c>
      <c r="DK176" s="160">
        <f>$Q176</f>
        <v>3316</v>
      </c>
      <c r="DL176" s="160">
        <f>$R176</f>
        <v>6085</v>
      </c>
      <c r="DM176" s="160">
        <f>$S176</f>
        <v>6523</v>
      </c>
      <c r="DN176" s="160">
        <f>$T176</f>
        <v>10528</v>
      </c>
      <c r="DO176" s="160">
        <f>$U176</f>
        <v>12090</v>
      </c>
      <c r="DP176" s="160">
        <f>$V176</f>
        <v>3761</v>
      </c>
    </row>
    <row r="177" spans="2:120" ht="14" x14ac:dyDescent="0.3">
      <c r="C177" s="65"/>
      <c r="D177" s="77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224"/>
      <c r="R177" s="224"/>
      <c r="S177" s="224"/>
      <c r="T177" s="224"/>
      <c r="U177" s="224"/>
      <c r="V177" s="224"/>
      <c r="Y177" s="67"/>
      <c r="Z177" s="67"/>
      <c r="AA177" s="67"/>
      <c r="AB177" s="67"/>
      <c r="AC177" s="67"/>
      <c r="AD177" s="67"/>
      <c r="AE177" s="67">
        <f>$K177</f>
        <v>0</v>
      </c>
      <c r="AF177" s="162"/>
      <c r="AG177" s="162"/>
      <c r="AH177" s="162"/>
      <c r="AI177" s="162"/>
      <c r="AJ177" s="162"/>
      <c r="AK177" s="162"/>
      <c r="AL177" s="162"/>
      <c r="AM177" s="162"/>
      <c r="AN177" s="162"/>
      <c r="AO177" s="162"/>
      <c r="AP177" s="162"/>
      <c r="AR177" s="64"/>
      <c r="AS177" s="67"/>
      <c r="AT177" s="67"/>
      <c r="AU177" s="67"/>
      <c r="AV177" s="67"/>
      <c r="AW177" s="67"/>
      <c r="AX177" s="67"/>
      <c r="AY177" s="67">
        <f>$K177</f>
        <v>0</v>
      </c>
      <c r="AZ177" s="162"/>
      <c r="BA177" s="162"/>
      <c r="BB177" s="162"/>
      <c r="BC177" s="162"/>
      <c r="BD177" s="162"/>
      <c r="BE177" s="162"/>
      <c r="BF177" s="162"/>
      <c r="BG177" s="162"/>
      <c r="BH177" s="162"/>
      <c r="BI177" s="162"/>
      <c r="BJ177" s="162"/>
      <c r="BK177" s="64"/>
      <c r="BL177" s="67"/>
      <c r="BM177" s="67"/>
      <c r="BN177" s="67"/>
      <c r="BO177" s="67"/>
      <c r="BP177" s="67"/>
      <c r="BQ177" s="67"/>
      <c r="BR177" s="67">
        <f>$K177</f>
        <v>0</v>
      </c>
      <c r="BS177" s="162"/>
      <c r="BT177" s="162"/>
      <c r="BU177" s="162"/>
      <c r="BV177" s="162"/>
      <c r="BW177" s="162"/>
      <c r="BX177" s="162"/>
      <c r="BY177" s="162"/>
      <c r="BZ177" s="162"/>
      <c r="CA177" s="162"/>
      <c r="CB177" s="162"/>
      <c r="CC177" s="162"/>
      <c r="CD177" s="64"/>
      <c r="CE177" s="67"/>
      <c r="CF177" s="67"/>
      <c r="CG177" s="67"/>
      <c r="CH177" s="67"/>
      <c r="CI177" s="67"/>
      <c r="CJ177" s="67"/>
      <c r="CK177" s="67">
        <f>$K177</f>
        <v>0</v>
      </c>
      <c r="CL177" s="162"/>
      <c r="CM177" s="162"/>
      <c r="CN177" s="162"/>
      <c r="CO177" s="162"/>
      <c r="CP177" s="162"/>
      <c r="CQ177" s="162"/>
      <c r="CR177" s="162"/>
      <c r="CS177" s="162"/>
      <c r="CT177" s="162"/>
      <c r="CU177" s="162"/>
      <c r="CV177" s="162"/>
      <c r="CX177" s="64"/>
      <c r="CY177" s="67"/>
      <c r="CZ177" s="67"/>
      <c r="DA177" s="67"/>
      <c r="DB177" s="67"/>
      <c r="DC177" s="67"/>
      <c r="DD177" s="67"/>
      <c r="DE177" s="67">
        <f>$K177</f>
        <v>0</v>
      </c>
      <c r="DF177" s="162"/>
      <c r="DG177" s="162"/>
      <c r="DH177" s="162"/>
      <c r="DI177" s="162"/>
      <c r="DJ177" s="162"/>
      <c r="DK177" s="162"/>
      <c r="DL177" s="162"/>
      <c r="DM177" s="162"/>
      <c r="DN177" s="162"/>
      <c r="DO177" s="162"/>
      <c r="DP177" s="162"/>
    </row>
    <row r="178" spans="2:120" x14ac:dyDescent="0.3">
      <c r="C178" s="65" t="s">
        <v>122</v>
      </c>
      <c r="D178" s="77"/>
      <c r="E178" s="97"/>
      <c r="F178" s="98">
        <v>315077.3</v>
      </c>
      <c r="G178" s="98">
        <v>327481</v>
      </c>
      <c r="H178" s="98">
        <v>347460.58600000001</v>
      </c>
      <c r="I178" s="98">
        <v>361769.58900000004</v>
      </c>
      <c r="J178" s="98">
        <v>371128.87400000001</v>
      </c>
      <c r="K178" s="98">
        <v>428517.48100000003</v>
      </c>
      <c r="L178" s="98">
        <v>460329.424</v>
      </c>
      <c r="M178" s="98">
        <v>490743.81400000001</v>
      </c>
      <c r="N178" s="98">
        <v>570427.51899999997</v>
      </c>
      <c r="O178" s="98">
        <v>642858.42000000004</v>
      </c>
      <c r="P178" s="98">
        <v>725821.01500000001</v>
      </c>
      <c r="Q178" s="98">
        <v>811520.10400000005</v>
      </c>
      <c r="R178" s="98">
        <v>895325.21000000008</v>
      </c>
      <c r="S178" s="98">
        <v>976554.68900000001</v>
      </c>
      <c r="T178" s="98">
        <v>1029517.4450000001</v>
      </c>
      <c r="U178" s="98">
        <v>1137845.92</v>
      </c>
      <c r="V178" s="98">
        <v>1232774.5019999999</v>
      </c>
      <c r="W178" s="196">
        <f t="shared" si="406"/>
        <v>0.37690136302539701</v>
      </c>
      <c r="Y178" s="67">
        <f>$E178</f>
        <v>0</v>
      </c>
      <c r="Z178" s="67">
        <f>$F178</f>
        <v>315077.3</v>
      </c>
      <c r="AA178" s="67">
        <f>$G178</f>
        <v>327481</v>
      </c>
      <c r="AB178" s="67">
        <f>$H178</f>
        <v>347460.58600000001</v>
      </c>
      <c r="AC178" s="67">
        <f>$I178</f>
        <v>361769.58900000004</v>
      </c>
      <c r="AD178" s="67">
        <f>$J178</f>
        <v>371128.87400000001</v>
      </c>
      <c r="AE178" s="67">
        <f>$K178</f>
        <v>428517.48100000003</v>
      </c>
      <c r="AF178" s="160">
        <f>$L178</f>
        <v>460329.424</v>
      </c>
      <c r="AG178" s="160">
        <f>$M178</f>
        <v>490743.81400000001</v>
      </c>
      <c r="AH178" s="160">
        <f>$N178</f>
        <v>570427.51899999997</v>
      </c>
      <c r="AI178" s="160">
        <f>$O178</f>
        <v>642858.42000000004</v>
      </c>
      <c r="AJ178" s="160">
        <f>$P178</f>
        <v>725821.01500000001</v>
      </c>
      <c r="AK178" s="160">
        <f>$Q178</f>
        <v>811520.10400000005</v>
      </c>
      <c r="AL178" s="160">
        <f>$R178</f>
        <v>895325.21000000008</v>
      </c>
      <c r="AM178" s="160">
        <f>$S178</f>
        <v>976554.68900000001</v>
      </c>
      <c r="AN178" s="160">
        <f>$T178</f>
        <v>1029517.4450000001</v>
      </c>
      <c r="AO178" s="160">
        <f>$U178</f>
        <v>1137845.92</v>
      </c>
      <c r="AP178" s="160">
        <f>$V178</f>
        <v>1232774.5019999999</v>
      </c>
      <c r="AQ178" s="196">
        <f>AP178/AL178-1</f>
        <v>0.37690136302539701</v>
      </c>
      <c r="AR178" s="64"/>
      <c r="AS178" s="67">
        <f>$E178</f>
        <v>0</v>
      </c>
      <c r="AT178" s="67">
        <f>$F178</f>
        <v>315077.3</v>
      </c>
      <c r="AU178" s="67">
        <f>$G178</f>
        <v>327481</v>
      </c>
      <c r="AV178" s="67">
        <f>$H178</f>
        <v>347460.58600000001</v>
      </c>
      <c r="AW178" s="67">
        <f>$I178</f>
        <v>361769.58900000004</v>
      </c>
      <c r="AX178" s="67">
        <f>$J178</f>
        <v>371128.87400000001</v>
      </c>
      <c r="AY178" s="67">
        <f>$K178</f>
        <v>428517.48100000003</v>
      </c>
      <c r="AZ178" s="160">
        <f>$L178</f>
        <v>460329.424</v>
      </c>
      <c r="BA178" s="160">
        <f>$M178</f>
        <v>490743.81400000001</v>
      </c>
      <c r="BB178" s="160">
        <f>$N178</f>
        <v>570427.51899999997</v>
      </c>
      <c r="BC178" s="160">
        <f>$O178</f>
        <v>642858.42000000004</v>
      </c>
      <c r="BD178" s="160">
        <f>$P178</f>
        <v>725821.01500000001</v>
      </c>
      <c r="BE178" s="160">
        <f>$Q178</f>
        <v>811520.10400000005</v>
      </c>
      <c r="BF178" s="160">
        <f>$R178</f>
        <v>895325.21000000008</v>
      </c>
      <c r="BG178" s="160">
        <f>$S178</f>
        <v>976554.68900000001</v>
      </c>
      <c r="BH178" s="160">
        <f>$T178</f>
        <v>1029517.4450000001</v>
      </c>
      <c r="BI178" s="160">
        <f>$U178</f>
        <v>1137845.92</v>
      </c>
      <c r="BJ178" s="160">
        <f>$V178</f>
        <v>1232774.5019999999</v>
      </c>
      <c r="BK178" s="64"/>
      <c r="BL178" s="67">
        <f>$E178</f>
        <v>0</v>
      </c>
      <c r="BM178" s="67">
        <f>$F178</f>
        <v>315077.3</v>
      </c>
      <c r="BN178" s="67">
        <f>$G178</f>
        <v>327481</v>
      </c>
      <c r="BO178" s="67">
        <f>$H178</f>
        <v>347460.58600000001</v>
      </c>
      <c r="BP178" s="67">
        <f>$I178</f>
        <v>361769.58900000004</v>
      </c>
      <c r="BQ178" s="67">
        <f>$J178</f>
        <v>371128.87400000001</v>
      </c>
      <c r="BR178" s="67">
        <f>$K178</f>
        <v>428517.48100000003</v>
      </c>
      <c r="BS178" s="160">
        <f>$L178</f>
        <v>460329.424</v>
      </c>
      <c r="BT178" s="160">
        <f>$M178</f>
        <v>490743.81400000001</v>
      </c>
      <c r="BU178" s="160">
        <f>$N178</f>
        <v>570427.51899999997</v>
      </c>
      <c r="BV178" s="160">
        <f>$O178</f>
        <v>642858.42000000004</v>
      </c>
      <c r="BW178" s="160">
        <f>$P178</f>
        <v>725821.01500000001</v>
      </c>
      <c r="BX178" s="160">
        <f>$Q178</f>
        <v>811520.10400000005</v>
      </c>
      <c r="BY178" s="160">
        <f>$R178</f>
        <v>895325.21000000008</v>
      </c>
      <c r="BZ178" s="160">
        <f>$S178</f>
        <v>976554.68900000001</v>
      </c>
      <c r="CA178" s="160">
        <f>$T178</f>
        <v>1029517.4450000001</v>
      </c>
      <c r="CB178" s="160">
        <f>$U178</f>
        <v>1137845.92</v>
      </c>
      <c r="CC178" s="160">
        <f>$V178</f>
        <v>1232774.5019999999</v>
      </c>
      <c r="CD178" s="64"/>
      <c r="CE178" s="67">
        <f>$E178</f>
        <v>0</v>
      </c>
      <c r="CF178" s="67">
        <f>$F178</f>
        <v>315077.3</v>
      </c>
      <c r="CG178" s="67">
        <f>$G178</f>
        <v>327481</v>
      </c>
      <c r="CH178" s="67">
        <f>$H178</f>
        <v>347460.58600000001</v>
      </c>
      <c r="CI178" s="67">
        <f>$I178</f>
        <v>361769.58900000004</v>
      </c>
      <c r="CJ178" s="67">
        <f>$J178</f>
        <v>371128.87400000001</v>
      </c>
      <c r="CK178" s="67">
        <f>$K178</f>
        <v>428517.48100000003</v>
      </c>
      <c r="CL178" s="160">
        <f>$L178</f>
        <v>460329.424</v>
      </c>
      <c r="CM178" s="160">
        <f>$M178</f>
        <v>490743.81400000001</v>
      </c>
      <c r="CN178" s="160">
        <f>$N178</f>
        <v>570427.51899999997</v>
      </c>
      <c r="CO178" s="160">
        <f>$O178</f>
        <v>642858.42000000004</v>
      </c>
      <c r="CP178" s="160">
        <f>$P178</f>
        <v>725821.01500000001</v>
      </c>
      <c r="CQ178" s="160">
        <f>$Q178</f>
        <v>811520.10400000005</v>
      </c>
      <c r="CR178" s="160">
        <f>$R178</f>
        <v>895325.21000000008</v>
      </c>
      <c r="CS178" s="160">
        <f>$S178</f>
        <v>976554.68900000001</v>
      </c>
      <c r="CT178" s="160">
        <f>$T178</f>
        <v>1029517.4450000001</v>
      </c>
      <c r="CU178" s="160">
        <f>$U178</f>
        <v>1137845.92</v>
      </c>
      <c r="CV178" s="160">
        <f>$V178</f>
        <v>1232774.5019999999</v>
      </c>
      <c r="CW178" s="196">
        <f>CV178/CR178-1</f>
        <v>0.37690136302539701</v>
      </c>
      <c r="CX178" s="64"/>
      <c r="CY178" s="67">
        <f>$E178</f>
        <v>0</v>
      </c>
      <c r="CZ178" s="67">
        <f>$F178</f>
        <v>315077.3</v>
      </c>
      <c r="DA178" s="67">
        <f>$G178</f>
        <v>327481</v>
      </c>
      <c r="DB178" s="67">
        <f>$H178</f>
        <v>347460.58600000001</v>
      </c>
      <c r="DC178" s="67">
        <f>$I178</f>
        <v>361769.58900000004</v>
      </c>
      <c r="DD178" s="67">
        <f>$J178</f>
        <v>371128.87400000001</v>
      </c>
      <c r="DE178" s="67">
        <f>$K178</f>
        <v>428517.48100000003</v>
      </c>
      <c r="DF178" s="160">
        <f>$L178</f>
        <v>460329.424</v>
      </c>
      <c r="DG178" s="160">
        <f>$M178</f>
        <v>490743.81400000001</v>
      </c>
      <c r="DH178" s="160">
        <f>$N178</f>
        <v>570427.51899999997</v>
      </c>
      <c r="DI178" s="160">
        <f>$O178</f>
        <v>642858.42000000004</v>
      </c>
      <c r="DJ178" s="160">
        <f>$P178</f>
        <v>725821.01500000001</v>
      </c>
      <c r="DK178" s="160">
        <f>$Q178</f>
        <v>811520.10400000005</v>
      </c>
      <c r="DL178" s="160">
        <f>$R178</f>
        <v>895325.21000000008</v>
      </c>
      <c r="DM178" s="160">
        <f>$S178</f>
        <v>976554.68900000001</v>
      </c>
      <c r="DN178" s="160">
        <f>$T178</f>
        <v>1029517.4450000001</v>
      </c>
      <c r="DO178" s="160">
        <f>$U178</f>
        <v>1137845.92</v>
      </c>
      <c r="DP178" s="160">
        <f>$V178</f>
        <v>1232774.5019999999</v>
      </c>
    </row>
    <row r="179" spans="2:120" x14ac:dyDescent="0.3">
      <c r="C179" s="65" t="s">
        <v>133</v>
      </c>
      <c r="D179" s="77"/>
      <c r="E179" s="97"/>
      <c r="F179" s="98"/>
      <c r="G179" s="98">
        <v>468014.10991</v>
      </c>
      <c r="H179" s="98">
        <v>317355.261</v>
      </c>
      <c r="I179" s="98">
        <v>510086.87563000002</v>
      </c>
      <c r="J179" s="98">
        <v>630107.12721000006</v>
      </c>
      <c r="K179" s="98">
        <v>465083.66965</v>
      </c>
      <c r="L179" s="98">
        <v>471232.0955</v>
      </c>
      <c r="M179" s="98">
        <v>209422.84777000002</v>
      </c>
      <c r="N179" s="98">
        <v>114895.8787</v>
      </c>
      <c r="O179" s="98">
        <v>92916.476609999998</v>
      </c>
      <c r="P179" s="98">
        <v>191979.61535000001</v>
      </c>
      <c r="Q179" s="98">
        <v>219085.67048</v>
      </c>
      <c r="R179" s="98">
        <v>216305.49028</v>
      </c>
      <c r="S179" s="98">
        <v>238348.16954</v>
      </c>
      <c r="T179" s="98">
        <v>237447.18884000002</v>
      </c>
      <c r="U179" s="98">
        <v>254340</v>
      </c>
      <c r="V179" s="98">
        <v>187874.35934</v>
      </c>
      <c r="W179" s="196">
        <f t="shared" si="406"/>
        <v>-0.13143971012107403</v>
      </c>
      <c r="Y179" s="67">
        <f>$E179</f>
        <v>0</v>
      </c>
      <c r="Z179" s="67">
        <f>$F179</f>
        <v>0</v>
      </c>
      <c r="AA179" s="67">
        <f>$G179</f>
        <v>468014.10991</v>
      </c>
      <c r="AB179" s="67">
        <f>$H179</f>
        <v>317355.261</v>
      </c>
      <c r="AC179" s="67">
        <f>$I179</f>
        <v>510086.87563000002</v>
      </c>
      <c r="AD179" s="67">
        <f>$J179</f>
        <v>630107.12721000006</v>
      </c>
      <c r="AE179" s="67">
        <f>$K179</f>
        <v>465083.66965</v>
      </c>
      <c r="AF179" s="160">
        <f>$L179</f>
        <v>471232.0955</v>
      </c>
      <c r="AG179" s="160">
        <f>$M179</f>
        <v>209422.84777000002</v>
      </c>
      <c r="AH179" s="160">
        <f>$N179</f>
        <v>114895.8787</v>
      </c>
      <c r="AI179" s="160">
        <f>$O179</f>
        <v>92916.476609999998</v>
      </c>
      <c r="AJ179" s="160">
        <f>$P179</f>
        <v>191979.61535000001</v>
      </c>
      <c r="AK179" s="160">
        <f>$Q179</f>
        <v>219085.67048</v>
      </c>
      <c r="AL179" s="160">
        <f>$R179</f>
        <v>216305.49028</v>
      </c>
      <c r="AM179" s="160">
        <f>$S179</f>
        <v>238348.16954</v>
      </c>
      <c r="AN179" s="160">
        <f>$T179</f>
        <v>237447.18884000002</v>
      </c>
      <c r="AO179" s="160">
        <f>$U179</f>
        <v>254340</v>
      </c>
      <c r="AP179" s="160">
        <f>$V179</f>
        <v>187874.35934</v>
      </c>
      <c r="AQ179" s="196">
        <f>AP179/AL179-1</f>
        <v>-0.13143971012107403</v>
      </c>
      <c r="AR179" s="64"/>
      <c r="AS179" s="67">
        <f>$E179</f>
        <v>0</v>
      </c>
      <c r="AT179" s="67">
        <f>$F179</f>
        <v>0</v>
      </c>
      <c r="AU179" s="67">
        <f>$G179</f>
        <v>468014.10991</v>
      </c>
      <c r="AV179" s="67">
        <f>$H179</f>
        <v>317355.261</v>
      </c>
      <c r="AW179" s="67">
        <f>$I179</f>
        <v>510086.87563000002</v>
      </c>
      <c r="AX179" s="67">
        <f>$J179</f>
        <v>630107.12721000006</v>
      </c>
      <c r="AY179" s="67">
        <f>$K179</f>
        <v>465083.66965</v>
      </c>
      <c r="AZ179" s="160">
        <f>$L179</f>
        <v>471232.0955</v>
      </c>
      <c r="BA179" s="160">
        <f>$M179</f>
        <v>209422.84777000002</v>
      </c>
      <c r="BB179" s="160">
        <f>$N179</f>
        <v>114895.8787</v>
      </c>
      <c r="BC179" s="160">
        <f>$O179</f>
        <v>92916.476609999998</v>
      </c>
      <c r="BD179" s="160">
        <f>$P179</f>
        <v>191979.61535000001</v>
      </c>
      <c r="BE179" s="160">
        <f>$Q179</f>
        <v>219085.67048</v>
      </c>
      <c r="BF179" s="160">
        <f>$R179</f>
        <v>216305.49028</v>
      </c>
      <c r="BG179" s="160">
        <f>$S179</f>
        <v>238348.16954</v>
      </c>
      <c r="BH179" s="160">
        <f>$T179</f>
        <v>237447.18884000002</v>
      </c>
      <c r="BI179" s="160">
        <f>$U179</f>
        <v>254340</v>
      </c>
      <c r="BJ179" s="160">
        <f>$V179</f>
        <v>187874.35934</v>
      </c>
      <c r="BK179" s="64"/>
      <c r="BL179" s="67">
        <f>$E179</f>
        <v>0</v>
      </c>
      <c r="BM179" s="67">
        <f>$F179</f>
        <v>0</v>
      </c>
      <c r="BN179" s="67">
        <f>$G179</f>
        <v>468014.10991</v>
      </c>
      <c r="BO179" s="67">
        <f>$H179</f>
        <v>317355.261</v>
      </c>
      <c r="BP179" s="67">
        <f>$I179</f>
        <v>510086.87563000002</v>
      </c>
      <c r="BQ179" s="67">
        <f>$J179</f>
        <v>630107.12721000006</v>
      </c>
      <c r="BR179" s="67">
        <f>$K179</f>
        <v>465083.66965</v>
      </c>
      <c r="BS179" s="160">
        <f>$L179</f>
        <v>471232.0955</v>
      </c>
      <c r="BT179" s="160">
        <f>$M179</f>
        <v>209422.84777000002</v>
      </c>
      <c r="BU179" s="160">
        <f>$N179</f>
        <v>114895.8787</v>
      </c>
      <c r="BV179" s="160">
        <f>$O179</f>
        <v>92916.476609999998</v>
      </c>
      <c r="BW179" s="160">
        <f>$P179</f>
        <v>191979.61535000001</v>
      </c>
      <c r="BX179" s="160">
        <f>$Q179</f>
        <v>219085.67048</v>
      </c>
      <c r="BY179" s="160">
        <f>$R179</f>
        <v>216305.49028</v>
      </c>
      <c r="BZ179" s="160">
        <f>$S179</f>
        <v>238348.16954</v>
      </c>
      <c r="CA179" s="160">
        <f>$T179</f>
        <v>237447.18884000002</v>
      </c>
      <c r="CB179" s="160">
        <f>$U179</f>
        <v>254340</v>
      </c>
      <c r="CC179" s="160">
        <f>$V179</f>
        <v>187874.35934</v>
      </c>
      <c r="CD179" s="64"/>
      <c r="CE179" s="67">
        <f>$E179</f>
        <v>0</v>
      </c>
      <c r="CF179" s="67">
        <f>$F179</f>
        <v>0</v>
      </c>
      <c r="CG179" s="67">
        <f>$G179</f>
        <v>468014.10991</v>
      </c>
      <c r="CH179" s="67">
        <f>$H179</f>
        <v>317355.261</v>
      </c>
      <c r="CI179" s="67">
        <f>$I179</f>
        <v>510086.87563000002</v>
      </c>
      <c r="CJ179" s="67">
        <f>$J179</f>
        <v>630107.12721000006</v>
      </c>
      <c r="CK179" s="67">
        <f>$K179</f>
        <v>465083.66965</v>
      </c>
      <c r="CL179" s="160">
        <f>$L179</f>
        <v>471232.0955</v>
      </c>
      <c r="CM179" s="160">
        <f>$M179</f>
        <v>209422.84777000002</v>
      </c>
      <c r="CN179" s="160">
        <f>$N179</f>
        <v>114895.8787</v>
      </c>
      <c r="CO179" s="160">
        <f>$O179</f>
        <v>92916.476609999998</v>
      </c>
      <c r="CP179" s="160">
        <f>$P179</f>
        <v>191979.61535000001</v>
      </c>
      <c r="CQ179" s="160">
        <f>$Q179</f>
        <v>219085.67048</v>
      </c>
      <c r="CR179" s="160">
        <f>$R179</f>
        <v>216305.49028</v>
      </c>
      <c r="CS179" s="160">
        <f>$S179</f>
        <v>238348.16954</v>
      </c>
      <c r="CT179" s="160">
        <f>$T179</f>
        <v>237447.18884000002</v>
      </c>
      <c r="CU179" s="160">
        <f>$U179</f>
        <v>254340</v>
      </c>
      <c r="CV179" s="160">
        <f>$V179</f>
        <v>187874.35934</v>
      </c>
      <c r="CW179" s="196">
        <f>CV179/CR179-1</f>
        <v>-0.13143971012107403</v>
      </c>
      <c r="CX179" s="64"/>
      <c r="CY179" s="67">
        <f>$E179</f>
        <v>0</v>
      </c>
      <c r="CZ179" s="67">
        <f>$F179</f>
        <v>0</v>
      </c>
      <c r="DA179" s="67">
        <f>$G179</f>
        <v>468014.10991</v>
      </c>
      <c r="DB179" s="67">
        <f>$H179</f>
        <v>317355.261</v>
      </c>
      <c r="DC179" s="67">
        <f>$I179</f>
        <v>510086.87563000002</v>
      </c>
      <c r="DD179" s="67">
        <f>$J179</f>
        <v>630107.12721000006</v>
      </c>
      <c r="DE179" s="67">
        <f>$K179</f>
        <v>465083.66965</v>
      </c>
      <c r="DF179" s="160">
        <f>$L179</f>
        <v>471232.0955</v>
      </c>
      <c r="DG179" s="160">
        <f>$M179</f>
        <v>209422.84777000002</v>
      </c>
      <c r="DH179" s="160">
        <f>$N179</f>
        <v>114895.8787</v>
      </c>
      <c r="DI179" s="160">
        <f>$O179</f>
        <v>92916.476609999998</v>
      </c>
      <c r="DJ179" s="160">
        <f>$P179</f>
        <v>191979.61535000001</v>
      </c>
      <c r="DK179" s="160">
        <f>$Q179</f>
        <v>219085.67048</v>
      </c>
      <c r="DL179" s="160">
        <f>$R179</f>
        <v>216305.49028</v>
      </c>
      <c r="DM179" s="160">
        <f>$S179</f>
        <v>238348.16954</v>
      </c>
      <c r="DN179" s="160">
        <f>$T179</f>
        <v>237447.18884000002</v>
      </c>
      <c r="DO179" s="160">
        <f>$U179</f>
        <v>254340</v>
      </c>
      <c r="DP179" s="160">
        <f>$V179</f>
        <v>187874.35934</v>
      </c>
    </row>
    <row r="180" spans="2:120" x14ac:dyDescent="0.3">
      <c r="C180" s="65"/>
      <c r="D180" s="77"/>
      <c r="E180" s="45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131"/>
      <c r="Y180" s="45"/>
      <c r="Z180" s="62"/>
      <c r="AA180" s="62"/>
      <c r="AB180" s="62"/>
      <c r="AC180" s="62"/>
      <c r="AD180" s="62"/>
      <c r="AE180" s="62"/>
      <c r="AF180" s="91"/>
      <c r="AG180" s="91"/>
      <c r="AH180" s="91"/>
      <c r="AI180" s="91"/>
      <c r="AJ180" s="91"/>
      <c r="AK180" s="91"/>
      <c r="AL180" s="91"/>
      <c r="AM180" s="91"/>
      <c r="AN180" s="91"/>
      <c r="AO180" s="91"/>
      <c r="AP180" s="91"/>
      <c r="AQ180" s="131"/>
      <c r="AS180" s="45"/>
      <c r="AT180" s="62"/>
      <c r="AU180" s="62"/>
      <c r="AV180" s="62"/>
      <c r="AW180" s="62"/>
      <c r="AX180" s="62"/>
      <c r="AY180" s="62"/>
      <c r="AZ180" s="91"/>
      <c r="BA180" s="91"/>
      <c r="BB180" s="91"/>
      <c r="BC180" s="91"/>
      <c r="BD180" s="91"/>
      <c r="BE180" s="91"/>
      <c r="BF180" s="91"/>
      <c r="BG180" s="91"/>
      <c r="BH180" s="91"/>
      <c r="BI180" s="91"/>
      <c r="BJ180" s="91"/>
      <c r="BL180" s="45"/>
      <c r="BM180" s="62"/>
      <c r="BN180" s="62"/>
      <c r="BO180" s="62"/>
      <c r="BP180" s="62"/>
      <c r="BQ180" s="62"/>
      <c r="BR180" s="62"/>
      <c r="BS180" s="91"/>
      <c r="BT180" s="91"/>
      <c r="BU180" s="91"/>
      <c r="BV180" s="91"/>
      <c r="BW180" s="91"/>
      <c r="BX180" s="91"/>
      <c r="BY180" s="91"/>
      <c r="BZ180" s="91"/>
      <c r="CA180" s="91"/>
      <c r="CB180" s="91"/>
      <c r="CC180" s="91"/>
      <c r="CE180" s="45"/>
      <c r="CF180" s="62"/>
      <c r="CG180" s="62"/>
      <c r="CH180" s="62"/>
      <c r="CI180" s="62"/>
      <c r="CJ180" s="62"/>
      <c r="CK180" s="62"/>
      <c r="CL180" s="91"/>
      <c r="CM180" s="91"/>
      <c r="CN180" s="91"/>
      <c r="CO180" s="91"/>
      <c r="CP180" s="91"/>
      <c r="CQ180" s="91"/>
      <c r="CR180" s="91"/>
      <c r="CS180" s="91"/>
      <c r="CT180" s="91"/>
      <c r="CU180" s="91"/>
      <c r="CV180" s="91"/>
      <c r="CW180" s="131"/>
      <c r="CY180" s="45"/>
      <c r="CZ180" s="62"/>
      <c r="DA180" s="62"/>
      <c r="DB180" s="62"/>
      <c r="DC180" s="62"/>
      <c r="DD180" s="62"/>
      <c r="DE180" s="62"/>
      <c r="DF180" s="91"/>
      <c r="DG180" s="91"/>
      <c r="DH180" s="91"/>
      <c r="DI180" s="91"/>
      <c r="DJ180" s="91"/>
      <c r="DK180" s="91"/>
      <c r="DL180" s="91"/>
      <c r="DM180" s="91"/>
      <c r="DN180" s="91"/>
      <c r="DO180" s="91"/>
      <c r="DP180" s="91"/>
    </row>
    <row r="181" spans="2:120" x14ac:dyDescent="0.3">
      <c r="C181" s="65"/>
      <c r="D181" s="77"/>
      <c r="E181" s="45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131"/>
      <c r="Y181" s="45"/>
      <c r="Z181" s="62"/>
      <c r="AA181" s="62"/>
      <c r="AB181" s="62"/>
      <c r="AC181" s="62"/>
      <c r="AD181" s="62"/>
      <c r="AE181" s="62"/>
      <c r="AF181" s="62"/>
      <c r="AG181" s="62"/>
      <c r="AH181" s="62"/>
      <c r="AI181" s="62"/>
      <c r="AJ181" s="62"/>
      <c r="AK181" s="62"/>
      <c r="AL181" s="62"/>
      <c r="AM181" s="62"/>
      <c r="AN181" s="62"/>
      <c r="AO181" s="62"/>
      <c r="AP181" s="62"/>
      <c r="AQ181" s="131"/>
      <c r="AS181" s="45"/>
      <c r="AT181" s="62"/>
      <c r="AU181" s="62"/>
      <c r="AV181" s="62"/>
      <c r="AW181" s="62"/>
      <c r="AX181" s="62"/>
      <c r="AY181" s="62"/>
      <c r="AZ181" s="62"/>
      <c r="BA181" s="62"/>
      <c r="BB181" s="62"/>
      <c r="BC181" s="62"/>
      <c r="BD181" s="62"/>
      <c r="BE181" s="62"/>
      <c r="BF181" s="62"/>
      <c r="BG181" s="62"/>
      <c r="BH181" s="62"/>
      <c r="BI181" s="62"/>
      <c r="BJ181" s="62"/>
      <c r="BL181" s="45"/>
      <c r="BM181" s="62"/>
      <c r="BN181" s="62"/>
      <c r="BO181" s="62"/>
      <c r="BP181" s="62"/>
      <c r="BQ181" s="62"/>
      <c r="BR181" s="62"/>
      <c r="BS181" s="62"/>
      <c r="BT181" s="62"/>
      <c r="BU181" s="62"/>
      <c r="BV181" s="62"/>
      <c r="BW181" s="62"/>
      <c r="BX181" s="62"/>
      <c r="BY181" s="62"/>
      <c r="BZ181" s="62"/>
      <c r="CA181" s="62"/>
      <c r="CB181" s="62"/>
      <c r="CC181" s="62"/>
      <c r="CE181" s="45"/>
      <c r="CF181" s="62"/>
      <c r="CG181" s="62"/>
      <c r="CH181" s="62"/>
      <c r="CI181" s="62"/>
      <c r="CJ181" s="62"/>
      <c r="CK181" s="62"/>
      <c r="CL181" s="62"/>
      <c r="CM181" s="62"/>
      <c r="CN181" s="62"/>
      <c r="CO181" s="62"/>
      <c r="CP181" s="62"/>
      <c r="CQ181" s="62"/>
      <c r="CR181" s="62"/>
      <c r="CS181" s="62"/>
      <c r="CT181" s="62"/>
      <c r="CU181" s="62"/>
      <c r="CV181" s="62"/>
      <c r="CW181" s="131"/>
      <c r="CY181" s="45"/>
      <c r="CZ181" s="62"/>
      <c r="DA181" s="62"/>
      <c r="DB181" s="62"/>
      <c r="DC181" s="62"/>
      <c r="DD181" s="62"/>
      <c r="DE181" s="62"/>
      <c r="DF181" s="62"/>
      <c r="DG181" s="62"/>
      <c r="DH181" s="62"/>
      <c r="DI181" s="62"/>
      <c r="DJ181" s="62"/>
      <c r="DK181" s="62"/>
      <c r="DL181" s="62"/>
      <c r="DM181" s="62"/>
      <c r="DN181" s="62"/>
      <c r="DO181" s="62"/>
      <c r="DP181" s="62"/>
    </row>
    <row r="182" spans="2:120" s="85" customFormat="1" x14ac:dyDescent="0.3">
      <c r="B182" s="84"/>
      <c r="C182" s="63" t="s">
        <v>136</v>
      </c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186"/>
      <c r="Y182" s="63"/>
      <c r="Z182" s="63"/>
      <c r="AA182" s="63"/>
      <c r="AB182" s="63"/>
      <c r="AC182" s="63"/>
      <c r="AD182" s="63"/>
      <c r="AE182" s="63"/>
      <c r="AF182" s="63"/>
      <c r="AG182" s="63"/>
      <c r="AH182" s="63"/>
      <c r="AI182" s="63"/>
      <c r="AJ182" s="63"/>
      <c r="AK182" s="63"/>
      <c r="AL182" s="63"/>
      <c r="AM182" s="63"/>
      <c r="AN182" s="63"/>
      <c r="AO182" s="63"/>
      <c r="AP182" s="63"/>
      <c r="AQ182" s="186"/>
      <c r="AS182" s="63"/>
      <c r="AT182" s="63"/>
      <c r="AU182" s="63"/>
      <c r="AV182" s="63"/>
      <c r="AW182" s="63"/>
      <c r="AX182" s="63"/>
      <c r="AY182" s="63"/>
      <c r="AZ182" s="63"/>
      <c r="BA182" s="63"/>
      <c r="BB182" s="63"/>
      <c r="BC182" s="63"/>
      <c r="BD182" s="63"/>
      <c r="BE182" s="63"/>
      <c r="BF182" s="63"/>
      <c r="BG182" s="63"/>
      <c r="BH182" s="63"/>
      <c r="BI182" s="63"/>
      <c r="BJ182" s="63"/>
      <c r="BL182" s="63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186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</row>
    <row r="183" spans="2:120" x14ac:dyDescent="0.3">
      <c r="C183" s="36" t="s">
        <v>53</v>
      </c>
      <c r="E183" s="69"/>
      <c r="F183" s="69">
        <v>39415.39287500002</v>
      </c>
      <c r="G183" s="69">
        <v>40858.684493999943</v>
      </c>
      <c r="H183" s="69">
        <v>39173.613070999862</v>
      </c>
      <c r="I183" s="69">
        <v>44936.420915000766</v>
      </c>
      <c r="J183" s="69">
        <v>58753.122252998626</v>
      </c>
      <c r="K183" s="69">
        <v>50780.817588000282</v>
      </c>
      <c r="L183" s="69">
        <v>52581.605446000307</v>
      </c>
      <c r="M183" s="69">
        <v>52529.291832000847</v>
      </c>
      <c r="N183" s="69">
        <v>62888.504210999592</v>
      </c>
      <c r="O183" s="69">
        <v>76989.793050999695</v>
      </c>
      <c r="P183" s="98">
        <v>109396.42000099964</v>
      </c>
      <c r="Q183" s="98">
        <v>91814.128135000065</v>
      </c>
      <c r="R183" s="98">
        <v>126316.75577795831</v>
      </c>
      <c r="S183" s="98">
        <v>144175.62309500008</v>
      </c>
      <c r="T183" s="98">
        <v>111321.59396310011</v>
      </c>
      <c r="U183" s="98">
        <v>130361.28546456399</v>
      </c>
      <c r="V183" s="98">
        <v>130361.28546456399</v>
      </c>
      <c r="W183" s="182">
        <f t="shared" si="406"/>
        <v>3.201894841025843E-2</v>
      </c>
      <c r="Y183" s="70">
        <f>$E183</f>
        <v>0</v>
      </c>
      <c r="Z183" s="70">
        <f>$F183</f>
        <v>39415.39287500002</v>
      </c>
      <c r="AA183" s="70">
        <f>$G183</f>
        <v>40858.684493999943</v>
      </c>
      <c r="AB183" s="70">
        <f>$H183</f>
        <v>39173.613070999862</v>
      </c>
      <c r="AC183" s="70">
        <f>$I183</f>
        <v>44936.420915000766</v>
      </c>
      <c r="AD183" s="70">
        <f>$J183</f>
        <v>58753.122252998626</v>
      </c>
      <c r="AE183" s="70">
        <f>$K183</f>
        <v>50780.817588000282</v>
      </c>
      <c r="AF183" s="70">
        <f>$L183</f>
        <v>52581.605446000307</v>
      </c>
      <c r="AG183" s="70">
        <f>$M183</f>
        <v>52529.291832000847</v>
      </c>
      <c r="AH183" s="70">
        <f>$N183</f>
        <v>62888.504210999592</v>
      </c>
      <c r="AI183" s="70">
        <f>$O183</f>
        <v>76989.793050999695</v>
      </c>
      <c r="AJ183" s="70">
        <f>$P183</f>
        <v>109396.42000099964</v>
      </c>
      <c r="AK183" s="70">
        <f>$Q183</f>
        <v>91814.128135000065</v>
      </c>
      <c r="AL183" s="70">
        <f>$R183</f>
        <v>126316.75577795831</v>
      </c>
      <c r="AM183" s="70">
        <f>$S183</f>
        <v>144175.62309500008</v>
      </c>
      <c r="AN183" s="70">
        <f>$T183</f>
        <v>111321.59396310011</v>
      </c>
      <c r="AO183" s="70">
        <f>$U183</f>
        <v>130361.28546456399</v>
      </c>
      <c r="AP183" s="70">
        <f>$V183</f>
        <v>130361.28546456399</v>
      </c>
      <c r="AQ183" s="182">
        <f>AP183/AL183-1</f>
        <v>3.201894841025843E-2</v>
      </c>
      <c r="AS183" s="70">
        <f>$E183</f>
        <v>0</v>
      </c>
      <c r="AT183" s="70">
        <f>$F183</f>
        <v>39415.39287500002</v>
      </c>
      <c r="AU183" s="70">
        <f>$G183</f>
        <v>40858.684493999943</v>
      </c>
      <c r="AV183" s="70">
        <f>$H183</f>
        <v>39173.613070999862</v>
      </c>
      <c r="AW183" s="70">
        <f>$I183</f>
        <v>44936.420915000766</v>
      </c>
      <c r="AX183" s="70">
        <f>$J183</f>
        <v>58753.122252998626</v>
      </c>
      <c r="AY183" s="70">
        <f>$K183</f>
        <v>50780.817588000282</v>
      </c>
      <c r="AZ183" s="70">
        <f>$L183</f>
        <v>52581.605446000307</v>
      </c>
      <c r="BA183" s="70">
        <f>$M183</f>
        <v>52529.291832000847</v>
      </c>
      <c r="BB183" s="70">
        <f>$N183</f>
        <v>62888.504210999592</v>
      </c>
      <c r="BC183" s="70">
        <f>$O183</f>
        <v>76989.793050999695</v>
      </c>
      <c r="BD183" s="70">
        <f>$P183</f>
        <v>109396.42000099964</v>
      </c>
      <c r="BE183" s="70">
        <f>$Q183</f>
        <v>91814.128135000065</v>
      </c>
      <c r="BF183" s="70">
        <f>$R183</f>
        <v>126316.75577795831</v>
      </c>
      <c r="BG183" s="70">
        <f>$S183</f>
        <v>144175.62309500008</v>
      </c>
      <c r="BH183" s="70">
        <f>$T183</f>
        <v>111321.59396310011</v>
      </c>
      <c r="BI183" s="70">
        <f>$U183</f>
        <v>130361.28546456399</v>
      </c>
      <c r="BJ183" s="70">
        <f>$V183</f>
        <v>130361.28546456399</v>
      </c>
      <c r="BL183" s="70">
        <f>$E183</f>
        <v>0</v>
      </c>
      <c r="BM183" s="70">
        <f>$F183</f>
        <v>39415.39287500002</v>
      </c>
      <c r="BN183" s="70">
        <f>$G183</f>
        <v>40858.684493999943</v>
      </c>
      <c r="BO183" s="70">
        <f>$H183</f>
        <v>39173.613070999862</v>
      </c>
      <c r="BP183" s="70">
        <f>$I183</f>
        <v>44936.420915000766</v>
      </c>
      <c r="BQ183" s="70">
        <f>$J183</f>
        <v>58753.122252998626</v>
      </c>
      <c r="BR183" s="70">
        <f>$K183</f>
        <v>50780.817588000282</v>
      </c>
      <c r="BS183" s="70">
        <f>$L183</f>
        <v>52581.605446000307</v>
      </c>
      <c r="BT183" s="70">
        <f>$M183</f>
        <v>52529.291832000847</v>
      </c>
      <c r="BU183" s="70">
        <f>$N183</f>
        <v>62888.504210999592</v>
      </c>
      <c r="BV183" s="70">
        <f>$O183</f>
        <v>76989.793050999695</v>
      </c>
      <c r="BW183" s="70">
        <f>$P183</f>
        <v>109396.42000099964</v>
      </c>
      <c r="BX183" s="70">
        <f>$Q183</f>
        <v>91814.128135000065</v>
      </c>
      <c r="BY183" s="70">
        <f>$R183</f>
        <v>126316.75577795831</v>
      </c>
      <c r="BZ183" s="70">
        <f>$S183</f>
        <v>144175.62309500008</v>
      </c>
      <c r="CA183" s="70">
        <f>$T183</f>
        <v>111321.59396310011</v>
      </c>
      <c r="CB183" s="70">
        <f>$U183</f>
        <v>130361.28546456399</v>
      </c>
      <c r="CC183" s="70">
        <f>$V183</f>
        <v>130361.28546456399</v>
      </c>
      <c r="CE183" s="70">
        <f>$E183</f>
        <v>0</v>
      </c>
      <c r="CF183" s="70">
        <f>$F183</f>
        <v>39415.39287500002</v>
      </c>
      <c r="CG183" s="70">
        <f>$G183</f>
        <v>40858.684493999943</v>
      </c>
      <c r="CH183" s="70">
        <f>$H183</f>
        <v>39173.613070999862</v>
      </c>
      <c r="CI183" s="70">
        <f>$I183</f>
        <v>44936.420915000766</v>
      </c>
      <c r="CJ183" s="70">
        <f>$J183</f>
        <v>58753.122252998626</v>
      </c>
      <c r="CK183" s="70">
        <f>$K183</f>
        <v>50780.817588000282</v>
      </c>
      <c r="CL183" s="70">
        <f>$L183</f>
        <v>52581.605446000307</v>
      </c>
      <c r="CM183" s="70">
        <f>$M183</f>
        <v>52529.291832000847</v>
      </c>
      <c r="CN183" s="70">
        <f>$N183</f>
        <v>62888.504210999592</v>
      </c>
      <c r="CO183" s="70">
        <f>$O183</f>
        <v>76989.793050999695</v>
      </c>
      <c r="CP183" s="70">
        <f>$P183</f>
        <v>109396.42000099964</v>
      </c>
      <c r="CQ183" s="70">
        <f>$Q183</f>
        <v>91814.128135000065</v>
      </c>
      <c r="CR183" s="70">
        <f>$R183</f>
        <v>126316.75577795831</v>
      </c>
      <c r="CS183" s="70">
        <f>$S183</f>
        <v>144175.62309500008</v>
      </c>
      <c r="CT183" s="70">
        <f>$T183</f>
        <v>111321.59396310011</v>
      </c>
      <c r="CU183" s="70">
        <f>$U183</f>
        <v>130361.28546456399</v>
      </c>
      <c r="CV183" s="70">
        <f>$V183</f>
        <v>130361.28546456399</v>
      </c>
      <c r="CW183" s="182">
        <f>CV183/CR183-1</f>
        <v>3.201894841025843E-2</v>
      </c>
      <c r="CX183" s="132"/>
      <c r="CY183" s="70">
        <f>$E183</f>
        <v>0</v>
      </c>
      <c r="CZ183" s="70">
        <f>$F183</f>
        <v>39415.39287500002</v>
      </c>
      <c r="DA183" s="70">
        <f>$G183</f>
        <v>40858.684493999943</v>
      </c>
      <c r="DB183" s="70">
        <f>$H183</f>
        <v>39173.613070999862</v>
      </c>
      <c r="DC183" s="70">
        <f>$I183</f>
        <v>44936.420915000766</v>
      </c>
      <c r="DD183" s="70">
        <f>$J183</f>
        <v>58753.122252998626</v>
      </c>
      <c r="DE183" s="70">
        <f>$K183</f>
        <v>50780.817588000282</v>
      </c>
      <c r="DF183" s="70">
        <f>$L183</f>
        <v>52581.605446000307</v>
      </c>
      <c r="DG183" s="70">
        <f>$M183</f>
        <v>52529.291832000847</v>
      </c>
      <c r="DH183" s="70">
        <f>$N183</f>
        <v>62888.504210999592</v>
      </c>
      <c r="DI183" s="70">
        <f>$O183</f>
        <v>76989.793050999695</v>
      </c>
      <c r="DJ183" s="70">
        <f>$P183</f>
        <v>109396.42000099964</v>
      </c>
      <c r="DK183" s="70">
        <f>$Q183</f>
        <v>91814.128135000065</v>
      </c>
      <c r="DL183" s="70">
        <f>$R183</f>
        <v>126316.75577795831</v>
      </c>
      <c r="DM183" s="70">
        <f>$S183</f>
        <v>144175.62309500008</v>
      </c>
      <c r="DN183" s="70">
        <f>$T183</f>
        <v>111321.59396310011</v>
      </c>
      <c r="DO183" s="70">
        <f>$U183</f>
        <v>130361.28546456399</v>
      </c>
      <c r="DP183" s="70">
        <f>$V183</f>
        <v>130361.28546456399</v>
      </c>
    </row>
    <row r="184" spans="2:120" x14ac:dyDescent="0.3">
      <c r="C184" s="36" t="s">
        <v>134</v>
      </c>
      <c r="E184" s="69"/>
      <c r="F184" s="69">
        <v>13781</v>
      </c>
      <c r="G184" s="69">
        <v>14701</v>
      </c>
      <c r="H184" s="69">
        <v>13833</v>
      </c>
      <c r="I184" s="69">
        <v>17580</v>
      </c>
      <c r="J184" s="69">
        <v>17029</v>
      </c>
      <c r="K184" s="69">
        <v>14922</v>
      </c>
      <c r="L184" s="69">
        <v>13630</v>
      </c>
      <c r="M184" s="69">
        <v>17802</v>
      </c>
      <c r="N184" s="69">
        <v>18204</v>
      </c>
      <c r="O184" s="69">
        <v>18617</v>
      </c>
      <c r="P184" s="98">
        <v>16253</v>
      </c>
      <c r="Q184" s="98">
        <v>9573</v>
      </c>
      <c r="R184" s="98">
        <v>32348</v>
      </c>
      <c r="S184" s="98">
        <v>15507</v>
      </c>
      <c r="T184" s="98">
        <v>12306</v>
      </c>
      <c r="U184" s="98">
        <v>20294</v>
      </c>
      <c r="V184" s="98">
        <v>20294</v>
      </c>
      <c r="W184" s="182">
        <f t="shared" si="406"/>
        <v>-0.37263509335971312</v>
      </c>
      <c r="Y184" s="70">
        <f>$E184</f>
        <v>0</v>
      </c>
      <c r="Z184" s="70">
        <f>$F184</f>
        <v>13781</v>
      </c>
      <c r="AA184" s="70">
        <f>$G184</f>
        <v>14701</v>
      </c>
      <c r="AB184" s="70">
        <f>$H184</f>
        <v>13833</v>
      </c>
      <c r="AC184" s="70">
        <f>$I184</f>
        <v>17580</v>
      </c>
      <c r="AD184" s="70">
        <f>$J184</f>
        <v>17029</v>
      </c>
      <c r="AE184" s="70">
        <f>$K184</f>
        <v>14922</v>
      </c>
      <c r="AF184" s="70">
        <f>$L184</f>
        <v>13630</v>
      </c>
      <c r="AG184" s="70">
        <f>$M184</f>
        <v>17802</v>
      </c>
      <c r="AH184" s="70">
        <f>$N184</f>
        <v>18204</v>
      </c>
      <c r="AI184" s="70">
        <f>$O184</f>
        <v>18617</v>
      </c>
      <c r="AJ184" s="70">
        <f>$P184</f>
        <v>16253</v>
      </c>
      <c r="AK184" s="70">
        <f>$Q184</f>
        <v>9573</v>
      </c>
      <c r="AL184" s="70">
        <f>$R184</f>
        <v>32348</v>
      </c>
      <c r="AM184" s="70">
        <f>$S184</f>
        <v>15507</v>
      </c>
      <c r="AN184" s="70">
        <f>$T184</f>
        <v>12306</v>
      </c>
      <c r="AO184" s="70">
        <f>$U184</f>
        <v>20294</v>
      </c>
      <c r="AP184" s="70">
        <f>$V184</f>
        <v>20294</v>
      </c>
      <c r="AQ184" s="182">
        <f>AP184/AL184-1</f>
        <v>-0.37263509335971312</v>
      </c>
      <c r="AS184" s="70">
        <f>$E184</f>
        <v>0</v>
      </c>
      <c r="AT184" s="70">
        <f>$F184</f>
        <v>13781</v>
      </c>
      <c r="AU184" s="70">
        <f>$G184</f>
        <v>14701</v>
      </c>
      <c r="AV184" s="70">
        <f>$H184</f>
        <v>13833</v>
      </c>
      <c r="AW184" s="70">
        <f>$I184</f>
        <v>17580</v>
      </c>
      <c r="AX184" s="70">
        <f>$J184</f>
        <v>17029</v>
      </c>
      <c r="AY184" s="70">
        <f>$K184</f>
        <v>14922</v>
      </c>
      <c r="AZ184" s="70">
        <f>$L184</f>
        <v>13630</v>
      </c>
      <c r="BA184" s="70">
        <f>$M184</f>
        <v>17802</v>
      </c>
      <c r="BB184" s="70">
        <f>$N184</f>
        <v>18204</v>
      </c>
      <c r="BC184" s="70">
        <f>$O184</f>
        <v>18617</v>
      </c>
      <c r="BD184" s="70">
        <f>$P184</f>
        <v>16253</v>
      </c>
      <c r="BE184" s="70">
        <f>$Q184</f>
        <v>9573</v>
      </c>
      <c r="BF184" s="70">
        <f>$R184</f>
        <v>32348</v>
      </c>
      <c r="BG184" s="70">
        <f>$S184</f>
        <v>15507</v>
      </c>
      <c r="BH184" s="70">
        <f>$T184</f>
        <v>12306</v>
      </c>
      <c r="BI184" s="70">
        <f>$U184</f>
        <v>20294</v>
      </c>
      <c r="BJ184" s="70">
        <f>$V184</f>
        <v>20294</v>
      </c>
      <c r="BL184" s="70">
        <f>$E184</f>
        <v>0</v>
      </c>
      <c r="BM184" s="70">
        <f>$F184</f>
        <v>13781</v>
      </c>
      <c r="BN184" s="70">
        <f>$G184</f>
        <v>14701</v>
      </c>
      <c r="BO184" s="70">
        <f>$H184</f>
        <v>13833</v>
      </c>
      <c r="BP184" s="70">
        <f>$I184</f>
        <v>17580</v>
      </c>
      <c r="BQ184" s="70">
        <f>$J184</f>
        <v>17029</v>
      </c>
      <c r="BR184" s="70">
        <f>$K184</f>
        <v>14922</v>
      </c>
      <c r="BS184" s="70">
        <f>$L184</f>
        <v>13630</v>
      </c>
      <c r="BT184" s="70">
        <f>$M184</f>
        <v>17802</v>
      </c>
      <c r="BU184" s="70">
        <f>$N184</f>
        <v>18204</v>
      </c>
      <c r="BV184" s="70">
        <f>$O184</f>
        <v>18617</v>
      </c>
      <c r="BW184" s="70">
        <f>$P184</f>
        <v>16253</v>
      </c>
      <c r="BX184" s="70">
        <f>$Q184</f>
        <v>9573</v>
      </c>
      <c r="BY184" s="70">
        <f>$R184</f>
        <v>32348</v>
      </c>
      <c r="BZ184" s="70">
        <f>$S184</f>
        <v>15507</v>
      </c>
      <c r="CA184" s="70">
        <f>$T184</f>
        <v>12306</v>
      </c>
      <c r="CB184" s="70">
        <f>$U184</f>
        <v>20294</v>
      </c>
      <c r="CC184" s="70">
        <f>$V184</f>
        <v>20294</v>
      </c>
      <c r="CE184" s="70">
        <f>$E184</f>
        <v>0</v>
      </c>
      <c r="CF184" s="70">
        <f>$F184</f>
        <v>13781</v>
      </c>
      <c r="CG184" s="70">
        <f>$G184</f>
        <v>14701</v>
      </c>
      <c r="CH184" s="70">
        <f>$H184</f>
        <v>13833</v>
      </c>
      <c r="CI184" s="70">
        <f>$I184</f>
        <v>17580</v>
      </c>
      <c r="CJ184" s="70">
        <f>$J184</f>
        <v>17029</v>
      </c>
      <c r="CK184" s="70">
        <f>$K184</f>
        <v>14922</v>
      </c>
      <c r="CL184" s="70">
        <f>$L184</f>
        <v>13630</v>
      </c>
      <c r="CM184" s="70">
        <f>$M184</f>
        <v>17802</v>
      </c>
      <c r="CN184" s="70">
        <f>$N184</f>
        <v>18204</v>
      </c>
      <c r="CO184" s="70">
        <f>$O184</f>
        <v>18617</v>
      </c>
      <c r="CP184" s="70">
        <f>$P184</f>
        <v>16253</v>
      </c>
      <c r="CQ184" s="70">
        <f>$Q184</f>
        <v>9573</v>
      </c>
      <c r="CR184" s="70">
        <f>$R184</f>
        <v>32348</v>
      </c>
      <c r="CS184" s="70">
        <f>$S184</f>
        <v>15507</v>
      </c>
      <c r="CT184" s="70">
        <f>$T184</f>
        <v>12306</v>
      </c>
      <c r="CU184" s="70">
        <f>$U184</f>
        <v>20294</v>
      </c>
      <c r="CV184" s="70">
        <f>$V184</f>
        <v>20294</v>
      </c>
      <c r="CW184" s="182">
        <f>CV184/CR184-1</f>
        <v>-0.37263509335971312</v>
      </c>
      <c r="CY184" s="70">
        <f>$E184</f>
        <v>0</v>
      </c>
      <c r="CZ184" s="70">
        <f>$F184</f>
        <v>13781</v>
      </c>
      <c r="DA184" s="70">
        <f>$G184</f>
        <v>14701</v>
      </c>
      <c r="DB184" s="70">
        <f>$H184</f>
        <v>13833</v>
      </c>
      <c r="DC184" s="70">
        <f>$I184</f>
        <v>17580</v>
      </c>
      <c r="DD184" s="70">
        <f>$J184</f>
        <v>17029</v>
      </c>
      <c r="DE184" s="70">
        <f>$K184</f>
        <v>14922</v>
      </c>
      <c r="DF184" s="70">
        <f>$L184</f>
        <v>13630</v>
      </c>
      <c r="DG184" s="70">
        <f>$M184</f>
        <v>17802</v>
      </c>
      <c r="DH184" s="70">
        <f>$N184</f>
        <v>18204</v>
      </c>
      <c r="DI184" s="70">
        <f>$O184</f>
        <v>18617</v>
      </c>
      <c r="DJ184" s="70">
        <f>$P184</f>
        <v>16253</v>
      </c>
      <c r="DK184" s="70">
        <f>$Q184</f>
        <v>9573</v>
      </c>
      <c r="DL184" s="70">
        <f>$R184</f>
        <v>32348</v>
      </c>
      <c r="DM184" s="70">
        <f>$S184</f>
        <v>15507</v>
      </c>
      <c r="DN184" s="70">
        <f>$T184</f>
        <v>12306</v>
      </c>
      <c r="DO184" s="70">
        <f>$U184</f>
        <v>20294</v>
      </c>
      <c r="DP184" s="70">
        <f>$V184</f>
        <v>20294</v>
      </c>
    </row>
    <row r="185" spans="2:120" x14ac:dyDescent="0.3">
      <c r="C185" s="65"/>
      <c r="D185" s="77"/>
      <c r="E185" s="45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53"/>
      <c r="T185" s="53"/>
      <c r="U185" s="53"/>
      <c r="V185" s="53"/>
      <c r="W185" s="131"/>
      <c r="Y185" s="45"/>
      <c r="Z185" s="62"/>
      <c r="AA185" s="62"/>
      <c r="AB185" s="62"/>
      <c r="AC185" s="62"/>
      <c r="AD185" s="62"/>
      <c r="AE185" s="62"/>
      <c r="AF185" s="62"/>
      <c r="AG185" s="62"/>
      <c r="AH185" s="62"/>
      <c r="AI185" s="62"/>
      <c r="AJ185" s="62"/>
      <c r="AK185" s="62"/>
      <c r="AL185" s="62"/>
      <c r="AM185" s="62"/>
      <c r="AN185" s="62"/>
      <c r="AO185" s="62"/>
      <c r="AP185" s="62"/>
      <c r="AQ185" s="131"/>
      <c r="AS185" s="45"/>
      <c r="AT185" s="62"/>
      <c r="AU185" s="62"/>
      <c r="AV185" s="62"/>
      <c r="AW185" s="62"/>
      <c r="AX185" s="62"/>
      <c r="AY185" s="62"/>
      <c r="AZ185" s="62"/>
      <c r="BA185" s="62"/>
      <c r="BB185" s="62"/>
      <c r="BC185" s="62"/>
      <c r="BD185" s="62"/>
      <c r="BE185" s="62"/>
      <c r="BF185" s="62"/>
      <c r="BG185" s="62"/>
      <c r="BH185" s="62"/>
      <c r="BI185" s="62"/>
      <c r="BJ185" s="62"/>
      <c r="BL185" s="45"/>
      <c r="BM185" s="62"/>
      <c r="BN185" s="62"/>
      <c r="BO185" s="62"/>
      <c r="BP185" s="62"/>
      <c r="BQ185" s="62"/>
      <c r="BR185" s="62"/>
      <c r="BS185" s="62"/>
      <c r="BT185" s="62"/>
      <c r="BU185" s="62"/>
      <c r="BV185" s="62"/>
      <c r="BW185" s="62"/>
      <c r="BX185" s="62"/>
      <c r="BY185" s="62"/>
      <c r="BZ185" s="62"/>
      <c r="CA185" s="62"/>
      <c r="CB185" s="62"/>
      <c r="CC185" s="62"/>
      <c r="CE185" s="45"/>
      <c r="CF185" s="62"/>
      <c r="CG185" s="62"/>
      <c r="CH185" s="62"/>
      <c r="CI185" s="62"/>
      <c r="CJ185" s="62"/>
      <c r="CK185" s="62"/>
      <c r="CL185" s="62"/>
      <c r="CM185" s="62"/>
      <c r="CN185" s="62"/>
      <c r="CO185" s="62"/>
      <c r="CP185" s="62"/>
      <c r="CQ185" s="62"/>
      <c r="CR185" s="62"/>
      <c r="CS185" s="62"/>
      <c r="CT185" s="62"/>
      <c r="CU185" s="62"/>
      <c r="CV185" s="62"/>
      <c r="CW185" s="131"/>
      <c r="CY185" s="45"/>
      <c r="CZ185" s="62"/>
      <c r="DA185" s="62"/>
      <c r="DB185" s="62"/>
      <c r="DC185" s="62"/>
      <c r="DD185" s="62"/>
      <c r="DE185" s="62"/>
      <c r="DF185" s="62"/>
      <c r="DG185" s="62"/>
      <c r="DH185" s="62"/>
      <c r="DI185" s="62"/>
      <c r="DJ185" s="62"/>
      <c r="DK185" s="62"/>
      <c r="DL185" s="62"/>
      <c r="DM185" s="62"/>
      <c r="DN185" s="62"/>
      <c r="DO185" s="62"/>
      <c r="DP185" s="62"/>
    </row>
    <row r="186" spans="2:120" s="82" customFormat="1" x14ac:dyDescent="0.3">
      <c r="B186" s="81"/>
      <c r="C186" s="30" t="s">
        <v>96</v>
      </c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185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185"/>
      <c r="AS186" s="30"/>
      <c r="AT186" s="30"/>
      <c r="AU186" s="30"/>
      <c r="AV186" s="30"/>
      <c r="AW186" s="30"/>
      <c r="AX186" s="30"/>
      <c r="AY186" s="30"/>
      <c r="AZ186" s="30"/>
      <c r="BA186" s="30"/>
      <c r="BB186" s="30"/>
      <c r="BC186" s="30"/>
      <c r="BD186" s="30"/>
      <c r="BE186" s="30"/>
      <c r="BF186" s="30"/>
      <c r="BG186" s="30"/>
      <c r="BH186" s="30"/>
      <c r="BI186" s="30"/>
      <c r="BJ186" s="30"/>
      <c r="BL186" s="30"/>
      <c r="BM186" s="30"/>
      <c r="BN186" s="30"/>
      <c r="BO186" s="30"/>
      <c r="BP186" s="30"/>
      <c r="BQ186" s="30"/>
      <c r="BR186" s="30"/>
      <c r="BS186" s="30"/>
      <c r="BT186" s="30"/>
      <c r="BU186" s="30"/>
      <c r="BV186" s="30"/>
      <c r="BW186" s="30"/>
      <c r="BX186" s="30"/>
      <c r="BY186" s="30"/>
      <c r="BZ186" s="30"/>
      <c r="CA186" s="30"/>
      <c r="CB186" s="30"/>
      <c r="CC186" s="30"/>
      <c r="CE186" s="30"/>
      <c r="CF186" s="30"/>
      <c r="CG186" s="30"/>
      <c r="CH186" s="30"/>
      <c r="CI186" s="30"/>
      <c r="CJ186" s="30"/>
      <c r="CK186" s="30"/>
      <c r="CL186" s="30"/>
      <c r="CM186" s="30"/>
      <c r="CN186" s="30"/>
      <c r="CO186" s="30"/>
      <c r="CP186" s="30"/>
      <c r="CQ186" s="30"/>
      <c r="CR186" s="30"/>
      <c r="CS186" s="30"/>
      <c r="CT186" s="30"/>
      <c r="CU186" s="30"/>
      <c r="CV186" s="30"/>
      <c r="CW186" s="185"/>
      <c r="CY186" s="30"/>
      <c r="CZ186" s="30"/>
      <c r="DA186" s="30"/>
      <c r="DB186" s="30"/>
      <c r="DC186" s="30"/>
      <c r="DD186" s="30"/>
      <c r="DE186" s="30"/>
      <c r="DF186" s="30"/>
      <c r="DG186" s="30"/>
      <c r="DH186" s="30"/>
      <c r="DI186" s="30"/>
      <c r="DJ186" s="30"/>
      <c r="DK186" s="30"/>
      <c r="DL186" s="30"/>
      <c r="DM186" s="30"/>
      <c r="DN186" s="30"/>
      <c r="DO186" s="30"/>
      <c r="DP186" s="30"/>
    </row>
    <row r="187" spans="2:120" x14ac:dyDescent="0.3">
      <c r="C187" s="36" t="s">
        <v>15</v>
      </c>
      <c r="E187" s="42"/>
      <c r="F187" s="42">
        <f t="shared" ref="F187:V187" si="581">F21</f>
        <v>50649.32892</v>
      </c>
      <c r="G187" s="42">
        <f t="shared" si="581"/>
        <v>22042.510999999999</v>
      </c>
      <c r="H187" s="42">
        <f t="shared" si="581"/>
        <v>32980.674950000001</v>
      </c>
      <c r="I187" s="42">
        <f t="shared" si="581"/>
        <v>40762.183720000015</v>
      </c>
      <c r="J187" s="42">
        <f t="shared" si="581"/>
        <v>36739.848539999984</v>
      </c>
      <c r="K187" s="42">
        <f t="shared" si="581"/>
        <v>64970.661080000005</v>
      </c>
      <c r="L187" s="42">
        <f t="shared" si="581"/>
        <v>39915.016370000019</v>
      </c>
      <c r="M187" s="42">
        <f t="shared" si="581"/>
        <v>59039.722539999981</v>
      </c>
      <c r="N187" s="42">
        <f t="shared" si="581"/>
        <v>84521.637369999997</v>
      </c>
      <c r="O187" s="42">
        <f t="shared" si="581"/>
        <v>89371.244319999998</v>
      </c>
      <c r="P187" s="42">
        <f t="shared" si="581"/>
        <v>87653.561400000021</v>
      </c>
      <c r="Q187" s="42">
        <f t="shared" si="581"/>
        <v>73608.378759999992</v>
      </c>
      <c r="R187" s="42">
        <f t="shared" si="581"/>
        <v>76495.884099999967</v>
      </c>
      <c r="S187" s="42">
        <f t="shared" si="581"/>
        <v>42512.39360000001</v>
      </c>
      <c r="T187" s="42">
        <f t="shared" si="581"/>
        <v>50209.773939999963</v>
      </c>
      <c r="U187" s="42">
        <f t="shared" si="581"/>
        <v>59099.672640000055</v>
      </c>
      <c r="V187" s="42">
        <f t="shared" si="581"/>
        <v>66832.839473308137</v>
      </c>
      <c r="Y187" s="42">
        <f t="shared" ref="Y187:AP187" si="582">Y21</f>
        <v>0</v>
      </c>
      <c r="Z187" s="42">
        <f t="shared" si="582"/>
        <v>50649.32892</v>
      </c>
      <c r="AA187" s="42">
        <f t="shared" si="582"/>
        <v>22042.510999999999</v>
      </c>
      <c r="AB187" s="42">
        <f t="shared" si="582"/>
        <v>32980.674950000001</v>
      </c>
      <c r="AC187" s="42">
        <f t="shared" si="582"/>
        <v>40762.183720000015</v>
      </c>
      <c r="AD187" s="42">
        <f t="shared" si="582"/>
        <v>36732.655779999986</v>
      </c>
      <c r="AE187" s="42">
        <f t="shared" si="582"/>
        <v>61545.212540000008</v>
      </c>
      <c r="AF187" s="42">
        <f t="shared" si="582"/>
        <v>36552.704920000018</v>
      </c>
      <c r="AG187" s="42">
        <f t="shared" si="582"/>
        <v>55403.584349999976</v>
      </c>
      <c r="AH187" s="42">
        <f t="shared" si="582"/>
        <v>80681.69064999999</v>
      </c>
      <c r="AI187" s="42">
        <f t="shared" si="582"/>
        <v>85384.473919999989</v>
      </c>
      <c r="AJ187" s="42">
        <f t="shared" si="582"/>
        <v>83600.391450000025</v>
      </c>
      <c r="AK187" s="42">
        <f t="shared" si="582"/>
        <v>69556.932939999999</v>
      </c>
      <c r="AL187" s="42">
        <f t="shared" si="582"/>
        <v>72223.447099999961</v>
      </c>
      <c r="AM187" s="42">
        <f t="shared" si="582"/>
        <v>38616.692690000003</v>
      </c>
      <c r="AN187" s="42">
        <f t="shared" si="582"/>
        <v>46472.287779999962</v>
      </c>
      <c r="AO187" s="42">
        <f t="shared" si="582"/>
        <v>55282.285010000051</v>
      </c>
      <c r="AP187" s="42">
        <f t="shared" si="582"/>
        <v>63493.249223308143</v>
      </c>
      <c r="AS187" s="42">
        <f t="shared" ref="AS187:BJ187" si="583">AS21</f>
        <v>0</v>
      </c>
      <c r="AT187" s="42">
        <f t="shared" si="583"/>
        <v>0</v>
      </c>
      <c r="AU187" s="42">
        <f t="shared" si="583"/>
        <v>0</v>
      </c>
      <c r="AV187" s="42">
        <f t="shared" si="583"/>
        <v>0</v>
      </c>
      <c r="AW187" s="42">
        <f t="shared" si="583"/>
        <v>0</v>
      </c>
      <c r="AX187" s="42">
        <f t="shared" si="583"/>
        <v>0</v>
      </c>
      <c r="AY187" s="42">
        <f t="shared" si="583"/>
        <v>0</v>
      </c>
      <c r="AZ187" s="42">
        <f t="shared" si="583"/>
        <v>0</v>
      </c>
      <c r="BA187" s="42">
        <f t="shared" si="583"/>
        <v>0</v>
      </c>
      <c r="BB187" s="42">
        <f t="shared" si="583"/>
        <v>0</v>
      </c>
      <c r="BC187" s="42">
        <f t="shared" si="583"/>
        <v>0</v>
      </c>
      <c r="BD187" s="42">
        <f t="shared" si="583"/>
        <v>0</v>
      </c>
      <c r="BE187" s="42">
        <f t="shared" si="583"/>
        <v>0</v>
      </c>
      <c r="BF187" s="42">
        <f t="shared" si="583"/>
        <v>0</v>
      </c>
      <c r="BG187" s="42">
        <f t="shared" si="583"/>
        <v>0</v>
      </c>
      <c r="BH187" s="42">
        <f t="shared" si="583"/>
        <v>0</v>
      </c>
      <c r="BI187" s="42">
        <f t="shared" si="583"/>
        <v>0</v>
      </c>
      <c r="BJ187" s="42">
        <f t="shared" si="583"/>
        <v>0</v>
      </c>
      <c r="BL187" s="42">
        <f t="shared" ref="BL187:CC187" si="584">BL21</f>
        <v>0</v>
      </c>
      <c r="BM187" s="42">
        <f t="shared" si="584"/>
        <v>0</v>
      </c>
      <c r="BN187" s="42">
        <f t="shared" si="584"/>
        <v>0</v>
      </c>
      <c r="BO187" s="42">
        <f t="shared" si="584"/>
        <v>0</v>
      </c>
      <c r="BP187" s="42">
        <f t="shared" si="584"/>
        <v>0</v>
      </c>
      <c r="BQ187" s="42">
        <f t="shared" si="584"/>
        <v>0</v>
      </c>
      <c r="BR187" s="42">
        <f t="shared" si="584"/>
        <v>0</v>
      </c>
      <c r="BS187" s="42">
        <f t="shared" si="584"/>
        <v>0</v>
      </c>
      <c r="BT187" s="42">
        <f t="shared" si="584"/>
        <v>0</v>
      </c>
      <c r="BU187" s="42">
        <f t="shared" si="584"/>
        <v>0</v>
      </c>
      <c r="BV187" s="42">
        <f t="shared" si="584"/>
        <v>0</v>
      </c>
      <c r="BW187" s="42">
        <f t="shared" si="584"/>
        <v>0</v>
      </c>
      <c r="BX187" s="42">
        <f t="shared" si="584"/>
        <v>0</v>
      </c>
      <c r="BY187" s="42">
        <f t="shared" si="584"/>
        <v>0</v>
      </c>
      <c r="BZ187" s="42">
        <f t="shared" si="584"/>
        <v>0</v>
      </c>
      <c r="CA187" s="42">
        <f t="shared" si="584"/>
        <v>0</v>
      </c>
      <c r="CB187" s="42">
        <f t="shared" si="584"/>
        <v>0</v>
      </c>
      <c r="CC187" s="42">
        <f t="shared" si="584"/>
        <v>0</v>
      </c>
      <c r="CE187" s="42">
        <f t="shared" ref="CE187:CV187" si="585">CE21</f>
        <v>0</v>
      </c>
      <c r="CF187" s="42">
        <f t="shared" si="585"/>
        <v>0</v>
      </c>
      <c r="CG187" s="42">
        <f t="shared" si="585"/>
        <v>0</v>
      </c>
      <c r="CH187" s="42">
        <f t="shared" si="585"/>
        <v>0</v>
      </c>
      <c r="CI187" s="42">
        <f t="shared" si="585"/>
        <v>0</v>
      </c>
      <c r="CJ187" s="42">
        <f t="shared" si="585"/>
        <v>0</v>
      </c>
      <c r="CK187" s="42">
        <f t="shared" si="585"/>
        <v>0</v>
      </c>
      <c r="CL187" s="42">
        <f t="shared" si="585"/>
        <v>0</v>
      </c>
      <c r="CM187" s="42">
        <f t="shared" si="585"/>
        <v>0</v>
      </c>
      <c r="CN187" s="42">
        <f t="shared" si="585"/>
        <v>0</v>
      </c>
      <c r="CO187" s="42">
        <f t="shared" si="585"/>
        <v>0</v>
      </c>
      <c r="CP187" s="42">
        <f t="shared" si="585"/>
        <v>0</v>
      </c>
      <c r="CQ187" s="42">
        <f t="shared" si="585"/>
        <v>0</v>
      </c>
      <c r="CR187" s="42">
        <f t="shared" si="585"/>
        <v>0</v>
      </c>
      <c r="CS187" s="42">
        <f t="shared" si="585"/>
        <v>0</v>
      </c>
      <c r="CT187" s="42">
        <f t="shared" si="585"/>
        <v>0</v>
      </c>
      <c r="CU187" s="42">
        <f t="shared" si="585"/>
        <v>0</v>
      </c>
      <c r="CV187" s="42">
        <f t="shared" si="585"/>
        <v>0</v>
      </c>
      <c r="CY187" s="42">
        <f t="shared" ref="CY187:DP187" si="586">CY21</f>
        <v>0</v>
      </c>
      <c r="CZ187" s="42">
        <f t="shared" si="586"/>
        <v>0</v>
      </c>
      <c r="DA187" s="42">
        <f t="shared" si="586"/>
        <v>0</v>
      </c>
      <c r="DB187" s="42">
        <f t="shared" si="586"/>
        <v>0</v>
      </c>
      <c r="DC187" s="42">
        <f t="shared" si="586"/>
        <v>0</v>
      </c>
      <c r="DD187" s="42">
        <f t="shared" si="586"/>
        <v>7.1927599999999998</v>
      </c>
      <c r="DE187" s="42">
        <f t="shared" si="586"/>
        <v>3425.4485399999999</v>
      </c>
      <c r="DF187" s="42">
        <f t="shared" si="586"/>
        <v>3362.3114499999992</v>
      </c>
      <c r="DG187" s="42">
        <f t="shared" si="586"/>
        <v>3636.1381900000024</v>
      </c>
      <c r="DH187" s="42">
        <f t="shared" si="586"/>
        <v>3839.9467199999981</v>
      </c>
      <c r="DI187" s="42">
        <f t="shared" si="586"/>
        <v>3986.7704000000003</v>
      </c>
      <c r="DJ187" s="42">
        <f t="shared" si="586"/>
        <v>4053.1699499999991</v>
      </c>
      <c r="DK187" s="42">
        <f t="shared" si="586"/>
        <v>4051.4458200000004</v>
      </c>
      <c r="DL187" s="42">
        <f t="shared" si="586"/>
        <v>4272.4369999999999</v>
      </c>
      <c r="DM187" s="42">
        <f t="shared" si="586"/>
        <v>3895.70091</v>
      </c>
      <c r="DN187" s="42">
        <f t="shared" si="586"/>
        <v>3737.486159999999</v>
      </c>
      <c r="DO187" s="42">
        <f t="shared" si="586"/>
        <v>3817.3876299999997</v>
      </c>
      <c r="DP187" s="42">
        <f t="shared" si="586"/>
        <v>3339.5902500000002</v>
      </c>
    </row>
    <row r="188" spans="2:120" x14ac:dyDescent="0.3">
      <c r="C188" s="36" t="s">
        <v>195</v>
      </c>
      <c r="E188" s="76"/>
      <c r="F188" s="140">
        <v>28780</v>
      </c>
      <c r="G188" s="140">
        <v>0</v>
      </c>
      <c r="H188" s="140">
        <v>6607.5</v>
      </c>
      <c r="I188" s="140">
        <v>12500</v>
      </c>
      <c r="J188" s="140">
        <v>5842.5</v>
      </c>
      <c r="K188" s="140">
        <v>24382.5</v>
      </c>
      <c r="L188" s="140">
        <v>0</v>
      </c>
      <c r="M188" s="140">
        <v>10000</v>
      </c>
      <c r="N188" s="140">
        <v>32280</v>
      </c>
      <c r="O188" s="140">
        <v>25465</v>
      </c>
      <c r="P188" s="140">
        <v>25295</v>
      </c>
      <c r="Q188" s="140">
        <v>14730</v>
      </c>
      <c r="R188" s="140">
        <v>13810</v>
      </c>
      <c r="S188" s="140">
        <v>0</v>
      </c>
      <c r="T188" s="140">
        <v>10364</v>
      </c>
      <c r="U188" s="140">
        <v>0</v>
      </c>
      <c r="V188" s="140">
        <v>12140</v>
      </c>
      <c r="W188" s="198"/>
      <c r="Y188" s="70">
        <f>$E188</f>
        <v>0</v>
      </c>
      <c r="Z188" s="70">
        <f>$F188</f>
        <v>28780</v>
      </c>
      <c r="AA188" s="70">
        <f>$G188</f>
        <v>0</v>
      </c>
      <c r="AB188" s="70">
        <f>$H188</f>
        <v>6607.5</v>
      </c>
      <c r="AC188" s="70">
        <f>$I188</f>
        <v>12500</v>
      </c>
      <c r="AD188" s="70">
        <f>$J188</f>
        <v>5842.5</v>
      </c>
      <c r="AE188" s="70">
        <f>$K188</f>
        <v>24382.5</v>
      </c>
      <c r="AF188" s="140">
        <f>$L188</f>
        <v>0</v>
      </c>
      <c r="AG188" s="140">
        <f>$M188</f>
        <v>10000</v>
      </c>
      <c r="AH188" s="140">
        <f>$N188</f>
        <v>32280</v>
      </c>
      <c r="AI188" s="140">
        <f>$O188</f>
        <v>25465</v>
      </c>
      <c r="AJ188" s="140">
        <f>$P188</f>
        <v>25295</v>
      </c>
      <c r="AK188" s="140">
        <f>$Q188</f>
        <v>14730</v>
      </c>
      <c r="AL188" s="140">
        <f>$R188</f>
        <v>13810</v>
      </c>
      <c r="AM188" s="140">
        <f>$S188</f>
        <v>0</v>
      </c>
      <c r="AN188" s="140">
        <f>$T188</f>
        <v>10364</v>
      </c>
      <c r="AO188" s="140">
        <f>$U188</f>
        <v>0</v>
      </c>
      <c r="AP188" s="140">
        <f>$V188</f>
        <v>12140</v>
      </c>
      <c r="AQ188" s="198"/>
      <c r="AS188" s="70">
        <f>$E188</f>
        <v>0</v>
      </c>
      <c r="AT188" s="70">
        <f>$F188</f>
        <v>28780</v>
      </c>
      <c r="AU188" s="70">
        <f>$G188</f>
        <v>0</v>
      </c>
      <c r="AV188" s="70">
        <f>$H188</f>
        <v>6607.5</v>
      </c>
      <c r="AW188" s="70">
        <f>$I188</f>
        <v>12500</v>
      </c>
      <c r="AX188" s="70">
        <f>$J188</f>
        <v>5842.5</v>
      </c>
      <c r="AY188" s="70">
        <f>$K188</f>
        <v>24382.5</v>
      </c>
      <c r="AZ188" s="140">
        <f>$L188</f>
        <v>0</v>
      </c>
      <c r="BA188" s="140">
        <f>$M188</f>
        <v>10000</v>
      </c>
      <c r="BB188" s="140">
        <f>$N188</f>
        <v>32280</v>
      </c>
      <c r="BC188" s="140">
        <f>$O188</f>
        <v>25465</v>
      </c>
      <c r="BD188" s="140">
        <f>$P188</f>
        <v>25295</v>
      </c>
      <c r="BE188" s="140">
        <f>$Q188</f>
        <v>14730</v>
      </c>
      <c r="BF188" s="140">
        <f>$R188</f>
        <v>13810</v>
      </c>
      <c r="BG188" s="140">
        <f>$S188</f>
        <v>0</v>
      </c>
      <c r="BH188" s="140">
        <f>$T188</f>
        <v>10364</v>
      </c>
      <c r="BI188" s="140">
        <f>$U188</f>
        <v>0</v>
      </c>
      <c r="BJ188" s="140">
        <f>$V188</f>
        <v>12140</v>
      </c>
      <c r="BL188" s="70">
        <f>$E188</f>
        <v>0</v>
      </c>
      <c r="BM188" s="70">
        <f>$F188</f>
        <v>28780</v>
      </c>
      <c r="BN188" s="70">
        <f>$G188</f>
        <v>0</v>
      </c>
      <c r="BO188" s="70">
        <f>$H188</f>
        <v>6607.5</v>
      </c>
      <c r="BP188" s="70">
        <f>$I188</f>
        <v>12500</v>
      </c>
      <c r="BQ188" s="70">
        <f>$J188</f>
        <v>5842.5</v>
      </c>
      <c r="BR188" s="70">
        <f>$K188</f>
        <v>24382.5</v>
      </c>
      <c r="BS188" s="140">
        <f>$L188</f>
        <v>0</v>
      </c>
      <c r="BT188" s="140">
        <f>$M188</f>
        <v>10000</v>
      </c>
      <c r="BU188" s="140">
        <f>$N188</f>
        <v>32280</v>
      </c>
      <c r="BV188" s="140">
        <f>$O188</f>
        <v>25465</v>
      </c>
      <c r="BW188" s="140">
        <f>$P188</f>
        <v>25295</v>
      </c>
      <c r="BX188" s="140">
        <f>$Q188</f>
        <v>14730</v>
      </c>
      <c r="BY188" s="140">
        <f>$R188</f>
        <v>13810</v>
      </c>
      <c r="BZ188" s="140">
        <f>$S188</f>
        <v>0</v>
      </c>
      <c r="CA188" s="140">
        <f>$T188</f>
        <v>10364</v>
      </c>
      <c r="CB188" s="140">
        <f>$U188</f>
        <v>0</v>
      </c>
      <c r="CC188" s="140">
        <f>$V188</f>
        <v>12140</v>
      </c>
      <c r="CE188" s="70">
        <f>$E188</f>
        <v>0</v>
      </c>
      <c r="CF188" s="70">
        <f>$F188</f>
        <v>28780</v>
      </c>
      <c r="CG188" s="70">
        <f>$G188</f>
        <v>0</v>
      </c>
      <c r="CH188" s="70">
        <f>$H188</f>
        <v>6607.5</v>
      </c>
      <c r="CI188" s="70">
        <f>$I188</f>
        <v>12500</v>
      </c>
      <c r="CJ188" s="70">
        <f>$J188</f>
        <v>5842.5</v>
      </c>
      <c r="CK188" s="70">
        <f>$K188</f>
        <v>24382.5</v>
      </c>
      <c r="CL188" s="140">
        <f>$L188</f>
        <v>0</v>
      </c>
      <c r="CM188" s="140">
        <f>$M188</f>
        <v>10000</v>
      </c>
      <c r="CN188" s="140">
        <f>$N188</f>
        <v>32280</v>
      </c>
      <c r="CO188" s="140">
        <f>$O188</f>
        <v>25465</v>
      </c>
      <c r="CP188" s="140">
        <f>$P188</f>
        <v>25295</v>
      </c>
      <c r="CQ188" s="140">
        <f>$Q188</f>
        <v>14730</v>
      </c>
      <c r="CR188" s="140">
        <f>$R188</f>
        <v>13810</v>
      </c>
      <c r="CS188" s="140">
        <f>$S188</f>
        <v>0</v>
      </c>
      <c r="CT188" s="140">
        <f>$T188</f>
        <v>10364</v>
      </c>
      <c r="CU188" s="140">
        <f>$U188</f>
        <v>0</v>
      </c>
      <c r="CV188" s="140">
        <f>$V188</f>
        <v>12140</v>
      </c>
      <c r="CW188" s="198"/>
      <c r="CY188" s="70">
        <f>$E188</f>
        <v>0</v>
      </c>
      <c r="CZ188" s="70">
        <f>$F188</f>
        <v>28780</v>
      </c>
      <c r="DA188" s="70">
        <f>$G188</f>
        <v>0</v>
      </c>
      <c r="DB188" s="70">
        <f>$H188</f>
        <v>6607.5</v>
      </c>
      <c r="DC188" s="70">
        <f>$I188</f>
        <v>12500</v>
      </c>
      <c r="DD188" s="70">
        <f>$J188</f>
        <v>5842.5</v>
      </c>
      <c r="DE188" s="70">
        <f>$K188</f>
        <v>24382.5</v>
      </c>
      <c r="DF188" s="140">
        <f>$L188</f>
        <v>0</v>
      </c>
      <c r="DG188" s="140">
        <f>$M188</f>
        <v>10000</v>
      </c>
      <c r="DH188" s="140">
        <f>$N188</f>
        <v>32280</v>
      </c>
      <c r="DI188" s="140">
        <f>$O188</f>
        <v>25465</v>
      </c>
      <c r="DJ188" s="140">
        <f>$P188</f>
        <v>25295</v>
      </c>
      <c r="DK188" s="140">
        <f>$Q188</f>
        <v>14730</v>
      </c>
      <c r="DL188" s="140">
        <f>$R188</f>
        <v>13810</v>
      </c>
      <c r="DM188" s="140">
        <f>$S188</f>
        <v>0</v>
      </c>
      <c r="DN188" s="140">
        <f>$T188</f>
        <v>10364</v>
      </c>
      <c r="DO188" s="140">
        <f>$U188</f>
        <v>0</v>
      </c>
      <c r="DP188" s="140">
        <f>$V188</f>
        <v>12140</v>
      </c>
    </row>
    <row r="189" spans="2:120" x14ac:dyDescent="0.3">
      <c r="C189" s="56" t="s">
        <v>196</v>
      </c>
      <c r="E189" s="57">
        <f>E187-E188</f>
        <v>0</v>
      </c>
      <c r="F189" s="57">
        <f t="shared" ref="F189:L189" si="587">F187-F188</f>
        <v>21869.32892</v>
      </c>
      <c r="G189" s="57">
        <f t="shared" si="587"/>
        <v>22042.510999999999</v>
      </c>
      <c r="H189" s="57">
        <f t="shared" si="587"/>
        <v>26373.174950000001</v>
      </c>
      <c r="I189" s="57">
        <f>I187-I188</f>
        <v>28262.183720000015</v>
      </c>
      <c r="J189" s="57">
        <f t="shared" si="587"/>
        <v>30897.348539999984</v>
      </c>
      <c r="K189" s="57">
        <f t="shared" si="587"/>
        <v>40588.161080000005</v>
      </c>
      <c r="L189" s="57">
        <f t="shared" si="587"/>
        <v>39915.016370000019</v>
      </c>
      <c r="M189" s="57">
        <f t="shared" ref="M189:V189" si="588">M187-M188</f>
        <v>49039.722539999981</v>
      </c>
      <c r="N189" s="57">
        <f t="shared" si="588"/>
        <v>52241.637369999997</v>
      </c>
      <c r="O189" s="57">
        <f t="shared" si="588"/>
        <v>63906.244319999998</v>
      </c>
      <c r="P189" s="57">
        <f t="shared" si="588"/>
        <v>62358.561400000021</v>
      </c>
      <c r="Q189" s="57">
        <f t="shared" si="588"/>
        <v>58878.378759999992</v>
      </c>
      <c r="R189" s="57">
        <f t="shared" si="588"/>
        <v>62685.884099999967</v>
      </c>
      <c r="S189" s="57">
        <f t="shared" si="588"/>
        <v>42512.39360000001</v>
      </c>
      <c r="T189" s="57">
        <f t="shared" si="588"/>
        <v>39845.773939999963</v>
      </c>
      <c r="U189" s="57">
        <f t="shared" si="588"/>
        <v>59099.672640000055</v>
      </c>
      <c r="V189" s="57">
        <f t="shared" si="588"/>
        <v>54692.839473308137</v>
      </c>
      <c r="W189" s="199"/>
      <c r="Y189" s="57">
        <f t="shared" ref="Y189:AF189" si="589">Y187-Y188</f>
        <v>0</v>
      </c>
      <c r="Z189" s="57">
        <f t="shared" si="589"/>
        <v>21869.32892</v>
      </c>
      <c r="AA189" s="57">
        <f>AA187-AA188</f>
        <v>22042.510999999999</v>
      </c>
      <c r="AB189" s="57">
        <f>AB187-AB188</f>
        <v>26373.174950000001</v>
      </c>
      <c r="AC189" s="57">
        <f>AC187-AC188</f>
        <v>28262.183720000015</v>
      </c>
      <c r="AD189" s="57">
        <f t="shared" si="589"/>
        <v>30890.155779999986</v>
      </c>
      <c r="AE189" s="57">
        <f t="shared" si="589"/>
        <v>37162.712540000008</v>
      </c>
      <c r="AF189" s="57">
        <f t="shared" si="589"/>
        <v>36552.704920000018</v>
      </c>
      <c r="AG189" s="57">
        <f t="shared" ref="AG189:AP189" si="590">AG187-AG188</f>
        <v>45403.584349999976</v>
      </c>
      <c r="AH189" s="57">
        <f t="shared" si="590"/>
        <v>48401.69064999999</v>
      </c>
      <c r="AI189" s="57">
        <f t="shared" si="590"/>
        <v>59919.473919999989</v>
      </c>
      <c r="AJ189" s="57">
        <f t="shared" si="590"/>
        <v>58305.391450000025</v>
      </c>
      <c r="AK189" s="57">
        <f t="shared" si="590"/>
        <v>54826.932939999999</v>
      </c>
      <c r="AL189" s="57">
        <f t="shared" si="590"/>
        <v>58413.447099999961</v>
      </c>
      <c r="AM189" s="57">
        <f t="shared" si="590"/>
        <v>38616.692690000003</v>
      </c>
      <c r="AN189" s="57">
        <f t="shared" si="590"/>
        <v>36108.287779999962</v>
      </c>
      <c r="AO189" s="57">
        <f t="shared" si="590"/>
        <v>55282.285010000051</v>
      </c>
      <c r="AP189" s="57">
        <f t="shared" si="590"/>
        <v>51353.249223308143</v>
      </c>
      <c r="AQ189" s="199"/>
      <c r="AS189" s="57">
        <f>AS187-AS188</f>
        <v>0</v>
      </c>
      <c r="AT189" s="57">
        <f>AT187-AT188</f>
        <v>-28780</v>
      </c>
      <c r="AU189" s="57">
        <f>AU187-AU188</f>
        <v>0</v>
      </c>
      <c r="AV189" s="57">
        <f>AV187-AV188</f>
        <v>-6607.5</v>
      </c>
      <c r="AW189" s="57">
        <f>AW187-AW188</f>
        <v>-12500</v>
      </c>
      <c r="AX189" s="57">
        <f t="shared" ref="AX189:BJ189" si="591">AX187-AX188</f>
        <v>-5842.5</v>
      </c>
      <c r="AY189" s="57">
        <f t="shared" si="591"/>
        <v>-24382.5</v>
      </c>
      <c r="AZ189" s="57">
        <f t="shared" si="591"/>
        <v>0</v>
      </c>
      <c r="BA189" s="57">
        <f t="shared" si="591"/>
        <v>-10000</v>
      </c>
      <c r="BB189" s="57">
        <f t="shared" si="591"/>
        <v>-32280</v>
      </c>
      <c r="BC189" s="57">
        <f t="shared" si="591"/>
        <v>-25465</v>
      </c>
      <c r="BD189" s="57">
        <f t="shared" si="591"/>
        <v>-25295</v>
      </c>
      <c r="BE189" s="57">
        <f t="shared" si="591"/>
        <v>-14730</v>
      </c>
      <c r="BF189" s="57">
        <f t="shared" si="591"/>
        <v>-13810</v>
      </c>
      <c r="BG189" s="57">
        <f t="shared" si="591"/>
        <v>0</v>
      </c>
      <c r="BH189" s="57">
        <f t="shared" si="591"/>
        <v>-10364</v>
      </c>
      <c r="BI189" s="57">
        <f t="shared" si="591"/>
        <v>0</v>
      </c>
      <c r="BJ189" s="57">
        <f t="shared" si="591"/>
        <v>-12140</v>
      </c>
      <c r="BL189" s="57">
        <f>BL187-BL188</f>
        <v>0</v>
      </c>
      <c r="BM189" s="57">
        <f>BM187-BM188</f>
        <v>-28780</v>
      </c>
      <c r="BN189" s="57">
        <f>BN187-BN188</f>
        <v>0</v>
      </c>
      <c r="BO189" s="57">
        <f>BO187-BO188</f>
        <v>-6607.5</v>
      </c>
      <c r="BP189" s="57">
        <f>BP187-BP188</f>
        <v>-12500</v>
      </c>
      <c r="BQ189" s="57">
        <f t="shared" ref="BQ189:CC189" si="592">BQ187-BQ188</f>
        <v>-5842.5</v>
      </c>
      <c r="BR189" s="57">
        <f t="shared" si="592"/>
        <v>-24382.5</v>
      </c>
      <c r="BS189" s="57">
        <f t="shared" si="592"/>
        <v>0</v>
      </c>
      <c r="BT189" s="57">
        <f t="shared" si="592"/>
        <v>-10000</v>
      </c>
      <c r="BU189" s="57">
        <f t="shared" si="592"/>
        <v>-32280</v>
      </c>
      <c r="BV189" s="57">
        <f t="shared" si="592"/>
        <v>-25465</v>
      </c>
      <c r="BW189" s="57">
        <f t="shared" si="592"/>
        <v>-25295</v>
      </c>
      <c r="BX189" s="57">
        <f t="shared" si="592"/>
        <v>-14730</v>
      </c>
      <c r="BY189" s="57">
        <f t="shared" si="592"/>
        <v>-13810</v>
      </c>
      <c r="BZ189" s="57">
        <f t="shared" si="592"/>
        <v>0</v>
      </c>
      <c r="CA189" s="57">
        <f t="shared" si="592"/>
        <v>-10364</v>
      </c>
      <c r="CB189" s="57">
        <f t="shared" si="592"/>
        <v>0</v>
      </c>
      <c r="CC189" s="57">
        <f t="shared" si="592"/>
        <v>-12140</v>
      </c>
      <c r="CE189" s="57">
        <f>CE187-CE188</f>
        <v>0</v>
      </c>
      <c r="CF189" s="57">
        <f>CF187-CF188</f>
        <v>-28780</v>
      </c>
      <c r="CG189" s="57">
        <f>CG187-CG188</f>
        <v>0</v>
      </c>
      <c r="CH189" s="57">
        <f>CH187-CH188</f>
        <v>-6607.5</v>
      </c>
      <c r="CI189" s="57">
        <f>CI187-CI188</f>
        <v>-12500</v>
      </c>
      <c r="CJ189" s="57">
        <f t="shared" ref="CJ189:CV189" si="593">CJ187-CJ188</f>
        <v>-5842.5</v>
      </c>
      <c r="CK189" s="57">
        <f t="shared" si="593"/>
        <v>-24382.5</v>
      </c>
      <c r="CL189" s="57">
        <f t="shared" si="593"/>
        <v>0</v>
      </c>
      <c r="CM189" s="57">
        <f t="shared" si="593"/>
        <v>-10000</v>
      </c>
      <c r="CN189" s="57">
        <f t="shared" si="593"/>
        <v>-32280</v>
      </c>
      <c r="CO189" s="57">
        <f t="shared" si="593"/>
        <v>-25465</v>
      </c>
      <c r="CP189" s="57">
        <f t="shared" si="593"/>
        <v>-25295</v>
      </c>
      <c r="CQ189" s="57">
        <f t="shared" si="593"/>
        <v>-14730</v>
      </c>
      <c r="CR189" s="57">
        <f t="shared" si="593"/>
        <v>-13810</v>
      </c>
      <c r="CS189" s="57">
        <f t="shared" si="593"/>
        <v>0</v>
      </c>
      <c r="CT189" s="57">
        <f t="shared" si="593"/>
        <v>-10364</v>
      </c>
      <c r="CU189" s="57">
        <f t="shared" si="593"/>
        <v>0</v>
      </c>
      <c r="CV189" s="57">
        <f t="shared" si="593"/>
        <v>-12140</v>
      </c>
      <c r="CW189" s="199"/>
      <c r="CY189" s="57">
        <f>CY187-CY188</f>
        <v>0</v>
      </c>
      <c r="CZ189" s="57">
        <f>CZ187-CZ188</f>
        <v>-28780</v>
      </c>
      <c r="DA189" s="57">
        <f>DA187-DA188</f>
        <v>0</v>
      </c>
      <c r="DB189" s="57">
        <f>DB187-DB188</f>
        <v>-6607.5</v>
      </c>
      <c r="DC189" s="57">
        <f>DC187-DC188</f>
        <v>-12500</v>
      </c>
      <c r="DD189" s="57">
        <f t="shared" ref="DD189:DP189" si="594">DD187-DD188</f>
        <v>-5835.3072400000001</v>
      </c>
      <c r="DE189" s="57">
        <f t="shared" si="594"/>
        <v>-20957.051459999999</v>
      </c>
      <c r="DF189" s="57">
        <f t="shared" si="594"/>
        <v>3362.3114499999992</v>
      </c>
      <c r="DG189" s="57">
        <f t="shared" si="594"/>
        <v>-6363.8618099999976</v>
      </c>
      <c r="DH189" s="57">
        <f t="shared" si="594"/>
        <v>-28440.05328</v>
      </c>
      <c r="DI189" s="57">
        <f t="shared" si="594"/>
        <v>-21478.229599999999</v>
      </c>
      <c r="DJ189" s="57">
        <f t="shared" si="594"/>
        <v>-21241.83005</v>
      </c>
      <c r="DK189" s="57">
        <f t="shared" si="594"/>
        <v>-10678.554179999999</v>
      </c>
      <c r="DL189" s="57">
        <f t="shared" si="594"/>
        <v>-9537.5630000000001</v>
      </c>
      <c r="DM189" s="57">
        <f t="shared" si="594"/>
        <v>3895.70091</v>
      </c>
      <c r="DN189" s="57">
        <f t="shared" si="594"/>
        <v>-6626.5138400000014</v>
      </c>
      <c r="DO189" s="57">
        <f t="shared" si="594"/>
        <v>3817.3876299999997</v>
      </c>
      <c r="DP189" s="57">
        <f t="shared" si="594"/>
        <v>-8800.4097499999989</v>
      </c>
    </row>
    <row r="190" spans="2:120" x14ac:dyDescent="0.3">
      <c r="W190" s="197"/>
      <c r="AQ190" s="197"/>
      <c r="CW190" s="197"/>
    </row>
    <row r="191" spans="2:120" x14ac:dyDescent="0.3">
      <c r="C191" s="36" t="s">
        <v>128</v>
      </c>
      <c r="E191" s="42"/>
      <c r="F191" s="42">
        <f t="shared" ref="F191:V191" si="595">F24</f>
        <v>-20646.310710000002</v>
      </c>
      <c r="G191" s="42">
        <f t="shared" si="595"/>
        <v>-8772.4809999999998</v>
      </c>
      <c r="H191" s="42">
        <f t="shared" si="595"/>
        <v>-10707.675710000001</v>
      </c>
      <c r="I191" s="42">
        <f t="shared" si="595"/>
        <v>-21415.722919999986</v>
      </c>
      <c r="J191" s="42">
        <f t="shared" si="595"/>
        <v>-15753.39117000001</v>
      </c>
      <c r="K191" s="42">
        <f t="shared" si="595"/>
        <v>-21269.197590000007</v>
      </c>
      <c r="L191" s="42">
        <f t="shared" si="595"/>
        <v>-15984.04789999998</v>
      </c>
      <c r="M191" s="42">
        <f t="shared" si="595"/>
        <v>-24351.895760000014</v>
      </c>
      <c r="N191" s="42">
        <f t="shared" si="595"/>
        <v>-21832.332059999986</v>
      </c>
      <c r="O191" s="42">
        <f t="shared" si="595"/>
        <v>-33974.76107</v>
      </c>
      <c r="P191" s="42">
        <f t="shared" si="595"/>
        <v>-35087.467560000012</v>
      </c>
      <c r="Q191" s="42">
        <f t="shared" si="595"/>
        <v>-44548.916939999966</v>
      </c>
      <c r="R191" s="42">
        <f t="shared" si="595"/>
        <v>-49927.79571000002</v>
      </c>
      <c r="S191" s="42">
        <f t="shared" si="595"/>
        <v>-32166.196959999997</v>
      </c>
      <c r="T191" s="42">
        <f t="shared" si="595"/>
        <v>-26666.022469999996</v>
      </c>
      <c r="U191" s="42">
        <f t="shared" si="595"/>
        <v>-25693.452228474573</v>
      </c>
      <c r="V191" s="42">
        <f t="shared" si="595"/>
        <v>-26382.603418002665</v>
      </c>
      <c r="W191" s="197"/>
      <c r="Y191" s="42">
        <f t="shared" ref="Y191:AP191" si="596">Y24</f>
        <v>0</v>
      </c>
      <c r="Z191" s="42">
        <f t="shared" si="596"/>
        <v>-20646.310710000002</v>
      </c>
      <c r="AA191" s="42">
        <f t="shared" si="596"/>
        <v>-8772.4809999999998</v>
      </c>
      <c r="AB191" s="42">
        <f t="shared" si="596"/>
        <v>-10707.675710000001</v>
      </c>
      <c r="AC191" s="42">
        <f t="shared" si="596"/>
        <v>-21415.722919999986</v>
      </c>
      <c r="AD191" s="42">
        <f t="shared" si="596"/>
        <v>-15753.39117000001</v>
      </c>
      <c r="AE191" s="42">
        <f t="shared" si="596"/>
        <v>-21269.197590000007</v>
      </c>
      <c r="AF191" s="42">
        <f t="shared" si="596"/>
        <v>-15984.04789999998</v>
      </c>
      <c r="AG191" s="42">
        <f t="shared" si="596"/>
        <v>-24351.895760000014</v>
      </c>
      <c r="AH191" s="42">
        <f t="shared" si="596"/>
        <v>-21832.332059999986</v>
      </c>
      <c r="AI191" s="42">
        <f t="shared" si="596"/>
        <v>-33974.76107</v>
      </c>
      <c r="AJ191" s="42">
        <f t="shared" si="596"/>
        <v>-35087.467560000012</v>
      </c>
      <c r="AK191" s="42">
        <f t="shared" si="596"/>
        <v>-44548.916939999966</v>
      </c>
      <c r="AL191" s="42">
        <f t="shared" si="596"/>
        <v>-49927.79571000002</v>
      </c>
      <c r="AM191" s="42">
        <f t="shared" si="596"/>
        <v>-32166.196959999997</v>
      </c>
      <c r="AN191" s="42">
        <f t="shared" si="596"/>
        <v>-26666.022469999996</v>
      </c>
      <c r="AO191" s="42">
        <f t="shared" si="596"/>
        <v>-25693.452228474573</v>
      </c>
      <c r="AP191" s="42">
        <f t="shared" si="596"/>
        <v>-26382.603418002665</v>
      </c>
      <c r="AQ191" s="197"/>
      <c r="AS191" s="42">
        <f t="shared" ref="AS191:BJ191" si="597">AS24</f>
        <v>0</v>
      </c>
      <c r="AT191" s="42">
        <f t="shared" si="597"/>
        <v>0</v>
      </c>
      <c r="AU191" s="42">
        <f t="shared" si="597"/>
        <v>0</v>
      </c>
      <c r="AV191" s="42">
        <f t="shared" si="597"/>
        <v>0</v>
      </c>
      <c r="AW191" s="42">
        <f t="shared" si="597"/>
        <v>0</v>
      </c>
      <c r="AX191" s="42">
        <f t="shared" si="597"/>
        <v>0</v>
      </c>
      <c r="AY191" s="42">
        <f t="shared" si="597"/>
        <v>0</v>
      </c>
      <c r="AZ191" s="42">
        <f t="shared" si="597"/>
        <v>0</v>
      </c>
      <c r="BA191" s="42">
        <f t="shared" si="597"/>
        <v>0</v>
      </c>
      <c r="BB191" s="42">
        <f t="shared" si="597"/>
        <v>0</v>
      </c>
      <c r="BC191" s="42">
        <f t="shared" si="597"/>
        <v>0</v>
      </c>
      <c r="BD191" s="42">
        <f t="shared" si="597"/>
        <v>0</v>
      </c>
      <c r="BE191" s="42">
        <f t="shared" si="597"/>
        <v>0</v>
      </c>
      <c r="BF191" s="42">
        <f t="shared" si="597"/>
        <v>0</v>
      </c>
      <c r="BG191" s="42">
        <f t="shared" si="597"/>
        <v>0</v>
      </c>
      <c r="BH191" s="42">
        <f t="shared" si="597"/>
        <v>0</v>
      </c>
      <c r="BI191" s="42">
        <f t="shared" si="597"/>
        <v>0</v>
      </c>
      <c r="BJ191" s="42">
        <f t="shared" si="597"/>
        <v>0</v>
      </c>
      <c r="BL191" s="42">
        <f t="shared" ref="BL191:CC191" si="598">BL24</f>
        <v>0</v>
      </c>
      <c r="BM191" s="42">
        <f t="shared" si="598"/>
        <v>0</v>
      </c>
      <c r="BN191" s="42">
        <f t="shared" si="598"/>
        <v>0</v>
      </c>
      <c r="BO191" s="42">
        <f t="shared" si="598"/>
        <v>0</v>
      </c>
      <c r="BP191" s="42">
        <f t="shared" si="598"/>
        <v>0</v>
      </c>
      <c r="BQ191" s="42">
        <f t="shared" si="598"/>
        <v>0</v>
      </c>
      <c r="BR191" s="42">
        <f t="shared" si="598"/>
        <v>0</v>
      </c>
      <c r="BS191" s="42">
        <f t="shared" si="598"/>
        <v>0</v>
      </c>
      <c r="BT191" s="42">
        <f t="shared" si="598"/>
        <v>0</v>
      </c>
      <c r="BU191" s="42">
        <f t="shared" si="598"/>
        <v>0</v>
      </c>
      <c r="BV191" s="42">
        <f t="shared" si="598"/>
        <v>0</v>
      </c>
      <c r="BW191" s="42">
        <f t="shared" si="598"/>
        <v>0</v>
      </c>
      <c r="BX191" s="42">
        <f t="shared" si="598"/>
        <v>0</v>
      </c>
      <c r="BY191" s="42">
        <f t="shared" si="598"/>
        <v>0</v>
      </c>
      <c r="BZ191" s="42">
        <f t="shared" si="598"/>
        <v>0</v>
      </c>
      <c r="CA191" s="42">
        <f t="shared" si="598"/>
        <v>0</v>
      </c>
      <c r="CB191" s="42">
        <f t="shared" si="598"/>
        <v>0</v>
      </c>
      <c r="CC191" s="42">
        <f t="shared" si="598"/>
        <v>0</v>
      </c>
      <c r="CE191" s="42">
        <f t="shared" ref="CE191:CV191" si="599">CE24</f>
        <v>0</v>
      </c>
      <c r="CF191" s="42">
        <f t="shared" si="599"/>
        <v>0</v>
      </c>
      <c r="CG191" s="42">
        <f t="shared" si="599"/>
        <v>0</v>
      </c>
      <c r="CH191" s="42">
        <f t="shared" si="599"/>
        <v>0</v>
      </c>
      <c r="CI191" s="42">
        <f t="shared" si="599"/>
        <v>0</v>
      </c>
      <c r="CJ191" s="42">
        <f t="shared" si="599"/>
        <v>0</v>
      </c>
      <c r="CK191" s="42">
        <f t="shared" si="599"/>
        <v>0</v>
      </c>
      <c r="CL191" s="42">
        <f t="shared" si="599"/>
        <v>0</v>
      </c>
      <c r="CM191" s="42">
        <f t="shared" si="599"/>
        <v>0</v>
      </c>
      <c r="CN191" s="42">
        <f t="shared" si="599"/>
        <v>0</v>
      </c>
      <c r="CO191" s="42">
        <f t="shared" si="599"/>
        <v>0</v>
      </c>
      <c r="CP191" s="42">
        <f t="shared" si="599"/>
        <v>0</v>
      </c>
      <c r="CQ191" s="42">
        <f t="shared" si="599"/>
        <v>0</v>
      </c>
      <c r="CR191" s="42">
        <f t="shared" si="599"/>
        <v>0</v>
      </c>
      <c r="CS191" s="42">
        <f t="shared" si="599"/>
        <v>0</v>
      </c>
      <c r="CT191" s="42">
        <f t="shared" si="599"/>
        <v>0</v>
      </c>
      <c r="CU191" s="42">
        <f t="shared" si="599"/>
        <v>0</v>
      </c>
      <c r="CV191" s="42">
        <f t="shared" si="599"/>
        <v>0</v>
      </c>
      <c r="CW191" s="197"/>
      <c r="CY191" s="42">
        <f t="shared" ref="CY191:DP191" si="600">CY24</f>
        <v>0</v>
      </c>
      <c r="CZ191" s="42">
        <f t="shared" si="600"/>
        <v>0</v>
      </c>
      <c r="DA191" s="42">
        <f t="shared" si="600"/>
        <v>0</v>
      </c>
      <c r="DB191" s="42">
        <f t="shared" si="600"/>
        <v>0</v>
      </c>
      <c r="DC191" s="42">
        <f t="shared" si="600"/>
        <v>0</v>
      </c>
      <c r="DD191" s="42">
        <f t="shared" si="600"/>
        <v>0</v>
      </c>
      <c r="DE191" s="42">
        <f t="shared" si="600"/>
        <v>0</v>
      </c>
      <c r="DF191" s="42">
        <f t="shared" si="600"/>
        <v>0</v>
      </c>
      <c r="DG191" s="42">
        <f t="shared" si="600"/>
        <v>0</v>
      </c>
      <c r="DH191" s="42">
        <f t="shared" si="600"/>
        <v>0</v>
      </c>
      <c r="DI191" s="42">
        <f t="shared" si="600"/>
        <v>0</v>
      </c>
      <c r="DJ191" s="42">
        <f t="shared" si="600"/>
        <v>0</v>
      </c>
      <c r="DK191" s="42">
        <f t="shared" si="600"/>
        <v>0</v>
      </c>
      <c r="DL191" s="42">
        <f t="shared" si="600"/>
        <v>0</v>
      </c>
      <c r="DM191" s="42">
        <f t="shared" si="600"/>
        <v>0</v>
      </c>
      <c r="DN191" s="42">
        <f t="shared" si="600"/>
        <v>0</v>
      </c>
      <c r="DO191" s="42">
        <f t="shared" si="600"/>
        <v>0</v>
      </c>
      <c r="DP191" s="42">
        <f t="shared" si="600"/>
        <v>0</v>
      </c>
    </row>
    <row r="192" spans="2:120" x14ac:dyDescent="0.3">
      <c r="C192" s="36" t="s">
        <v>97</v>
      </c>
      <c r="E192" s="76"/>
      <c r="F192" s="140">
        <v>-11794</v>
      </c>
      <c r="G192" s="140">
        <v>0</v>
      </c>
      <c r="H192" s="140">
        <v>-821</v>
      </c>
      <c r="I192" s="140">
        <v>8519.1200000000008</v>
      </c>
      <c r="J192" s="140">
        <v>-2954.4270000000001</v>
      </c>
      <c r="K192" s="140">
        <v>-6877.0283600000002</v>
      </c>
      <c r="L192" s="140">
        <v>-412.97163999999964</v>
      </c>
      <c r="M192" s="140">
        <v>-3550</v>
      </c>
      <c r="N192" s="140">
        <v>-1672</v>
      </c>
      <c r="O192" s="140">
        <v>-6077.5</v>
      </c>
      <c r="P192" s="140">
        <v>-7345</v>
      </c>
      <c r="Q192" s="140">
        <v>-6335</v>
      </c>
      <c r="R192" s="140">
        <v>-6745</v>
      </c>
      <c r="S192" s="140">
        <v>-1306.694</v>
      </c>
      <c r="T192" s="140">
        <v>-4113.2862100000002</v>
      </c>
      <c r="U192" s="140">
        <v>-1883.52917</v>
      </c>
      <c r="V192" s="140">
        <v>-4163.8719500000007</v>
      </c>
      <c r="W192" s="198"/>
      <c r="Y192" s="70">
        <f>$E192</f>
        <v>0</v>
      </c>
      <c r="Z192" s="70">
        <f>$F192</f>
        <v>-11794</v>
      </c>
      <c r="AA192" s="70">
        <f>$G192</f>
        <v>0</v>
      </c>
      <c r="AB192" s="70">
        <f>$H192</f>
        <v>-821</v>
      </c>
      <c r="AC192" s="70">
        <f>$I192</f>
        <v>8519.1200000000008</v>
      </c>
      <c r="AD192" s="70">
        <f>$J192</f>
        <v>-2954.4270000000001</v>
      </c>
      <c r="AE192" s="70">
        <f>$K192</f>
        <v>-6877.0283600000002</v>
      </c>
      <c r="AF192" s="140">
        <f>$L192</f>
        <v>-412.97163999999964</v>
      </c>
      <c r="AG192" s="140">
        <f>$M192</f>
        <v>-3550</v>
      </c>
      <c r="AH192" s="140">
        <f>$N192</f>
        <v>-1672</v>
      </c>
      <c r="AI192" s="140">
        <f>$O192</f>
        <v>-6077.5</v>
      </c>
      <c r="AJ192" s="140">
        <f>$P192</f>
        <v>-7345</v>
      </c>
      <c r="AK192" s="140">
        <f>$Q192</f>
        <v>-6335</v>
      </c>
      <c r="AL192" s="140">
        <f>$R192</f>
        <v>-6745</v>
      </c>
      <c r="AM192" s="140">
        <f>$S192</f>
        <v>-1306.694</v>
      </c>
      <c r="AN192" s="140">
        <f>$T192</f>
        <v>-4113.2862100000002</v>
      </c>
      <c r="AO192" s="140">
        <f>$U192</f>
        <v>-1883.52917</v>
      </c>
      <c r="AP192" s="140">
        <f>$V192</f>
        <v>-4163.8719500000007</v>
      </c>
      <c r="AQ192" s="198"/>
      <c r="AS192" s="70">
        <f>$E192</f>
        <v>0</v>
      </c>
      <c r="AT192" s="70">
        <f>$F192</f>
        <v>-11794</v>
      </c>
      <c r="AU192" s="70">
        <f>$G192</f>
        <v>0</v>
      </c>
      <c r="AV192" s="70">
        <f>$H192</f>
        <v>-821</v>
      </c>
      <c r="AW192" s="70">
        <f>$I192</f>
        <v>8519.1200000000008</v>
      </c>
      <c r="AX192" s="70">
        <f>$J192</f>
        <v>-2954.4270000000001</v>
      </c>
      <c r="AY192" s="70">
        <f>$K192</f>
        <v>-6877.0283600000002</v>
      </c>
      <c r="AZ192" s="140">
        <f>$L192</f>
        <v>-412.97163999999964</v>
      </c>
      <c r="BA192" s="140">
        <f>$M192</f>
        <v>-3550</v>
      </c>
      <c r="BB192" s="140">
        <f>$N192</f>
        <v>-1672</v>
      </c>
      <c r="BC192" s="140">
        <f>$O192</f>
        <v>-6077.5</v>
      </c>
      <c r="BD192" s="140">
        <f>$P192</f>
        <v>-7345</v>
      </c>
      <c r="BE192" s="140">
        <f>$Q192</f>
        <v>-6335</v>
      </c>
      <c r="BF192" s="140">
        <f>$R192</f>
        <v>-6745</v>
      </c>
      <c r="BG192" s="140">
        <f>$S192</f>
        <v>-1306.694</v>
      </c>
      <c r="BH192" s="140">
        <f>$T192</f>
        <v>-4113.2862100000002</v>
      </c>
      <c r="BI192" s="140">
        <f>$U192</f>
        <v>-1883.52917</v>
      </c>
      <c r="BJ192" s="140">
        <f>$V192</f>
        <v>-4163.8719500000007</v>
      </c>
      <c r="BL192" s="70">
        <f>$E192</f>
        <v>0</v>
      </c>
      <c r="BM192" s="70">
        <f>$F192</f>
        <v>-11794</v>
      </c>
      <c r="BN192" s="70">
        <f>$G192</f>
        <v>0</v>
      </c>
      <c r="BO192" s="70">
        <f>$H192</f>
        <v>-821</v>
      </c>
      <c r="BP192" s="70">
        <f>$I192</f>
        <v>8519.1200000000008</v>
      </c>
      <c r="BQ192" s="70">
        <f>$J192</f>
        <v>-2954.4270000000001</v>
      </c>
      <c r="BR192" s="70">
        <f>$K192</f>
        <v>-6877.0283600000002</v>
      </c>
      <c r="BS192" s="140">
        <f>$L192</f>
        <v>-412.97163999999964</v>
      </c>
      <c r="BT192" s="140">
        <f>$M192</f>
        <v>-3550</v>
      </c>
      <c r="BU192" s="140">
        <f>$N192</f>
        <v>-1672</v>
      </c>
      <c r="BV192" s="140">
        <f>$O192</f>
        <v>-6077.5</v>
      </c>
      <c r="BW192" s="140">
        <f>$P192</f>
        <v>-7345</v>
      </c>
      <c r="BX192" s="140">
        <f>$Q192</f>
        <v>-6335</v>
      </c>
      <c r="BY192" s="140">
        <f>$R192</f>
        <v>-6745</v>
      </c>
      <c r="BZ192" s="140">
        <f>$S192</f>
        <v>-1306.694</v>
      </c>
      <c r="CA192" s="140">
        <f>$T192</f>
        <v>-4113.2862100000002</v>
      </c>
      <c r="CB192" s="140">
        <f>$U192</f>
        <v>-1883.52917</v>
      </c>
      <c r="CC192" s="140">
        <f>$V192</f>
        <v>-4163.8719500000007</v>
      </c>
      <c r="CE192" s="70">
        <f>$E192</f>
        <v>0</v>
      </c>
      <c r="CF192" s="70">
        <f>$F192</f>
        <v>-11794</v>
      </c>
      <c r="CG192" s="70">
        <f>$G192</f>
        <v>0</v>
      </c>
      <c r="CH192" s="70">
        <f>$H192</f>
        <v>-821</v>
      </c>
      <c r="CI192" s="70">
        <f>$I192</f>
        <v>8519.1200000000008</v>
      </c>
      <c r="CJ192" s="70">
        <f>$J192</f>
        <v>-2954.4270000000001</v>
      </c>
      <c r="CK192" s="70">
        <f>$K192</f>
        <v>-6877.0283600000002</v>
      </c>
      <c r="CL192" s="140">
        <f>$L192</f>
        <v>-412.97163999999964</v>
      </c>
      <c r="CM192" s="140">
        <f>$M192</f>
        <v>-3550</v>
      </c>
      <c r="CN192" s="140">
        <f>$N192</f>
        <v>-1672</v>
      </c>
      <c r="CO192" s="140">
        <f>$O192</f>
        <v>-6077.5</v>
      </c>
      <c r="CP192" s="140">
        <f>$P192</f>
        <v>-7345</v>
      </c>
      <c r="CQ192" s="140">
        <f>$Q192</f>
        <v>-6335</v>
      </c>
      <c r="CR192" s="140">
        <f>$R192</f>
        <v>-6745</v>
      </c>
      <c r="CS192" s="140">
        <f>$S192</f>
        <v>-1306.694</v>
      </c>
      <c r="CT192" s="140">
        <f>$T192</f>
        <v>-4113.2862100000002</v>
      </c>
      <c r="CU192" s="140">
        <f>$U192</f>
        <v>-1883.52917</v>
      </c>
      <c r="CV192" s="140">
        <f>$V192</f>
        <v>-4163.8719500000007</v>
      </c>
      <c r="CW192" s="198"/>
      <c r="CY192" s="70">
        <f>$E192</f>
        <v>0</v>
      </c>
      <c r="CZ192" s="70">
        <f>$F192</f>
        <v>-11794</v>
      </c>
      <c r="DA192" s="70">
        <f>$G192</f>
        <v>0</v>
      </c>
      <c r="DB192" s="70">
        <f>$H192</f>
        <v>-821</v>
      </c>
      <c r="DC192" s="70">
        <f>$I192</f>
        <v>8519.1200000000008</v>
      </c>
      <c r="DD192" s="70">
        <f>$J192</f>
        <v>-2954.4270000000001</v>
      </c>
      <c r="DE192" s="70">
        <f>$K192</f>
        <v>-6877.0283600000002</v>
      </c>
      <c r="DF192" s="140">
        <f>$L192</f>
        <v>-412.97163999999964</v>
      </c>
      <c r="DG192" s="140">
        <f>$M192</f>
        <v>-3550</v>
      </c>
      <c r="DH192" s="140">
        <f>$N192</f>
        <v>-1672</v>
      </c>
      <c r="DI192" s="140">
        <f>$O192</f>
        <v>-6077.5</v>
      </c>
      <c r="DJ192" s="140">
        <f>$P192</f>
        <v>-7345</v>
      </c>
      <c r="DK192" s="140">
        <f>$Q192</f>
        <v>-6335</v>
      </c>
      <c r="DL192" s="140">
        <f>$R192</f>
        <v>-6745</v>
      </c>
      <c r="DM192" s="140">
        <f>$S192</f>
        <v>-1306.694</v>
      </c>
      <c r="DN192" s="140">
        <f>$T192</f>
        <v>-4113.2862100000002</v>
      </c>
      <c r="DO192" s="140">
        <f>$U192</f>
        <v>-1883.52917</v>
      </c>
      <c r="DP192" s="140">
        <f>$V192</f>
        <v>-4163.8719500000007</v>
      </c>
    </row>
    <row r="193" spans="3:120" x14ac:dyDescent="0.3">
      <c r="C193" s="56" t="s">
        <v>98</v>
      </c>
      <c r="E193" s="57">
        <f>E191-E192</f>
        <v>0</v>
      </c>
      <c r="F193" s="57">
        <f t="shared" ref="F193:L193" si="601">F191-F192</f>
        <v>-8852.3107100000016</v>
      </c>
      <c r="G193" s="57">
        <f t="shared" si="601"/>
        <v>-8772.4809999999998</v>
      </c>
      <c r="H193" s="57">
        <f t="shared" si="601"/>
        <v>-9886.6757100000013</v>
      </c>
      <c r="I193" s="57">
        <f>I191-I192</f>
        <v>-29934.842919999988</v>
      </c>
      <c r="J193" s="57">
        <f t="shared" si="601"/>
        <v>-12798.96417000001</v>
      </c>
      <c r="K193" s="57">
        <f t="shared" si="601"/>
        <v>-14392.169230000007</v>
      </c>
      <c r="L193" s="57">
        <f t="shared" si="601"/>
        <v>-15571.07625999998</v>
      </c>
      <c r="M193" s="57">
        <f t="shared" ref="M193:V193" si="602">M191-M192</f>
        <v>-20801.895760000014</v>
      </c>
      <c r="N193" s="57">
        <f t="shared" si="602"/>
        <v>-20160.332059999986</v>
      </c>
      <c r="O193" s="57">
        <f t="shared" si="602"/>
        <v>-27897.26107</v>
      </c>
      <c r="P193" s="57">
        <f t="shared" si="602"/>
        <v>-27742.467560000012</v>
      </c>
      <c r="Q193" s="57">
        <f t="shared" si="602"/>
        <v>-38213.916939999966</v>
      </c>
      <c r="R193" s="57">
        <f t="shared" si="602"/>
        <v>-43182.79571000002</v>
      </c>
      <c r="S193" s="57">
        <f t="shared" si="602"/>
        <v>-30859.502959999998</v>
      </c>
      <c r="T193" s="57">
        <f t="shared" si="602"/>
        <v>-22552.736259999998</v>
      </c>
      <c r="U193" s="57">
        <f t="shared" si="602"/>
        <v>-23809.923058474571</v>
      </c>
      <c r="V193" s="57">
        <f t="shared" si="602"/>
        <v>-22218.731468002665</v>
      </c>
      <c r="W193" s="176"/>
      <c r="Y193" s="57">
        <f t="shared" ref="Y193:AF193" si="603">Y191-Y192</f>
        <v>0</v>
      </c>
      <c r="Z193" s="57">
        <f t="shared" si="603"/>
        <v>-8852.3107100000016</v>
      </c>
      <c r="AA193" s="57">
        <f>AA191-AA192</f>
        <v>-8772.4809999999998</v>
      </c>
      <c r="AB193" s="57">
        <f>AB191-AB192</f>
        <v>-9886.6757100000013</v>
      </c>
      <c r="AC193" s="57">
        <f>AC191-AC192</f>
        <v>-29934.842919999988</v>
      </c>
      <c r="AD193" s="57">
        <f t="shared" si="603"/>
        <v>-12798.96417000001</v>
      </c>
      <c r="AE193" s="57">
        <f t="shared" si="603"/>
        <v>-14392.169230000007</v>
      </c>
      <c r="AF193" s="57">
        <f t="shared" si="603"/>
        <v>-15571.07625999998</v>
      </c>
      <c r="AG193" s="57">
        <f t="shared" ref="AG193:AP193" si="604">AG191-AG192</f>
        <v>-20801.895760000014</v>
      </c>
      <c r="AH193" s="57">
        <f t="shared" si="604"/>
        <v>-20160.332059999986</v>
      </c>
      <c r="AI193" s="57">
        <f t="shared" si="604"/>
        <v>-27897.26107</v>
      </c>
      <c r="AJ193" s="57">
        <f t="shared" si="604"/>
        <v>-27742.467560000012</v>
      </c>
      <c r="AK193" s="57">
        <f t="shared" si="604"/>
        <v>-38213.916939999966</v>
      </c>
      <c r="AL193" s="57">
        <f t="shared" si="604"/>
        <v>-43182.79571000002</v>
      </c>
      <c r="AM193" s="57">
        <f t="shared" si="604"/>
        <v>-30859.502959999998</v>
      </c>
      <c r="AN193" s="57">
        <f t="shared" si="604"/>
        <v>-22552.736259999998</v>
      </c>
      <c r="AO193" s="57">
        <f t="shared" si="604"/>
        <v>-23809.923058474571</v>
      </c>
      <c r="AP193" s="57">
        <f t="shared" si="604"/>
        <v>-22218.731468002665</v>
      </c>
      <c r="AQ193" s="176"/>
      <c r="AS193" s="57">
        <f>AS191-AS192</f>
        <v>0</v>
      </c>
      <c r="AT193" s="57">
        <f>AT191-AT192</f>
        <v>11794</v>
      </c>
      <c r="AU193" s="57">
        <f>AU191-AU192</f>
        <v>0</v>
      </c>
      <c r="AV193" s="57">
        <f>AV191-AV192</f>
        <v>821</v>
      </c>
      <c r="AW193" s="57">
        <f>AW191-AW192</f>
        <v>-8519.1200000000008</v>
      </c>
      <c r="AX193" s="57">
        <f t="shared" ref="AX193:BJ193" si="605">AX191-AX192</f>
        <v>2954.4270000000001</v>
      </c>
      <c r="AY193" s="57">
        <f t="shared" si="605"/>
        <v>6877.0283600000002</v>
      </c>
      <c r="AZ193" s="57">
        <f t="shared" si="605"/>
        <v>412.97163999999964</v>
      </c>
      <c r="BA193" s="57">
        <f t="shared" si="605"/>
        <v>3550</v>
      </c>
      <c r="BB193" s="57">
        <f t="shared" si="605"/>
        <v>1672</v>
      </c>
      <c r="BC193" s="57">
        <f t="shared" si="605"/>
        <v>6077.5</v>
      </c>
      <c r="BD193" s="57">
        <f t="shared" si="605"/>
        <v>7345</v>
      </c>
      <c r="BE193" s="57">
        <f t="shared" si="605"/>
        <v>6335</v>
      </c>
      <c r="BF193" s="57">
        <f t="shared" si="605"/>
        <v>6745</v>
      </c>
      <c r="BG193" s="57">
        <f t="shared" si="605"/>
        <v>1306.694</v>
      </c>
      <c r="BH193" s="57">
        <f t="shared" si="605"/>
        <v>4113.2862100000002</v>
      </c>
      <c r="BI193" s="57">
        <f t="shared" si="605"/>
        <v>1883.52917</v>
      </c>
      <c r="BJ193" s="57">
        <f t="shared" si="605"/>
        <v>4163.8719500000007</v>
      </c>
      <c r="BL193" s="57">
        <f>BL191-BL192</f>
        <v>0</v>
      </c>
      <c r="BM193" s="57">
        <f>BM191-BM192</f>
        <v>11794</v>
      </c>
      <c r="BN193" s="57">
        <f>BN191-BN192</f>
        <v>0</v>
      </c>
      <c r="BO193" s="57">
        <f>BO191-BO192</f>
        <v>821</v>
      </c>
      <c r="BP193" s="57">
        <f>BP191-BP192</f>
        <v>-8519.1200000000008</v>
      </c>
      <c r="BQ193" s="57">
        <f t="shared" ref="BQ193:CC193" si="606">BQ191-BQ192</f>
        <v>2954.4270000000001</v>
      </c>
      <c r="BR193" s="57">
        <f t="shared" si="606"/>
        <v>6877.0283600000002</v>
      </c>
      <c r="BS193" s="57">
        <f t="shared" si="606"/>
        <v>412.97163999999964</v>
      </c>
      <c r="BT193" s="57">
        <f t="shared" si="606"/>
        <v>3550</v>
      </c>
      <c r="BU193" s="57">
        <f t="shared" si="606"/>
        <v>1672</v>
      </c>
      <c r="BV193" s="57">
        <f t="shared" si="606"/>
        <v>6077.5</v>
      </c>
      <c r="BW193" s="57">
        <f t="shared" si="606"/>
        <v>7345</v>
      </c>
      <c r="BX193" s="57">
        <f t="shared" si="606"/>
        <v>6335</v>
      </c>
      <c r="BY193" s="57">
        <f t="shared" si="606"/>
        <v>6745</v>
      </c>
      <c r="BZ193" s="57">
        <f t="shared" si="606"/>
        <v>1306.694</v>
      </c>
      <c r="CA193" s="57">
        <f t="shared" si="606"/>
        <v>4113.2862100000002</v>
      </c>
      <c r="CB193" s="57">
        <f t="shared" si="606"/>
        <v>1883.52917</v>
      </c>
      <c r="CC193" s="57">
        <f t="shared" si="606"/>
        <v>4163.8719500000007</v>
      </c>
      <c r="CE193" s="57">
        <f>CE191-CE192</f>
        <v>0</v>
      </c>
      <c r="CF193" s="57">
        <f>CF191-CF192</f>
        <v>11794</v>
      </c>
      <c r="CG193" s="57">
        <f>CG191-CG192</f>
        <v>0</v>
      </c>
      <c r="CH193" s="57">
        <f>CH191-CH192</f>
        <v>821</v>
      </c>
      <c r="CI193" s="57">
        <f>CI191-CI192</f>
        <v>-8519.1200000000008</v>
      </c>
      <c r="CJ193" s="57">
        <f t="shared" ref="CJ193:CV193" si="607">CJ191-CJ192</f>
        <v>2954.4270000000001</v>
      </c>
      <c r="CK193" s="57">
        <f t="shared" si="607"/>
        <v>6877.0283600000002</v>
      </c>
      <c r="CL193" s="57">
        <f t="shared" si="607"/>
        <v>412.97163999999964</v>
      </c>
      <c r="CM193" s="57">
        <f t="shared" si="607"/>
        <v>3550</v>
      </c>
      <c r="CN193" s="57">
        <f t="shared" si="607"/>
        <v>1672</v>
      </c>
      <c r="CO193" s="57">
        <f t="shared" si="607"/>
        <v>6077.5</v>
      </c>
      <c r="CP193" s="57">
        <f t="shared" si="607"/>
        <v>7345</v>
      </c>
      <c r="CQ193" s="57">
        <f t="shared" si="607"/>
        <v>6335</v>
      </c>
      <c r="CR193" s="57">
        <f t="shared" si="607"/>
        <v>6745</v>
      </c>
      <c r="CS193" s="57">
        <f t="shared" si="607"/>
        <v>1306.694</v>
      </c>
      <c r="CT193" s="57">
        <f t="shared" si="607"/>
        <v>4113.2862100000002</v>
      </c>
      <c r="CU193" s="57">
        <f t="shared" si="607"/>
        <v>1883.52917</v>
      </c>
      <c r="CV193" s="57">
        <f t="shared" si="607"/>
        <v>4163.8719500000007</v>
      </c>
      <c r="CW193" s="176"/>
      <c r="CY193" s="57">
        <f>CY191-CY192</f>
        <v>0</v>
      </c>
      <c r="CZ193" s="57">
        <f>CZ191-CZ192</f>
        <v>11794</v>
      </c>
      <c r="DA193" s="57">
        <f>DA191-DA192</f>
        <v>0</v>
      </c>
      <c r="DB193" s="57">
        <f>DB191-DB192</f>
        <v>821</v>
      </c>
      <c r="DC193" s="57">
        <f>DC191-DC192</f>
        <v>-8519.1200000000008</v>
      </c>
      <c r="DD193" s="57">
        <f t="shared" ref="DD193:DP193" si="608">DD191-DD192</f>
        <v>2954.4270000000001</v>
      </c>
      <c r="DE193" s="57">
        <f t="shared" si="608"/>
        <v>6877.0283600000002</v>
      </c>
      <c r="DF193" s="57">
        <f t="shared" si="608"/>
        <v>412.97163999999964</v>
      </c>
      <c r="DG193" s="57">
        <f t="shared" si="608"/>
        <v>3550</v>
      </c>
      <c r="DH193" s="57">
        <f t="shared" si="608"/>
        <v>1672</v>
      </c>
      <c r="DI193" s="57">
        <f t="shared" si="608"/>
        <v>6077.5</v>
      </c>
      <c r="DJ193" s="57">
        <f t="shared" si="608"/>
        <v>7345</v>
      </c>
      <c r="DK193" s="57">
        <f t="shared" si="608"/>
        <v>6335</v>
      </c>
      <c r="DL193" s="57">
        <f t="shared" si="608"/>
        <v>6745</v>
      </c>
      <c r="DM193" s="57">
        <f t="shared" si="608"/>
        <v>1306.694</v>
      </c>
      <c r="DN193" s="57">
        <f t="shared" si="608"/>
        <v>4113.2862100000002</v>
      </c>
      <c r="DO193" s="57">
        <f t="shared" si="608"/>
        <v>1883.52917</v>
      </c>
      <c r="DP193" s="57">
        <f t="shared" si="608"/>
        <v>4163.8719500000007</v>
      </c>
    </row>
    <row r="198" spans="3:120" x14ac:dyDescent="0.3">
      <c r="S198" s="229"/>
    </row>
    <row r="199" spans="3:120" x14ac:dyDescent="0.3">
      <c r="S199" s="133"/>
    </row>
    <row r="200" spans="3:120" x14ac:dyDescent="0.3">
      <c r="S200" s="38"/>
      <c r="W200" s="201"/>
    </row>
    <row r="201" spans="3:120" x14ac:dyDescent="0.3">
      <c r="S201" s="42"/>
    </row>
  </sheetData>
  <phoneticPr fontId="22" type="noConversion"/>
  <pageMargins left="0.7" right="0.7" top="1.3149999999999999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Securitization Profit   loss &amp; </vt:lpstr>
      <vt:lpstr>Segment</vt:lpstr>
      <vt:lpstr>Securitization P&amp;L IFRS17</vt:lpstr>
      <vt:lpstr>Segment IFRS17</vt:lpstr>
      <vt:lpstr>Quarterly I.S IFRS17</vt:lpstr>
      <vt:lpstr>Semi Ann. I.S IFRS17</vt:lpstr>
      <vt:lpstr>9 Mths I.S IFRS17</vt:lpstr>
      <vt:lpstr>FY I.S IFRS17</vt:lpstr>
      <vt:lpstr>Quarterly I.S</vt:lpstr>
      <vt:lpstr>Semi Ann. I.S</vt:lpstr>
      <vt:lpstr>9 Mths I.S</vt:lpstr>
      <vt:lpstr>FY I.S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Osama Ragab</dc:creator>
  <cp:lastModifiedBy>Gaser Zater</cp:lastModifiedBy>
  <cp:lastPrinted>2025-05-28T13:42:17Z</cp:lastPrinted>
  <dcterms:created xsi:type="dcterms:W3CDTF">2015-06-05T18:17:20Z</dcterms:created>
  <dcterms:modified xsi:type="dcterms:W3CDTF">2026-03-25T11:12:19Z</dcterms:modified>
</cp:coreProperties>
</file>